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queryTables/queryTable6.xml" ContentType="application/vnd.openxmlformats-officedocument.spreadsheetml.queryTable+xml"/>
  <Override PartName="/xl/tables/table13.xml" ContentType="application/vnd.openxmlformats-officedocument.spreadsheetml.table+xml"/>
  <Override PartName="/xl/queryTables/queryTable7.xml" ContentType="application/vnd.openxmlformats-officedocument.spreadsheetml.queryTable+xml"/>
  <Override PartName="/xl/tables/table14.xml" ContentType="application/vnd.openxmlformats-officedocument.spreadsheetml.table+xml"/>
  <Override PartName="/xl/queryTables/queryTable8.xml" ContentType="application/vnd.openxmlformats-officedocument.spreadsheetml.queryTable+xml"/>
  <Override PartName="/xl/tables/table15.xml" ContentType="application/vnd.openxmlformats-officedocument.spreadsheetml.table+xml"/>
  <Override PartName="/xl/queryTables/queryTable9.xml" ContentType="application/vnd.openxmlformats-officedocument.spreadsheetml.queryTable+xml"/>
  <Override PartName="/xl/tables/table16.xml" ContentType="application/vnd.openxmlformats-officedocument.spreadsheetml.table+xml"/>
  <Override PartName="/xl/queryTables/queryTable10.xml" ContentType="application/vnd.openxmlformats-officedocument.spreadsheetml.queryTable+xml"/>
  <Override PartName="/xl/tables/table17.xml" ContentType="application/vnd.openxmlformats-officedocument.spreadsheetml.table+xml"/>
  <Override PartName="/xl/queryTables/queryTable11.xml" ContentType="application/vnd.openxmlformats-officedocument.spreadsheetml.queryTable+xml"/>
  <Override PartName="/xl/tables/table18.xml" ContentType="application/vnd.openxmlformats-officedocument.spreadsheetml.table+xml"/>
  <Override PartName="/xl/queryTables/queryTable1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N LAKSHMI PRASANNA\OneDrive\Attachments\Desktop\"/>
    </mc:Choice>
  </mc:AlternateContent>
  <xr:revisionPtr revIDLastSave="0" documentId="13_ncr:1_{F28D40E5-2C72-49FB-89E7-FE4D77B2DEEC}" xr6:coauthVersionLast="47" xr6:coauthVersionMax="47" xr10:uidLastSave="{00000000-0000-0000-0000-000000000000}"/>
  <bookViews>
    <workbookView xWindow="-108" yWindow="-108" windowWidth="23256" windowHeight="12456" firstSheet="10" activeTab="15" xr2:uid="{78410B19-134D-449E-A246-CC5197FFF29C}"/>
  </bookViews>
  <sheets>
    <sheet name="fact_trades" sheetId="17" r:id="rId1"/>
    <sheet name="fact_splits" sheetId="12" r:id="rId2"/>
    <sheet name="fact_positions_snapshot" sheetId="11" r:id="rId3"/>
    <sheet name="fact_orders" sheetId="10" r:id="rId4"/>
    <sheet name="Merge1" sheetId="19" r:id="rId5"/>
    <sheet name="fact_daily_prices" sheetId="9" r:id="rId6"/>
    <sheet name="fact_dividends" sheetId="8" r:id="rId7"/>
    <sheet name="dim_trader" sheetId="7" r:id="rId8"/>
    <sheet name="dim_sector" sheetId="6" r:id="rId9"/>
    <sheet name="dim_portfolio" sheetId="5" r:id="rId10"/>
    <sheet name="dim_exchange" sheetId="4" r:id="rId11"/>
    <sheet name="dim_company" sheetId="3" r:id="rId12"/>
    <sheet name="dim_calendar" sheetId="2" r:id="rId13"/>
    <sheet name="pivot table" sheetId="15" r:id="rId14"/>
    <sheet name="9" sheetId="16" r:id="rId15"/>
    <sheet name="Sheet1" sheetId="20" r:id="rId16"/>
  </sheets>
  <definedNames>
    <definedName name="_xlcn.WorksheetConnection_stock_market_dashboard.xlsxfact_trades1" hidden="1">Table1[]</definedName>
    <definedName name="_xlcn.WorksheetConnection_stock_market_dashboard.xlsxTable151" hidden="1">Table15[]</definedName>
    <definedName name="ExternalData_1" localSheetId="12" hidden="1">dim_calendar!$A$1:$A$130</definedName>
    <definedName name="ExternalData_1" localSheetId="4" hidden="1">Merge1!$A$1:$F$81</definedName>
    <definedName name="ExternalData_10" localSheetId="2" hidden="1">fact_positions_snapshot!$A$1:$D$11</definedName>
    <definedName name="ExternalData_11" localSheetId="1" hidden="1">fact_splits!$A$1:$C$6</definedName>
    <definedName name="ExternalData_13" localSheetId="0" hidden="1">fact_trades!$A$1:$O$501</definedName>
    <definedName name="ExternalData_2" localSheetId="11" hidden="1">dim_company!$A$1:$E$9</definedName>
    <definedName name="ExternalData_3" localSheetId="10" hidden="1">dim_exchange!$A$1:$D$3</definedName>
    <definedName name="ExternalData_4" localSheetId="9" hidden="1">dim_portfolio!$A$1:$C$11</definedName>
    <definedName name="ExternalData_5" localSheetId="8" hidden="1">dim_sector!$A$1:$B$6</definedName>
    <definedName name="ExternalData_6" localSheetId="7" hidden="1">dim_trader!$A$1:$C$31</definedName>
    <definedName name="ExternalData_7" localSheetId="6" hidden="1">fact_dividends!$A$1:$C$9</definedName>
    <definedName name="ExternalData_9" localSheetId="3" hidden="1">fact_orders!$A$1:$K$501</definedName>
    <definedName name="Slicer_company_id">#N/A</definedName>
    <definedName name="Slicer_Sector_Name">#N/A</definedName>
  </definedNames>
  <calcPr calcId="191029"/>
  <pivotCaches>
    <pivotCache cacheId="63" r:id="rId17"/>
    <pivotCache cacheId="66" r:id="rId18"/>
    <pivotCache cacheId="69" r:id="rId19"/>
    <pivotCache cacheId="88" r:id="rId20"/>
    <pivotCache cacheId="89" r:id="rId21"/>
    <pivotCache cacheId="81" r:id="rId22"/>
    <pivotCache cacheId="86" r:id="rId23"/>
  </pivotCaches>
  <extLst>
    <ext xmlns:x14="http://schemas.microsoft.com/office/spreadsheetml/2009/9/main" uri="{BBE1A952-AA13-448e-AADC-164F8A28A991}">
      <x14:slicerCaches>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5" name="Table15" connection="WorksheetConnection_stock_market_dashboard.xlsx!Table15"/>
          <x15:modelTable id="fact_trades" name="fact_trades" connection="WorksheetConnection_stock_market_dashboard.xlsx!fact_trad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16" l="1"/>
  <c r="D38" i="15"/>
  <c r="G2" i="19"/>
  <c r="G3"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N244" i="17"/>
  <c r="N124" i="17"/>
  <c r="N439" i="17"/>
  <c r="N245" i="17"/>
  <c r="N125" i="17"/>
  <c r="N183" i="17"/>
  <c r="N440" i="17"/>
  <c r="N441" i="17"/>
  <c r="N366" i="17"/>
  <c r="N246" i="17"/>
  <c r="N367" i="17"/>
  <c r="N301" i="17"/>
  <c r="N64" i="17"/>
  <c r="N2" i="17"/>
  <c r="N65" i="17"/>
  <c r="N368" i="17"/>
  <c r="N369" i="17"/>
  <c r="N370" i="17"/>
  <c r="N66" i="17"/>
  <c r="N247" i="17"/>
  <c r="N3" i="17"/>
  <c r="N4" i="17"/>
  <c r="N371" i="17"/>
  <c r="N248" i="17"/>
  <c r="N126" i="17"/>
  <c r="N127" i="17"/>
  <c r="N67" i="17"/>
  <c r="N372" i="17"/>
  <c r="N302" i="17"/>
  <c r="N303" i="17"/>
  <c r="N442" i="17"/>
  <c r="N373" i="17"/>
  <c r="N249" i="17"/>
  <c r="N443" i="17"/>
  <c r="N250" i="17"/>
  <c r="N374" i="17"/>
  <c r="N128" i="17"/>
  <c r="N304" i="17"/>
  <c r="N68" i="17"/>
  <c r="N444" i="17"/>
  <c r="N375" i="17"/>
  <c r="N445" i="17"/>
  <c r="N251" i="17"/>
  <c r="N5" i="17"/>
  <c r="N6" i="17"/>
  <c r="N184" i="17"/>
  <c r="N129" i="17"/>
  <c r="N252" i="17"/>
  <c r="N7" i="17"/>
  <c r="N376" i="17"/>
  <c r="N305" i="17"/>
  <c r="N306" i="17"/>
  <c r="N130" i="17"/>
  <c r="N185" i="17"/>
  <c r="N307" i="17"/>
  <c r="N131" i="17"/>
  <c r="N446" i="17"/>
  <c r="N377" i="17"/>
  <c r="N69" i="17"/>
  <c r="N8" i="17"/>
  <c r="N447" i="17"/>
  <c r="N253" i="17"/>
  <c r="N308" i="17"/>
  <c r="N448" i="17"/>
  <c r="N186" i="17"/>
  <c r="N449" i="17"/>
  <c r="N187" i="17"/>
  <c r="N132" i="17"/>
  <c r="N378" i="17"/>
  <c r="N254" i="17"/>
  <c r="N255" i="17"/>
  <c r="N309" i="17"/>
  <c r="N188" i="17"/>
  <c r="N189" i="17"/>
  <c r="N310" i="17"/>
  <c r="N190" i="17"/>
  <c r="N311" i="17"/>
  <c r="N379" i="17"/>
  <c r="N9" i="17"/>
  <c r="N133" i="17"/>
  <c r="N191" i="17"/>
  <c r="N192" i="17"/>
  <c r="N193" i="17"/>
  <c r="N194" i="17"/>
  <c r="N70" i="17"/>
  <c r="N450" i="17"/>
  <c r="N451" i="17"/>
  <c r="N10" i="17"/>
  <c r="N195" i="17"/>
  <c r="N452" i="17"/>
  <c r="N196" i="17"/>
  <c r="N453" i="17"/>
  <c r="N256" i="17"/>
  <c r="N11" i="17"/>
  <c r="N71" i="17"/>
  <c r="N380" i="17"/>
  <c r="N257" i="17"/>
  <c r="N72" i="17"/>
  <c r="N258" i="17"/>
  <c r="N134" i="17"/>
  <c r="N135" i="17"/>
  <c r="N312" i="17"/>
  <c r="N12" i="17"/>
  <c r="N381" i="17"/>
  <c r="N13" i="17"/>
  <c r="N14" i="17"/>
  <c r="N136" i="17"/>
  <c r="N313" i="17"/>
  <c r="N259" i="17"/>
  <c r="N382" i="17"/>
  <c r="N15" i="17"/>
  <c r="N260" i="17"/>
  <c r="N73" i="17"/>
  <c r="N383" i="17"/>
  <c r="N454" i="17"/>
  <c r="N261" i="17"/>
  <c r="N137" i="17"/>
  <c r="N384" i="17"/>
  <c r="N455" i="17"/>
  <c r="N138" i="17"/>
  <c r="N16" i="17"/>
  <c r="N139" i="17"/>
  <c r="N197" i="17"/>
  <c r="N314" i="17"/>
  <c r="N17" i="17"/>
  <c r="N456" i="17"/>
  <c r="N18" i="17"/>
  <c r="N457" i="17"/>
  <c r="N262" i="17"/>
  <c r="N140" i="17"/>
  <c r="N458" i="17"/>
  <c r="N263" i="17"/>
  <c r="N385" i="17"/>
  <c r="N315" i="17"/>
  <c r="N141" i="17"/>
  <c r="N198" i="17"/>
  <c r="N386" i="17"/>
  <c r="N264" i="17"/>
  <c r="N265" i="17"/>
  <c r="N459" i="17"/>
  <c r="N19" i="17"/>
  <c r="N20" i="17"/>
  <c r="N199" i="17"/>
  <c r="N142" i="17"/>
  <c r="N74" i="17"/>
  <c r="N75" i="17"/>
  <c r="N21" i="17"/>
  <c r="N387" i="17"/>
  <c r="N460" i="17"/>
  <c r="N143" i="17"/>
  <c r="N316" i="17"/>
  <c r="N461" i="17"/>
  <c r="N266" i="17"/>
  <c r="N267" i="17"/>
  <c r="N76" i="17"/>
  <c r="N317" i="17"/>
  <c r="N77" i="17"/>
  <c r="N144" i="17"/>
  <c r="N318" i="17"/>
  <c r="N268" i="17"/>
  <c r="N319" i="17"/>
  <c r="N388" i="17"/>
  <c r="N389" i="17"/>
  <c r="N22" i="17"/>
  <c r="N320" i="17"/>
  <c r="N23" i="17"/>
  <c r="N24" i="17"/>
  <c r="N78" i="17"/>
  <c r="N390" i="17"/>
  <c r="N462" i="17"/>
  <c r="N145" i="17"/>
  <c r="N200" i="17"/>
  <c r="N146" i="17"/>
  <c r="N269" i="17"/>
  <c r="N147" i="17"/>
  <c r="N321" i="17"/>
  <c r="N25" i="17"/>
  <c r="N463" i="17"/>
  <c r="N26" i="17"/>
  <c r="N464" i="17"/>
  <c r="N148" i="17"/>
  <c r="N391" i="17"/>
  <c r="N27" i="17"/>
  <c r="N201" i="17"/>
  <c r="N322" i="17"/>
  <c r="N202" i="17"/>
  <c r="N79" i="17"/>
  <c r="N203" i="17"/>
  <c r="N323" i="17"/>
  <c r="N80" i="17"/>
  <c r="N28" i="17"/>
  <c r="N81" i="17"/>
  <c r="N204" i="17"/>
  <c r="N392" i="17"/>
  <c r="N465" i="17"/>
  <c r="N393" i="17"/>
  <c r="N205" i="17"/>
  <c r="N82" i="17"/>
  <c r="N206" i="17"/>
  <c r="N29" i="17"/>
  <c r="N149" i="17"/>
  <c r="N270" i="17"/>
  <c r="N150" i="17"/>
  <c r="N394" i="17"/>
  <c r="N271" i="17"/>
  <c r="N395" i="17"/>
  <c r="N83" i="17"/>
  <c r="N272" i="17"/>
  <c r="N396" i="17"/>
  <c r="N30" i="17"/>
  <c r="N151" i="17"/>
  <c r="N273" i="17"/>
  <c r="N324" i="17"/>
  <c r="N207" i="17"/>
  <c r="N84" i="17"/>
  <c r="N208" i="17"/>
  <c r="N152" i="17"/>
  <c r="N153" i="17"/>
  <c r="N325" i="17"/>
  <c r="N397" i="17"/>
  <c r="N31" i="17"/>
  <c r="N85" i="17"/>
  <c r="N398" i="17"/>
  <c r="N326" i="17"/>
  <c r="N399" i="17"/>
  <c r="N466" i="17"/>
  <c r="N209" i="17"/>
  <c r="N327" i="17"/>
  <c r="N210" i="17"/>
  <c r="N154" i="17"/>
  <c r="N155" i="17"/>
  <c r="N156" i="17"/>
  <c r="N32" i="17"/>
  <c r="N467" i="17"/>
  <c r="N400" i="17"/>
  <c r="N468" i="17"/>
  <c r="N469" i="17"/>
  <c r="N401" i="17"/>
  <c r="N328" i="17"/>
  <c r="N86" i="17"/>
  <c r="N402" i="17"/>
  <c r="N211" i="17"/>
  <c r="N212" i="17"/>
  <c r="N329" i="17"/>
  <c r="N330" i="17"/>
  <c r="N470" i="17"/>
  <c r="N157" i="17"/>
  <c r="N331" i="17"/>
  <c r="N158" i="17"/>
  <c r="N471" i="17"/>
  <c r="N332" i="17"/>
  <c r="N403" i="17"/>
  <c r="N213" i="17"/>
  <c r="N274" i="17"/>
  <c r="N275" i="17"/>
  <c r="N33" i="17"/>
  <c r="N159" i="17"/>
  <c r="N160" i="17"/>
  <c r="N87" i="17"/>
  <c r="N34" i="17"/>
  <c r="N35" i="17"/>
  <c r="N161" i="17"/>
  <c r="N214" i="17"/>
  <c r="N333" i="17"/>
  <c r="N36" i="17"/>
  <c r="N162" i="17"/>
  <c r="N334" i="17"/>
  <c r="N276" i="17"/>
  <c r="N404" i="17"/>
  <c r="N37" i="17"/>
  <c r="N405" i="17"/>
  <c r="N277" i="17"/>
  <c r="N406" i="17"/>
  <c r="N88" i="17"/>
  <c r="N38" i="17"/>
  <c r="N89" i="17"/>
  <c r="N215" i="17"/>
  <c r="N163" i="17"/>
  <c r="N472" i="17"/>
  <c r="N278" i="17"/>
  <c r="N473" i="17"/>
  <c r="N39" i="17"/>
  <c r="N164" i="17"/>
  <c r="N335" i="17"/>
  <c r="N165" i="17"/>
  <c r="N90" i="17"/>
  <c r="N474" i="17"/>
  <c r="N166" i="17"/>
  <c r="N407" i="17"/>
  <c r="N216" i="17"/>
  <c r="N336" i="17"/>
  <c r="N337" i="17"/>
  <c r="N167" i="17"/>
  <c r="N217" i="17"/>
  <c r="N408" i="17"/>
  <c r="N409" i="17"/>
  <c r="N279" i="17"/>
  <c r="N91" i="17"/>
  <c r="N40" i="17"/>
  <c r="N338" i="17"/>
  <c r="N280" i="17"/>
  <c r="N339" i="17"/>
  <c r="N168" i="17"/>
  <c r="N218" i="17"/>
  <c r="N340" i="17"/>
  <c r="N341" i="17"/>
  <c r="N410" i="17"/>
  <c r="N281" i="17"/>
  <c r="N475" i="17"/>
  <c r="N476" i="17"/>
  <c r="N169" i="17"/>
  <c r="N41" i="17"/>
  <c r="N282" i="17"/>
  <c r="N42" i="17"/>
  <c r="N477" i="17"/>
  <c r="N342" i="17"/>
  <c r="N478" i="17"/>
  <c r="N92" i="17"/>
  <c r="N343" i="17"/>
  <c r="N93" i="17"/>
  <c r="N170" i="17"/>
  <c r="N411" i="17"/>
  <c r="N219" i="17"/>
  <c r="N344" i="17"/>
  <c r="N94" i="17"/>
  <c r="N412" i="17"/>
  <c r="N283" i="17"/>
  <c r="N284" i="17"/>
  <c r="N43" i="17"/>
  <c r="N44" i="17"/>
  <c r="N285" i="17"/>
  <c r="N45" i="17"/>
  <c r="N413" i="17"/>
  <c r="N479" i="17"/>
  <c r="N220" i="17"/>
  <c r="N345" i="17"/>
  <c r="N414" i="17"/>
  <c r="N415" i="17"/>
  <c r="N95" i="17"/>
  <c r="N46" i="17"/>
  <c r="N171" i="17"/>
  <c r="N480" i="17"/>
  <c r="N346" i="17"/>
  <c r="N416" i="17"/>
  <c r="N96" i="17"/>
  <c r="N347" i="17"/>
  <c r="N97" i="17"/>
  <c r="N348" i="17"/>
  <c r="N417" i="17"/>
  <c r="N418" i="17"/>
  <c r="N172" i="17"/>
  <c r="N349" i="17"/>
  <c r="N419" i="17"/>
  <c r="N286" i="17"/>
  <c r="N98" i="17"/>
  <c r="N221" i="17"/>
  <c r="N222" i="17"/>
  <c r="N99" i="17"/>
  <c r="N420" i="17"/>
  <c r="N223" i="17"/>
  <c r="N224" i="17"/>
  <c r="N481" i="17"/>
  <c r="N100" i="17"/>
  <c r="N421" i="17"/>
  <c r="N287" i="17"/>
  <c r="N101" i="17"/>
  <c r="N288" i="17"/>
  <c r="N173" i="17"/>
  <c r="N422" i="17"/>
  <c r="N423" i="17"/>
  <c r="N225" i="17"/>
  <c r="N47" i="17"/>
  <c r="N48" i="17"/>
  <c r="N350" i="17"/>
  <c r="N482" i="17"/>
  <c r="N424" i="17"/>
  <c r="N102" i="17"/>
  <c r="N103" i="17"/>
  <c r="N483" i="17"/>
  <c r="N351" i="17"/>
  <c r="N352" i="17"/>
  <c r="N104" i="17"/>
  <c r="N289" i="17"/>
  <c r="N353" i="17"/>
  <c r="N354" i="17"/>
  <c r="N174" i="17"/>
  <c r="N355" i="17"/>
  <c r="N484" i="17"/>
  <c r="N105" i="17"/>
  <c r="N425" i="17"/>
  <c r="N49" i="17"/>
  <c r="N226" i="17"/>
  <c r="N356" i="17"/>
  <c r="N106" i="17"/>
  <c r="N357" i="17"/>
  <c r="N227" i="17"/>
  <c r="N228" i="17"/>
  <c r="N50" i="17"/>
  <c r="N51" i="17"/>
  <c r="N175" i="17"/>
  <c r="N426" i="17"/>
  <c r="N52" i="17"/>
  <c r="N229" i="17"/>
  <c r="N290" i="17"/>
  <c r="N176" i="17"/>
  <c r="N230" i="17"/>
  <c r="N427" i="17"/>
  <c r="N485" i="17"/>
  <c r="N486" i="17"/>
  <c r="N107" i="17"/>
  <c r="N487" i="17"/>
  <c r="N358" i="17"/>
  <c r="N108" i="17"/>
  <c r="N231" i="17"/>
  <c r="N232" i="17"/>
  <c r="N428" i="17"/>
  <c r="N233" i="17"/>
  <c r="N53" i="17"/>
  <c r="N234" i="17"/>
  <c r="N429" i="17"/>
  <c r="N291" i="17"/>
  <c r="N488" i="17"/>
  <c r="N109" i="17"/>
  <c r="N292" i="17"/>
  <c r="N110" i="17"/>
  <c r="N111" i="17"/>
  <c r="N359" i="17"/>
  <c r="N430" i="17"/>
  <c r="N293" i="17"/>
  <c r="N431" i="17"/>
  <c r="N432" i="17"/>
  <c r="N112" i="17"/>
  <c r="N235" i="17"/>
  <c r="N236" i="17"/>
  <c r="N54" i="17"/>
  <c r="N177" i="17"/>
  <c r="N294" i="17"/>
  <c r="N55" i="17"/>
  <c r="N113" i="17"/>
  <c r="N56" i="17"/>
  <c r="N295" i="17"/>
  <c r="N489" i="17"/>
  <c r="N57" i="17"/>
  <c r="N58" i="17"/>
  <c r="N433" i="17"/>
  <c r="N360" i="17"/>
  <c r="N178" i="17"/>
  <c r="N237" i="17"/>
  <c r="N490" i="17"/>
  <c r="N434" i="17"/>
  <c r="N491" i="17"/>
  <c r="N114" i="17"/>
  <c r="N492" i="17"/>
  <c r="N115" i="17"/>
  <c r="N59" i="17"/>
  <c r="N60" i="17"/>
  <c r="N116" i="17"/>
  <c r="N61" i="17"/>
  <c r="N179" i="17"/>
  <c r="N361" i="17"/>
  <c r="N296" i="17"/>
  <c r="N435" i="17"/>
  <c r="N297" i="17"/>
  <c r="N493" i="17"/>
  <c r="N362" i="17"/>
  <c r="N117" i="17"/>
  <c r="N494" i="17"/>
  <c r="N118" i="17"/>
  <c r="N436" i="17"/>
  <c r="N437" i="17"/>
  <c r="N363" i="17"/>
  <c r="N180" i="17"/>
  <c r="N495" i="17"/>
  <c r="N364" i="17"/>
  <c r="N298" i="17"/>
  <c r="N238" i="17"/>
  <c r="N239" i="17"/>
  <c r="N438" i="17"/>
  <c r="N119" i="17"/>
  <c r="N240" i="17"/>
  <c r="N241" i="17"/>
  <c r="N496" i="17"/>
  <c r="N299" i="17"/>
  <c r="N62" i="17"/>
  <c r="N497" i="17"/>
  <c r="N498" i="17"/>
  <c r="N120" i="17"/>
  <c r="N365" i="17"/>
  <c r="N121" i="17"/>
  <c r="N122" i="17"/>
  <c r="N499" i="17"/>
  <c r="N242" i="17"/>
  <c r="N123" i="17"/>
  <c r="N243" i="17"/>
  <c r="N500" i="17"/>
  <c r="N501" i="17"/>
  <c r="N181" i="17"/>
  <c r="N182" i="17"/>
  <c r="N63" i="17"/>
  <c r="N300" i="17"/>
  <c r="P244" i="17"/>
  <c r="P124" i="17"/>
  <c r="P439" i="17"/>
  <c r="R439" i="17" s="1"/>
  <c r="S439" i="17" s="1"/>
  <c r="P245" i="17"/>
  <c r="R245" i="17" s="1"/>
  <c r="S245" i="17" s="1"/>
  <c r="P125" i="17"/>
  <c r="P183" i="17"/>
  <c r="P440" i="17"/>
  <c r="P441" i="17"/>
  <c r="P366" i="17"/>
  <c r="P246" i="17"/>
  <c r="P367" i="17"/>
  <c r="P301" i="17"/>
  <c r="P64" i="17"/>
  <c r="P2" i="17"/>
  <c r="P65" i="17"/>
  <c r="P368" i="17"/>
  <c r="R368" i="17" s="1"/>
  <c r="S368" i="17" s="1"/>
  <c r="P369" i="17"/>
  <c r="P370" i="17"/>
  <c r="P66" i="17"/>
  <c r="P247" i="17"/>
  <c r="P3" i="17"/>
  <c r="P4" i="17"/>
  <c r="P371" i="17"/>
  <c r="P248" i="17"/>
  <c r="P126" i="17"/>
  <c r="P127" i="17"/>
  <c r="P67" i="17"/>
  <c r="P372" i="17"/>
  <c r="R372" i="17" s="1"/>
  <c r="S372" i="17" s="1"/>
  <c r="P302" i="17"/>
  <c r="P303" i="17"/>
  <c r="P442" i="17"/>
  <c r="P373" i="17"/>
  <c r="P249" i="17"/>
  <c r="P443" i="17"/>
  <c r="P250" i="17"/>
  <c r="P374" i="17"/>
  <c r="P128" i="17"/>
  <c r="P304" i="17"/>
  <c r="P68" i="17"/>
  <c r="R68" i="17" s="1"/>
  <c r="S68" i="17" s="1"/>
  <c r="P444" i="17"/>
  <c r="R444" i="17" s="1"/>
  <c r="S444" i="17" s="1"/>
  <c r="P375" i="17"/>
  <c r="P445" i="17"/>
  <c r="P251" i="17"/>
  <c r="P5" i="17"/>
  <c r="P6" i="17"/>
  <c r="P184" i="17"/>
  <c r="P129" i="17"/>
  <c r="P252" i="17"/>
  <c r="P7" i="17"/>
  <c r="P376" i="17"/>
  <c r="P305" i="17"/>
  <c r="P306" i="17"/>
  <c r="R306" i="17" s="1"/>
  <c r="S306" i="17" s="1"/>
  <c r="P130" i="17"/>
  <c r="P185" i="17"/>
  <c r="P307" i="17"/>
  <c r="P131" i="17"/>
  <c r="P446" i="17"/>
  <c r="P377" i="17"/>
  <c r="P69" i="17"/>
  <c r="P8" i="17"/>
  <c r="P447" i="17"/>
  <c r="P253" i="17"/>
  <c r="P308" i="17"/>
  <c r="P448" i="17"/>
  <c r="R448" i="17" s="1"/>
  <c r="S448" i="17" s="1"/>
  <c r="P186" i="17"/>
  <c r="P449" i="17"/>
  <c r="P187" i="17"/>
  <c r="P132" i="17"/>
  <c r="P378" i="17"/>
  <c r="P254" i="17"/>
  <c r="P255" i="17"/>
  <c r="P309" i="17"/>
  <c r="P188" i="17"/>
  <c r="P189" i="17"/>
  <c r="P310" i="17"/>
  <c r="R310" i="17" s="1"/>
  <c r="S310" i="17" s="1"/>
  <c r="P190" i="17"/>
  <c r="R190" i="17" s="1"/>
  <c r="S190" i="17" s="1"/>
  <c r="P311" i="17"/>
  <c r="P379" i="17"/>
  <c r="P9" i="17"/>
  <c r="P133" i="17"/>
  <c r="P191" i="17"/>
  <c r="P192" i="17"/>
  <c r="P193" i="17"/>
  <c r="P194" i="17"/>
  <c r="P70" i="17"/>
  <c r="P450" i="17"/>
  <c r="P451" i="17"/>
  <c r="P10" i="17"/>
  <c r="R10" i="17" s="1"/>
  <c r="S10" i="17" s="1"/>
  <c r="P195" i="17"/>
  <c r="P452" i="17"/>
  <c r="P196" i="17"/>
  <c r="P453" i="17"/>
  <c r="P256" i="17"/>
  <c r="P11" i="17"/>
  <c r="P71" i="17"/>
  <c r="P380" i="17"/>
  <c r="P257" i="17"/>
  <c r="P72" i="17"/>
  <c r="P258" i="17"/>
  <c r="P134" i="17"/>
  <c r="R134" i="17" s="1"/>
  <c r="S134" i="17" s="1"/>
  <c r="P135" i="17"/>
  <c r="P312" i="17"/>
  <c r="P12" i="17"/>
  <c r="P381" i="17"/>
  <c r="P13" i="17"/>
  <c r="P14" i="17"/>
  <c r="P136" i="17"/>
  <c r="P313" i="17"/>
  <c r="P259" i="17"/>
  <c r="P382" i="17"/>
  <c r="P15" i="17"/>
  <c r="R15" i="17" s="1"/>
  <c r="S15" i="17" s="1"/>
  <c r="P260" i="17"/>
  <c r="R260" i="17" s="1"/>
  <c r="S260" i="17" s="1"/>
  <c r="P73" i="17"/>
  <c r="P383" i="17"/>
  <c r="P454" i="17"/>
  <c r="P261" i="17"/>
  <c r="P137" i="17"/>
  <c r="P384" i="17"/>
  <c r="P455" i="17"/>
  <c r="P138" i="17"/>
  <c r="P16" i="17"/>
  <c r="P139" i="17"/>
  <c r="P197" i="17"/>
  <c r="P314" i="17"/>
  <c r="R314" i="17" s="1"/>
  <c r="S314" i="17" s="1"/>
  <c r="P17" i="17"/>
  <c r="P456" i="17"/>
  <c r="P18" i="17"/>
  <c r="P457" i="17"/>
  <c r="P262" i="17"/>
  <c r="P140" i="17"/>
  <c r="P458" i="17"/>
  <c r="P263" i="17"/>
  <c r="P385" i="17"/>
  <c r="P315" i="17"/>
  <c r="P141" i="17"/>
  <c r="P198" i="17"/>
  <c r="R198" i="17" s="1"/>
  <c r="S198" i="17" s="1"/>
  <c r="P386" i="17"/>
  <c r="P264" i="17"/>
  <c r="P265" i="17"/>
  <c r="P459" i="17"/>
  <c r="P19" i="17"/>
  <c r="P20" i="17"/>
  <c r="P199" i="17"/>
  <c r="P142" i="17"/>
  <c r="P74" i="17"/>
  <c r="P75" i="17"/>
  <c r="P21" i="17"/>
  <c r="R21" i="17" s="1"/>
  <c r="S21" i="17" s="1"/>
  <c r="P387" i="17"/>
  <c r="R387" i="17" s="1"/>
  <c r="S387" i="17" s="1"/>
  <c r="P460" i="17"/>
  <c r="P143" i="17"/>
  <c r="P316" i="17"/>
  <c r="P461" i="17"/>
  <c r="P266" i="17"/>
  <c r="P267" i="17"/>
  <c r="P76" i="17"/>
  <c r="P317" i="17"/>
  <c r="P77" i="17"/>
  <c r="P144" i="17"/>
  <c r="P318" i="17"/>
  <c r="P268" i="17"/>
  <c r="R268" i="17" s="1"/>
  <c r="S268" i="17" s="1"/>
  <c r="P319" i="17"/>
  <c r="P388" i="17"/>
  <c r="P389" i="17"/>
  <c r="P22" i="17"/>
  <c r="P320" i="17"/>
  <c r="P23" i="17"/>
  <c r="P24" i="17"/>
  <c r="P78" i="17"/>
  <c r="P390" i="17"/>
  <c r="P462" i="17"/>
  <c r="P145" i="17"/>
  <c r="R145" i="17" s="1"/>
  <c r="S145" i="17" s="1"/>
  <c r="P200" i="17"/>
  <c r="R200" i="17" s="1"/>
  <c r="S200" i="17" s="1"/>
  <c r="P146" i="17"/>
  <c r="P269" i="17"/>
  <c r="P147" i="17"/>
  <c r="P321" i="17"/>
  <c r="P25" i="17"/>
  <c r="P463" i="17"/>
  <c r="P26" i="17"/>
  <c r="P464" i="17"/>
  <c r="P148" i="17"/>
  <c r="P391" i="17"/>
  <c r="P27" i="17"/>
  <c r="R27" i="17" s="1"/>
  <c r="S27" i="17" s="1"/>
  <c r="P201" i="17"/>
  <c r="R201" i="17" s="1"/>
  <c r="S201" i="17" s="1"/>
  <c r="P322" i="17"/>
  <c r="P202" i="17"/>
  <c r="P79" i="17"/>
  <c r="P203" i="17"/>
  <c r="P323" i="17"/>
  <c r="P80" i="17"/>
  <c r="P28" i="17"/>
  <c r="P81" i="17"/>
  <c r="P204" i="17"/>
  <c r="P392" i="17"/>
  <c r="P465" i="17"/>
  <c r="P393" i="17"/>
  <c r="R393" i="17" s="1"/>
  <c r="S393" i="17" s="1"/>
  <c r="P205" i="17"/>
  <c r="P82" i="17"/>
  <c r="P206" i="17"/>
  <c r="P29" i="17"/>
  <c r="P149" i="17"/>
  <c r="P270" i="17"/>
  <c r="P150" i="17"/>
  <c r="P394" i="17"/>
  <c r="P271" i="17"/>
  <c r="P395" i="17"/>
  <c r="P83" i="17"/>
  <c r="P272" i="17"/>
  <c r="R272" i="17" s="1"/>
  <c r="S272" i="17" s="1"/>
  <c r="P396" i="17"/>
  <c r="P30" i="17"/>
  <c r="P151" i="17"/>
  <c r="P273" i="17"/>
  <c r="P324" i="17"/>
  <c r="P207" i="17"/>
  <c r="P84" i="17"/>
  <c r="P208" i="17"/>
  <c r="P152" i="17"/>
  <c r="P153" i="17"/>
  <c r="P325" i="17"/>
  <c r="P397" i="17"/>
  <c r="P31" i="17"/>
  <c r="P85" i="17"/>
  <c r="P398" i="17"/>
  <c r="P326" i="17"/>
  <c r="P399" i="17"/>
  <c r="P466" i="17"/>
  <c r="P209" i="17"/>
  <c r="P327" i="17"/>
  <c r="P210" i="17"/>
  <c r="P154" i="17"/>
  <c r="P155" i="17"/>
  <c r="P156" i="17"/>
  <c r="R156" i="17" s="1"/>
  <c r="S156" i="17" s="1"/>
  <c r="P32" i="17"/>
  <c r="P467" i="17"/>
  <c r="P400" i="17"/>
  <c r="P468" i="17"/>
  <c r="P469" i="17"/>
  <c r="P401" i="17"/>
  <c r="P328" i="17"/>
  <c r="P86" i="17"/>
  <c r="P402" i="17"/>
  <c r="P211" i="17"/>
  <c r="P212" i="17"/>
  <c r="P329" i="17"/>
  <c r="R329" i="17" s="1"/>
  <c r="S329" i="17" s="1"/>
  <c r="P330" i="17"/>
  <c r="P470" i="17"/>
  <c r="P157" i="17"/>
  <c r="P331" i="17"/>
  <c r="P158" i="17"/>
  <c r="P471" i="17"/>
  <c r="P332" i="17"/>
  <c r="P403" i="17"/>
  <c r="P213" i="17"/>
  <c r="P274" i="17"/>
  <c r="P275" i="17"/>
  <c r="P33" i="17"/>
  <c r="R33" i="17" s="1"/>
  <c r="S33" i="17" s="1"/>
  <c r="P159" i="17"/>
  <c r="P160" i="17"/>
  <c r="P87" i="17"/>
  <c r="P34" i="17"/>
  <c r="P35" i="17"/>
  <c r="P161" i="17"/>
  <c r="P214" i="17"/>
  <c r="P333" i="17"/>
  <c r="P36" i="17"/>
  <c r="P162" i="17"/>
  <c r="P334" i="17"/>
  <c r="P276" i="17"/>
  <c r="R276" i="17" s="1"/>
  <c r="S276" i="17" s="1"/>
  <c r="P404" i="17"/>
  <c r="P37" i="17"/>
  <c r="P405" i="17"/>
  <c r="P277" i="17"/>
  <c r="P406" i="17"/>
  <c r="P88" i="17"/>
  <c r="P38" i="17"/>
  <c r="P89" i="17"/>
  <c r="P215" i="17"/>
  <c r="P163" i="17"/>
  <c r="P472" i="17"/>
  <c r="P278" i="17"/>
  <c r="R278" i="17" s="1"/>
  <c r="S278" i="17" s="1"/>
  <c r="P473" i="17"/>
  <c r="P39" i="17"/>
  <c r="P164" i="17"/>
  <c r="P335" i="17"/>
  <c r="P165" i="17"/>
  <c r="P90" i="17"/>
  <c r="P474" i="17"/>
  <c r="P166" i="17"/>
  <c r="P407" i="17"/>
  <c r="P216" i="17"/>
  <c r="P336" i="17"/>
  <c r="P337" i="17"/>
  <c r="R337" i="17" s="1"/>
  <c r="S337" i="17" s="1"/>
  <c r="P167" i="17"/>
  <c r="P217" i="17"/>
  <c r="P408" i="17"/>
  <c r="P409" i="17"/>
  <c r="P279" i="17"/>
  <c r="P91" i="17"/>
  <c r="P40" i="17"/>
  <c r="P338" i="17"/>
  <c r="P280" i="17"/>
  <c r="P339" i="17"/>
  <c r="P168" i="17"/>
  <c r="P218" i="17"/>
  <c r="R218" i="17" s="1"/>
  <c r="S218" i="17" s="1"/>
  <c r="P340" i="17"/>
  <c r="P341" i="17"/>
  <c r="P410" i="17"/>
  <c r="P281" i="17"/>
  <c r="P475" i="17"/>
  <c r="P476" i="17"/>
  <c r="P169" i="17"/>
  <c r="P41" i="17"/>
  <c r="P282" i="17"/>
  <c r="P42" i="17"/>
  <c r="P477" i="17"/>
  <c r="P342" i="17"/>
  <c r="R342" i="17" s="1"/>
  <c r="S342" i="17" s="1"/>
  <c r="P478" i="17"/>
  <c r="P92" i="17"/>
  <c r="P343" i="17"/>
  <c r="P93" i="17"/>
  <c r="P170" i="17"/>
  <c r="P411" i="17"/>
  <c r="P219" i="17"/>
  <c r="P344" i="17"/>
  <c r="P94" i="17"/>
  <c r="P412" i="17"/>
  <c r="P283" i="17"/>
  <c r="P284" i="17"/>
  <c r="R284" i="17" s="1"/>
  <c r="S284" i="17" s="1"/>
  <c r="P43" i="17"/>
  <c r="P44" i="17"/>
  <c r="P285" i="17"/>
  <c r="P45" i="17"/>
  <c r="P413" i="17"/>
  <c r="P479" i="17"/>
  <c r="P220" i="17"/>
  <c r="P345" i="17"/>
  <c r="P414" i="17"/>
  <c r="P415" i="17"/>
  <c r="P95" i="17"/>
  <c r="P46" i="17"/>
  <c r="R46" i="17" s="1"/>
  <c r="S46" i="17" s="1"/>
  <c r="P171" i="17"/>
  <c r="P480" i="17"/>
  <c r="P346" i="17"/>
  <c r="P416" i="17"/>
  <c r="P96" i="17"/>
  <c r="P347" i="17"/>
  <c r="P97" i="17"/>
  <c r="P348" i="17"/>
  <c r="P417" i="17"/>
  <c r="P418" i="17"/>
  <c r="P172" i="17"/>
  <c r="P349" i="17"/>
  <c r="R349" i="17" s="1"/>
  <c r="S349" i="17" s="1"/>
  <c r="P419" i="17"/>
  <c r="P286" i="17"/>
  <c r="P98" i="17"/>
  <c r="P221" i="17"/>
  <c r="P222" i="17"/>
  <c r="P99" i="17"/>
  <c r="P420" i="17"/>
  <c r="P223" i="17"/>
  <c r="P224" i="17"/>
  <c r="P481" i="17"/>
  <c r="P100" i="17"/>
  <c r="P421" i="17"/>
  <c r="P287" i="17"/>
  <c r="P101" i="17"/>
  <c r="P288" i="17"/>
  <c r="P173" i="17"/>
  <c r="P422" i="17"/>
  <c r="P423" i="17"/>
  <c r="P225" i="17"/>
  <c r="P47" i="17"/>
  <c r="P48" i="17"/>
  <c r="P350" i="17"/>
  <c r="P482" i="17"/>
  <c r="P424" i="17"/>
  <c r="P102" i="17"/>
  <c r="P103" i="17"/>
  <c r="P483" i="17"/>
  <c r="P351" i="17"/>
  <c r="P352" i="17"/>
  <c r="P104" i="17"/>
  <c r="P289" i="17"/>
  <c r="P353" i="17"/>
  <c r="P354" i="17"/>
  <c r="P174" i="17"/>
  <c r="P355" i="17"/>
  <c r="P484" i="17"/>
  <c r="P105" i="17"/>
  <c r="P425" i="17"/>
  <c r="P49" i="17"/>
  <c r="P226" i="17"/>
  <c r="P356" i="17"/>
  <c r="P106" i="17"/>
  <c r="P357" i="17"/>
  <c r="P227" i="17"/>
  <c r="P228" i="17"/>
  <c r="P50" i="17"/>
  <c r="P51" i="17"/>
  <c r="P175" i="17"/>
  <c r="P426" i="17"/>
  <c r="P52" i="17"/>
  <c r="P229" i="17"/>
  <c r="P290" i="17"/>
  <c r="P176" i="17"/>
  <c r="P230" i="17"/>
  <c r="P427" i="17"/>
  <c r="P485" i="17"/>
  <c r="P486" i="17"/>
  <c r="P107" i="17"/>
  <c r="P487" i="17"/>
  <c r="P358" i="17"/>
  <c r="P108" i="17"/>
  <c r="P231" i="17"/>
  <c r="P232" i="17"/>
  <c r="P428" i="17"/>
  <c r="P233" i="17"/>
  <c r="P53" i="17"/>
  <c r="P234" i="17"/>
  <c r="P429" i="17"/>
  <c r="P291" i="17"/>
  <c r="P488" i="17"/>
  <c r="P109" i="17"/>
  <c r="P292" i="17"/>
  <c r="P110" i="17"/>
  <c r="P111" i="17"/>
  <c r="P359" i="17"/>
  <c r="P430" i="17"/>
  <c r="P293" i="17"/>
  <c r="P431" i="17"/>
  <c r="P432" i="17"/>
  <c r="P112" i="17"/>
  <c r="P235" i="17"/>
  <c r="P236" i="17"/>
  <c r="P54" i="17"/>
  <c r="P177" i="17"/>
  <c r="P294" i="17"/>
  <c r="P55" i="17"/>
  <c r="P113" i="17"/>
  <c r="P56" i="17"/>
  <c r="P295" i="17"/>
  <c r="P489" i="17"/>
  <c r="P57" i="17"/>
  <c r="P58" i="17"/>
  <c r="P433" i="17"/>
  <c r="P360" i="17"/>
  <c r="P178" i="17"/>
  <c r="P237" i="17"/>
  <c r="P490" i="17"/>
  <c r="P434" i="17"/>
  <c r="P491" i="17"/>
  <c r="P114" i="17"/>
  <c r="P492" i="17"/>
  <c r="P115" i="17"/>
  <c r="P59" i="17"/>
  <c r="P60" i="17"/>
  <c r="P116" i="17"/>
  <c r="P61" i="17"/>
  <c r="P179" i="17"/>
  <c r="P361" i="17"/>
  <c r="P296" i="17"/>
  <c r="P435" i="17"/>
  <c r="P297" i="17"/>
  <c r="P493" i="17"/>
  <c r="P362" i="17"/>
  <c r="P117" i="17"/>
  <c r="P494" i="17"/>
  <c r="P118" i="17"/>
  <c r="P436" i="17"/>
  <c r="P437" i="17"/>
  <c r="P363" i="17"/>
  <c r="P180" i="17"/>
  <c r="P495" i="17"/>
  <c r="P364" i="17"/>
  <c r="P298" i="17"/>
  <c r="P238" i="17"/>
  <c r="P239" i="17"/>
  <c r="P438" i="17"/>
  <c r="P119" i="17"/>
  <c r="P240" i="17"/>
  <c r="P241" i="17"/>
  <c r="P496" i="17"/>
  <c r="P299" i="17"/>
  <c r="P62" i="17"/>
  <c r="P497" i="17"/>
  <c r="P498" i="17"/>
  <c r="P120" i="17"/>
  <c r="P365" i="17"/>
  <c r="P121" i="17"/>
  <c r="P122" i="17"/>
  <c r="P499" i="17"/>
  <c r="P242" i="17"/>
  <c r="P123" i="17"/>
  <c r="P243" i="17"/>
  <c r="P500" i="17"/>
  <c r="P501" i="17"/>
  <c r="P181" i="17"/>
  <c r="P182" i="17"/>
  <c r="P63" i="17"/>
  <c r="P300" i="17"/>
  <c r="Q244" i="17"/>
  <c r="Q124" i="17"/>
  <c r="Q439" i="17"/>
  <c r="Q245" i="17"/>
  <c r="Q125" i="17"/>
  <c r="Q183" i="17"/>
  <c r="Q440" i="17"/>
  <c r="R440" i="17" s="1"/>
  <c r="S440" i="17" s="1"/>
  <c r="Q441" i="17"/>
  <c r="R441" i="17" s="1"/>
  <c r="S441" i="17" s="1"/>
  <c r="Q366" i="17"/>
  <c r="Q246" i="17"/>
  <c r="Q367" i="17"/>
  <c r="Q301" i="17"/>
  <c r="Q64" i="17"/>
  <c r="Q2" i="17"/>
  <c r="Q65" i="17"/>
  <c r="Q368" i="17"/>
  <c r="Q369" i="17"/>
  <c r="Q370" i="17"/>
  <c r="Q66" i="17"/>
  <c r="Q247" i="17"/>
  <c r="R247" i="17" s="1"/>
  <c r="S247" i="17" s="1"/>
  <c r="Q3" i="17"/>
  <c r="Q4" i="17"/>
  <c r="Q371" i="17"/>
  <c r="Q248" i="17"/>
  <c r="Q126" i="17"/>
  <c r="Q127" i="17"/>
  <c r="Q67" i="17"/>
  <c r="Q372" i="17"/>
  <c r="Q302" i="17"/>
  <c r="Q303" i="17"/>
  <c r="Q442" i="17"/>
  <c r="Q373" i="17"/>
  <c r="R373" i="17" s="1"/>
  <c r="S373" i="17" s="1"/>
  <c r="Q249" i="17"/>
  <c r="Q443" i="17"/>
  <c r="Q250" i="17"/>
  <c r="Q374" i="17"/>
  <c r="Q128" i="17"/>
  <c r="Q304" i="17"/>
  <c r="Q68" i="17"/>
  <c r="Q444" i="17"/>
  <c r="Q375" i="17"/>
  <c r="Q445" i="17"/>
  <c r="Q251" i="17"/>
  <c r="Q5" i="17"/>
  <c r="R5" i="17" s="1"/>
  <c r="S5" i="17" s="1"/>
  <c r="Q6" i="17"/>
  <c r="Q184" i="17"/>
  <c r="Q129" i="17"/>
  <c r="Q252" i="17"/>
  <c r="Q7" i="17"/>
  <c r="Q376" i="17"/>
  <c r="Q305" i="17"/>
  <c r="Q306" i="17"/>
  <c r="Q130" i="17"/>
  <c r="Q185" i="17"/>
  <c r="Q307" i="17"/>
  <c r="R307" i="17" s="1"/>
  <c r="S307" i="17" s="1"/>
  <c r="Q131" i="17"/>
  <c r="R131" i="17" s="1"/>
  <c r="S131" i="17" s="1"/>
  <c r="Q446" i="17"/>
  <c r="Q377" i="17"/>
  <c r="Q69" i="17"/>
  <c r="Q8" i="17"/>
  <c r="Q447" i="17"/>
  <c r="Q253" i="17"/>
  <c r="Q308" i="17"/>
  <c r="Q448" i="17"/>
  <c r="Q186" i="17"/>
  <c r="Q449" i="17"/>
  <c r="Q187" i="17"/>
  <c r="R187" i="17" s="1"/>
  <c r="S187" i="17" s="1"/>
  <c r="Q132" i="17"/>
  <c r="R132" i="17" s="1"/>
  <c r="S132" i="17" s="1"/>
  <c r="Q378" i="17"/>
  <c r="Q254" i="17"/>
  <c r="Q255" i="17"/>
  <c r="Q309" i="17"/>
  <c r="Q188" i="17"/>
  <c r="Q189" i="17"/>
  <c r="Q310" i="17"/>
  <c r="Q190" i="17"/>
  <c r="Q311" i="17"/>
  <c r="Q379" i="17"/>
  <c r="Q9" i="17"/>
  <c r="R9" i="17" s="1"/>
  <c r="S9" i="17" s="1"/>
  <c r="Q133" i="17"/>
  <c r="R133" i="17" s="1"/>
  <c r="S133" i="17" s="1"/>
  <c r="Q191" i="17"/>
  <c r="Q192" i="17"/>
  <c r="Q193" i="17"/>
  <c r="Q194" i="17"/>
  <c r="Q70" i="17"/>
  <c r="Q450" i="17"/>
  <c r="Q451" i="17"/>
  <c r="Q10" i="17"/>
  <c r="Q195" i="17"/>
  <c r="Q452" i="17"/>
  <c r="Q196" i="17"/>
  <c r="R196" i="17" s="1"/>
  <c r="S196" i="17" s="1"/>
  <c r="Q453" i="17"/>
  <c r="R453" i="17" s="1"/>
  <c r="S453" i="17" s="1"/>
  <c r="Q256" i="17"/>
  <c r="Q11" i="17"/>
  <c r="Q71" i="17"/>
  <c r="Q380" i="17"/>
  <c r="Q257" i="17"/>
  <c r="Q72" i="17"/>
  <c r="Q258" i="17"/>
  <c r="Q134" i="17"/>
  <c r="Q135" i="17"/>
  <c r="Q312" i="17"/>
  <c r="Q12" i="17"/>
  <c r="R12" i="17" s="1"/>
  <c r="S12" i="17" s="1"/>
  <c r="Q381" i="17"/>
  <c r="R381" i="17" s="1"/>
  <c r="S381" i="17" s="1"/>
  <c r="Q13" i="17"/>
  <c r="Q14" i="17"/>
  <c r="Q136" i="17"/>
  <c r="Q313" i="17"/>
  <c r="Q259" i="17"/>
  <c r="Q382" i="17"/>
  <c r="Q15" i="17"/>
  <c r="Q260" i="17"/>
  <c r="Q73" i="17"/>
  <c r="Q383" i="17"/>
  <c r="Q454" i="17"/>
  <c r="Q261" i="17"/>
  <c r="R261" i="17" s="1"/>
  <c r="S261" i="17" s="1"/>
  <c r="Q137" i="17"/>
  <c r="Q384" i="17"/>
  <c r="Q455" i="17"/>
  <c r="Q138" i="17"/>
  <c r="Q16" i="17"/>
  <c r="Q139" i="17"/>
  <c r="Q197" i="17"/>
  <c r="Q314" i="17"/>
  <c r="Q17" i="17"/>
  <c r="Q456" i="17"/>
  <c r="Q18" i="17"/>
  <c r="R18" i="17" s="1"/>
  <c r="S18" i="17" s="1"/>
  <c r="Q457" i="17"/>
  <c r="R457" i="17" s="1"/>
  <c r="S457" i="17" s="1"/>
  <c r="Q262" i="17"/>
  <c r="Q140" i="17"/>
  <c r="Q458" i="17"/>
  <c r="Q263" i="17"/>
  <c r="Q385" i="17"/>
  <c r="Q315" i="17"/>
  <c r="Q141" i="17"/>
  <c r="Q198" i="17"/>
  <c r="Q386" i="17"/>
  <c r="Q264" i="17"/>
  <c r="Q265" i="17"/>
  <c r="R265" i="17" s="1"/>
  <c r="S265" i="17" s="1"/>
  <c r="Q459" i="17"/>
  <c r="R459" i="17" s="1"/>
  <c r="S459" i="17" s="1"/>
  <c r="Q19" i="17"/>
  <c r="Q20" i="17"/>
  <c r="Q199" i="17"/>
  <c r="Q142" i="17"/>
  <c r="Q74" i="17"/>
  <c r="Q75" i="17"/>
  <c r="Q21" i="17"/>
  <c r="Q387" i="17"/>
  <c r="Q460" i="17"/>
  <c r="Q143" i="17"/>
  <c r="Q316" i="17"/>
  <c r="R316" i="17" s="1"/>
  <c r="S316" i="17" s="1"/>
  <c r="Q461" i="17"/>
  <c r="R461" i="17" s="1"/>
  <c r="S461" i="17" s="1"/>
  <c r="Q266" i="17"/>
  <c r="Q267" i="17"/>
  <c r="Q76" i="17"/>
  <c r="Q317" i="17"/>
  <c r="Q77" i="17"/>
  <c r="Q144" i="17"/>
  <c r="Q318" i="17"/>
  <c r="Q268" i="17"/>
  <c r="Q319" i="17"/>
  <c r="Q388" i="17"/>
  <c r="Q389" i="17"/>
  <c r="R389" i="17" s="1"/>
  <c r="S389" i="17" s="1"/>
  <c r="Q22" i="17"/>
  <c r="R22" i="17" s="1"/>
  <c r="S22" i="17" s="1"/>
  <c r="Q320" i="17"/>
  <c r="Q23" i="17"/>
  <c r="R23" i="17" s="1"/>
  <c r="S23" i="17" s="1"/>
  <c r="Q24" i="17"/>
  <c r="Q78" i="17"/>
  <c r="Q390" i="17"/>
  <c r="Q462" i="17"/>
  <c r="Q145" i="17"/>
  <c r="Q200" i="17"/>
  <c r="Q146" i="17"/>
  <c r="Q269" i="17"/>
  <c r="Q147" i="17"/>
  <c r="R147" i="17" s="1"/>
  <c r="S147" i="17" s="1"/>
  <c r="Q321" i="17"/>
  <c r="R321" i="17" s="1"/>
  <c r="S321" i="17" s="1"/>
  <c r="Q25" i="17"/>
  <c r="Q463" i="17"/>
  <c r="Q26" i="17"/>
  <c r="Q464" i="17"/>
  <c r="Q148" i="17"/>
  <c r="Q391" i="17"/>
  <c r="Q27" i="17"/>
  <c r="Q201" i="17"/>
  <c r="Q322" i="17"/>
  <c r="Q202" i="17"/>
  <c r="Q79" i="17"/>
  <c r="Q203" i="17"/>
  <c r="R203" i="17" s="1"/>
  <c r="S203" i="17" s="1"/>
  <c r="Q323" i="17"/>
  <c r="Q80" i="17"/>
  <c r="Q28" i="17"/>
  <c r="Q81" i="17"/>
  <c r="Q204" i="17"/>
  <c r="Q392" i="17"/>
  <c r="Q465" i="17"/>
  <c r="Q393" i="17"/>
  <c r="Q205" i="17"/>
  <c r="Q82" i="17"/>
  <c r="Q206" i="17"/>
  <c r="R206" i="17" s="1"/>
  <c r="S206" i="17" s="1"/>
  <c r="Q29" i="17"/>
  <c r="R29" i="17" s="1"/>
  <c r="S29" i="17" s="1"/>
  <c r="Q149" i="17"/>
  <c r="Q270" i="17"/>
  <c r="Q150" i="17"/>
  <c r="Q394" i="17"/>
  <c r="Q271" i="17"/>
  <c r="Q395" i="17"/>
  <c r="Q83" i="17"/>
  <c r="Q272" i="17"/>
  <c r="Q396" i="17"/>
  <c r="Q30" i="17"/>
  <c r="Q151" i="17"/>
  <c r="R151" i="17" s="1"/>
  <c r="S151" i="17" s="1"/>
  <c r="Q273" i="17"/>
  <c r="R273" i="17" s="1"/>
  <c r="S273" i="17" s="1"/>
  <c r="Q324" i="17"/>
  <c r="Q207" i="17"/>
  <c r="R207" i="17" s="1"/>
  <c r="S207" i="17" s="1"/>
  <c r="Q84" i="17"/>
  <c r="Q208" i="17"/>
  <c r="Q152" i="17"/>
  <c r="Q153" i="17"/>
  <c r="Q325" i="17"/>
  <c r="Q397" i="17"/>
  <c r="Q31" i="17"/>
  <c r="Q85" i="17"/>
  <c r="Q398" i="17"/>
  <c r="R398" i="17" s="1"/>
  <c r="S398" i="17" s="1"/>
  <c r="Q326" i="17"/>
  <c r="R326" i="17" s="1"/>
  <c r="S326" i="17" s="1"/>
  <c r="Q399" i="17"/>
  <c r="Q466" i="17"/>
  <c r="R466" i="17" s="1"/>
  <c r="S466" i="17" s="1"/>
  <c r="Q209" i="17"/>
  <c r="Q327" i="17"/>
  <c r="Q210" i="17"/>
  <c r="Q154" i="17"/>
  <c r="Q155" i="17"/>
  <c r="Q156" i="17"/>
  <c r="Q32" i="17"/>
  <c r="Q467" i="17"/>
  <c r="Q400" i="17"/>
  <c r="Q468" i="17"/>
  <c r="R468" i="17" s="1"/>
  <c r="S468" i="17" s="1"/>
  <c r="Q469" i="17"/>
  <c r="Q401" i="17"/>
  <c r="R401" i="17" s="1"/>
  <c r="S401" i="17" s="1"/>
  <c r="Q328" i="17"/>
  <c r="Q86" i="17"/>
  <c r="Q402" i="17"/>
  <c r="Q211" i="17"/>
  <c r="Q212" i="17"/>
  <c r="Q329" i="17"/>
  <c r="Q330" i="17"/>
  <c r="Q470" i="17"/>
  <c r="Q157" i="17"/>
  <c r="R157" i="17" s="1"/>
  <c r="S157" i="17" s="1"/>
  <c r="Q331" i="17"/>
  <c r="R331" i="17" s="1"/>
  <c r="S331" i="17" s="1"/>
  <c r="Q158" i="17"/>
  <c r="Q471" i="17"/>
  <c r="R471" i="17" s="1"/>
  <c r="S471" i="17" s="1"/>
  <c r="Q332" i="17"/>
  <c r="Q403" i="17"/>
  <c r="Q213" i="17"/>
  <c r="Q274" i="17"/>
  <c r="Q275" i="17"/>
  <c r="Q33" i="17"/>
  <c r="Q159" i="17"/>
  <c r="Q160" i="17"/>
  <c r="Q87" i="17"/>
  <c r="R87" i="17" s="1"/>
  <c r="S87" i="17" s="1"/>
  <c r="Q34" i="17"/>
  <c r="R34" i="17" s="1"/>
  <c r="S34" i="17" s="1"/>
  <c r="Q35" i="17"/>
  <c r="Q161" i="17"/>
  <c r="R161" i="17" s="1"/>
  <c r="S161" i="17" s="1"/>
  <c r="Q214" i="17"/>
  <c r="Q333" i="17"/>
  <c r="Q36" i="17"/>
  <c r="Q162" i="17"/>
  <c r="Q334" i="17"/>
  <c r="Q276" i="17"/>
  <c r="Q404" i="17"/>
  <c r="Q37" i="17"/>
  <c r="Q405" i="17"/>
  <c r="Q277" i="17"/>
  <c r="R277" i="17" s="1"/>
  <c r="S277" i="17" s="1"/>
  <c r="Q406" i="17"/>
  <c r="Q88" i="17"/>
  <c r="R88" i="17" s="1"/>
  <c r="S88" i="17" s="1"/>
  <c r="Q38" i="17"/>
  <c r="Q89" i="17"/>
  <c r="Q215" i="17"/>
  <c r="Q163" i="17"/>
  <c r="Q472" i="17"/>
  <c r="Q278" i="17"/>
  <c r="Q473" i="17"/>
  <c r="Q39" i="17"/>
  <c r="Q164" i="17"/>
  <c r="R164" i="17" s="1"/>
  <c r="S164" i="17" s="1"/>
  <c r="Q335" i="17"/>
  <c r="R335" i="17" s="1"/>
  <c r="S335" i="17" s="1"/>
  <c r="Q165" i="17"/>
  <c r="Q90" i="17"/>
  <c r="R90" i="17" s="1"/>
  <c r="S90" i="17" s="1"/>
  <c r="Q474" i="17"/>
  <c r="Q166" i="17"/>
  <c r="Q407" i="17"/>
  <c r="Q216" i="17"/>
  <c r="Q336" i="17"/>
  <c r="Q337" i="17"/>
  <c r="Q167" i="17"/>
  <c r="Q217" i="17"/>
  <c r="Q408" i="17"/>
  <c r="R408" i="17" s="1"/>
  <c r="S408" i="17" s="1"/>
  <c r="Q409" i="17"/>
  <c r="R409" i="17" s="1"/>
  <c r="S409" i="17" s="1"/>
  <c r="Q279" i="17"/>
  <c r="Q91" i="17"/>
  <c r="Q40" i="17"/>
  <c r="Q338" i="17"/>
  <c r="Q280" i="17"/>
  <c r="Q339" i="17"/>
  <c r="Q168" i="17"/>
  <c r="Q218" i="17"/>
  <c r="Q340" i="17"/>
  <c r="Q341" i="17"/>
  <c r="Q410" i="17"/>
  <c r="R410" i="17" s="1"/>
  <c r="S410" i="17" s="1"/>
  <c r="Q281" i="17"/>
  <c r="R281" i="17" s="1"/>
  <c r="S281" i="17" s="1"/>
  <c r="Q475" i="17"/>
  <c r="Q476" i="17"/>
  <c r="R476" i="17" s="1"/>
  <c r="S476" i="17" s="1"/>
  <c r="Q169" i="17"/>
  <c r="Q41" i="17"/>
  <c r="Q282" i="17"/>
  <c r="Q42" i="17"/>
  <c r="Q477" i="17"/>
  <c r="Q342" i="17"/>
  <c r="Q478" i="17"/>
  <c r="Q92" i="17"/>
  <c r="Q343" i="17"/>
  <c r="R343" i="17" s="1"/>
  <c r="S343" i="17" s="1"/>
  <c r="Q93" i="17"/>
  <c r="R93" i="17" s="1"/>
  <c r="S93" i="17" s="1"/>
  <c r="Q170" i="17"/>
  <c r="Q411" i="17"/>
  <c r="Q219" i="17"/>
  <c r="Q344" i="17"/>
  <c r="Q94" i="17"/>
  <c r="Q412" i="17"/>
  <c r="Q283" i="17"/>
  <c r="Q284" i="17"/>
  <c r="Q43" i="17"/>
  <c r="Q44" i="17"/>
  <c r="Q285" i="17"/>
  <c r="R285" i="17" s="1"/>
  <c r="S285" i="17" s="1"/>
  <c r="Q45" i="17"/>
  <c r="R45" i="17" s="1"/>
  <c r="S45" i="17" s="1"/>
  <c r="Q413" i="17"/>
  <c r="Q479" i="17"/>
  <c r="Q220" i="17"/>
  <c r="Q345" i="17"/>
  <c r="Q414" i="17"/>
  <c r="Q415" i="17"/>
  <c r="Q95" i="17"/>
  <c r="Q46" i="17"/>
  <c r="Q171" i="17"/>
  <c r="Q480" i="17"/>
  <c r="Q346" i="17"/>
  <c r="R346" i="17" s="1"/>
  <c r="S346" i="17" s="1"/>
  <c r="Q416" i="17"/>
  <c r="R416" i="17" s="1"/>
  <c r="S416" i="17" s="1"/>
  <c r="Q96" i="17"/>
  <c r="Q347" i="17"/>
  <c r="R347" i="17" s="1"/>
  <c r="S347" i="17" s="1"/>
  <c r="Q97" i="17"/>
  <c r="Q348" i="17"/>
  <c r="Q417" i="17"/>
  <c r="Q418" i="17"/>
  <c r="Q172" i="17"/>
  <c r="Q349" i="17"/>
  <c r="Q419" i="17"/>
  <c r="Q286" i="17"/>
  <c r="Q98" i="17"/>
  <c r="R98" i="17" s="1"/>
  <c r="S98" i="17" s="1"/>
  <c r="Q221" i="17"/>
  <c r="R221" i="17" s="1"/>
  <c r="S221" i="17" s="1"/>
  <c r="Q222" i="17"/>
  <c r="Q99" i="17"/>
  <c r="R99" i="17" s="1"/>
  <c r="S99" i="17" s="1"/>
  <c r="Q420" i="17"/>
  <c r="Q223" i="17"/>
  <c r="Q224" i="17"/>
  <c r="Q481" i="17"/>
  <c r="Q100" i="17"/>
  <c r="Q421" i="17"/>
  <c r="Q287" i="17"/>
  <c r="Q101" i="17"/>
  <c r="Q288" i="17"/>
  <c r="R288" i="17" s="1"/>
  <c r="S288" i="17" s="1"/>
  <c r="Q173" i="17"/>
  <c r="R173" i="17" s="1"/>
  <c r="S173" i="17" s="1"/>
  <c r="Q422" i="17"/>
  <c r="Q423" i="17"/>
  <c r="R423" i="17" s="1"/>
  <c r="S423" i="17" s="1"/>
  <c r="Q225" i="17"/>
  <c r="Q47" i="17"/>
  <c r="Q48" i="17"/>
  <c r="Q350" i="17"/>
  <c r="Q482" i="17"/>
  <c r="Q424" i="17"/>
  <c r="Q102" i="17"/>
  <c r="Q103" i="17"/>
  <c r="Q483" i="17"/>
  <c r="Q351" i="17"/>
  <c r="R351" i="17" s="1"/>
  <c r="S351" i="17" s="1"/>
  <c r="Q352" i="17"/>
  <c r="R352" i="17" s="1"/>
  <c r="S352" i="17" s="1"/>
  <c r="Q104" i="17"/>
  <c r="R104" i="17" s="1"/>
  <c r="S104" i="17" s="1"/>
  <c r="Q289" i="17"/>
  <c r="Q353" i="17"/>
  <c r="Q354" i="17"/>
  <c r="Q174" i="17"/>
  <c r="Q355" i="17"/>
  <c r="Q484" i="17"/>
  <c r="Q105" i="17"/>
  <c r="Q425" i="17"/>
  <c r="Q49" i="17"/>
  <c r="R49" i="17" s="1"/>
  <c r="S49" i="17" s="1"/>
  <c r="Q226" i="17"/>
  <c r="R226" i="17" s="1"/>
  <c r="S226" i="17" s="1"/>
  <c r="Q356" i="17"/>
  <c r="Q106" i="17"/>
  <c r="R106" i="17" s="1"/>
  <c r="S106" i="17" s="1"/>
  <c r="Q357" i="17"/>
  <c r="Q227" i="17"/>
  <c r="R227" i="17" s="1"/>
  <c r="S227" i="17" s="1"/>
  <c r="Q228" i="17"/>
  <c r="Q50" i="17"/>
  <c r="R50" i="17" s="1"/>
  <c r="S50" i="17" s="1"/>
  <c r="Q51" i="17"/>
  <c r="Q175" i="17"/>
  <c r="Q426" i="17"/>
  <c r="Q52" i="17"/>
  <c r="Q229" i="17"/>
  <c r="R229" i="17" s="1"/>
  <c r="S229" i="17" s="1"/>
  <c r="Q290" i="17"/>
  <c r="R290" i="17" s="1"/>
  <c r="S290" i="17" s="1"/>
  <c r="Q176" i="17"/>
  <c r="Q230" i="17"/>
  <c r="R230" i="17" s="1"/>
  <c r="S230" i="17" s="1"/>
  <c r="Q427" i="17"/>
  <c r="Q485" i="17"/>
  <c r="Q486" i="17"/>
  <c r="R486" i="17" s="1"/>
  <c r="S486" i="17" s="1"/>
  <c r="Q107" i="17"/>
  <c r="Q487" i="17"/>
  <c r="Q358" i="17"/>
  <c r="Q108" i="17"/>
  <c r="Q231" i="17"/>
  <c r="Q232" i="17"/>
  <c r="R232" i="17" s="1"/>
  <c r="S232" i="17" s="1"/>
  <c r="Q428" i="17"/>
  <c r="R428" i="17" s="1"/>
  <c r="S428" i="17" s="1"/>
  <c r="Q233" i="17"/>
  <c r="Q53" i="17"/>
  <c r="R53" i="17" s="1"/>
  <c r="S53" i="17" s="1"/>
  <c r="Q234" i="17"/>
  <c r="Q429" i="17"/>
  <c r="R429" i="17" s="1"/>
  <c r="S429" i="17" s="1"/>
  <c r="Q291" i="17"/>
  <c r="R291" i="17" s="1"/>
  <c r="S291" i="17" s="1"/>
  <c r="Q488" i="17"/>
  <c r="R488" i="17" s="1"/>
  <c r="S488" i="17" s="1"/>
  <c r="Q109" i="17"/>
  <c r="Q292" i="17"/>
  <c r="Q110" i="17"/>
  <c r="R110" i="17" s="1"/>
  <c r="S110" i="17" s="1"/>
  <c r="Q111" i="17"/>
  <c r="Q359" i="17"/>
  <c r="R359" i="17" s="1"/>
  <c r="S359" i="17" s="1"/>
  <c r="Q430" i="17"/>
  <c r="R430" i="17" s="1"/>
  <c r="S430" i="17" s="1"/>
  <c r="Q293" i="17"/>
  <c r="R293" i="17" s="1"/>
  <c r="S293" i="17" s="1"/>
  <c r="Q431" i="17"/>
  <c r="R431" i="17" s="1"/>
  <c r="S431" i="17" s="1"/>
  <c r="Q432" i="17"/>
  <c r="Q112" i="17"/>
  <c r="Q235" i="17"/>
  <c r="Q236" i="17"/>
  <c r="Q54" i="17"/>
  <c r="Q177" i="17"/>
  <c r="Q294" i="17"/>
  <c r="Q55" i="17"/>
  <c r="R55" i="17" s="1"/>
  <c r="S55" i="17" s="1"/>
  <c r="Q113" i="17"/>
  <c r="R113" i="17" s="1"/>
  <c r="S113" i="17" s="1"/>
  <c r="Q56" i="17"/>
  <c r="R56" i="17" s="1"/>
  <c r="S56" i="17" s="1"/>
  <c r="Q295" i="17"/>
  <c r="Q489" i="17"/>
  <c r="R489" i="17" s="1"/>
  <c r="S489" i="17" s="1"/>
  <c r="Q57" i="17"/>
  <c r="Q58" i="17"/>
  <c r="Q433" i="17"/>
  <c r="Q360" i="17"/>
  <c r="R360" i="17" s="1"/>
  <c r="S360" i="17" s="1"/>
  <c r="Q178" i="17"/>
  <c r="Q237" i="17"/>
  <c r="Q490" i="17"/>
  <c r="Q434" i="17"/>
  <c r="Q491" i="17"/>
  <c r="R491" i="17" s="1"/>
  <c r="S491" i="17" s="1"/>
  <c r="Q114" i="17"/>
  <c r="R114" i="17" s="1"/>
  <c r="S114" i="17" s="1"/>
  <c r="Q492" i="17"/>
  <c r="R492" i="17" s="1"/>
  <c r="S492" i="17" s="1"/>
  <c r="Q115" i="17"/>
  <c r="R115" i="17" s="1"/>
  <c r="S115" i="17" s="1"/>
  <c r="Q59" i="17"/>
  <c r="Q60" i="17"/>
  <c r="Q116" i="17"/>
  <c r="Q61" i="17"/>
  <c r="Q179" i="17"/>
  <c r="Q361" i="17"/>
  <c r="Q296" i="17"/>
  <c r="Q435" i="17"/>
  <c r="Q297" i="17"/>
  <c r="R297" i="17" s="1"/>
  <c r="S297" i="17" s="1"/>
  <c r="Q493" i="17"/>
  <c r="R493" i="17" s="1"/>
  <c r="S493" i="17" s="1"/>
  <c r="Q362" i="17"/>
  <c r="Q117" i="17"/>
  <c r="R117" i="17" s="1"/>
  <c r="S117" i="17" s="1"/>
  <c r="Q494" i="17"/>
  <c r="R494" i="17" s="1"/>
  <c r="S494" i="17" s="1"/>
  <c r="Q118" i="17"/>
  <c r="R118" i="17" s="1"/>
  <c r="S118" i="17" s="1"/>
  <c r="Q436" i="17"/>
  <c r="R436" i="17" s="1"/>
  <c r="S436" i="17" s="1"/>
  <c r="Q437" i="17"/>
  <c r="Q363" i="17"/>
  <c r="Q180" i="17"/>
  <c r="Q495" i="17"/>
  <c r="Q364" i="17"/>
  <c r="Q298" i="17"/>
  <c r="R298" i="17" s="1"/>
  <c r="S298" i="17" s="1"/>
  <c r="Q238" i="17"/>
  <c r="R238" i="17" s="1"/>
  <c r="S238" i="17" s="1"/>
  <c r="Q239" i="17"/>
  <c r="R239" i="17" s="1"/>
  <c r="S239" i="17" s="1"/>
  <c r="Q438" i="17"/>
  <c r="R438" i="17" s="1"/>
  <c r="S438" i="17" s="1"/>
  <c r="Q119" i="17"/>
  <c r="Q240" i="17"/>
  <c r="Q241" i="17"/>
  <c r="R241" i="17" s="1"/>
  <c r="S241" i="17" s="1"/>
  <c r="Q496" i="17"/>
  <c r="R496" i="17" s="1"/>
  <c r="S496" i="17" s="1"/>
  <c r="Q299" i="17"/>
  <c r="Q62" i="17"/>
  <c r="Q497" i="17"/>
  <c r="R497" i="17" s="1"/>
  <c r="S497" i="17" s="1"/>
  <c r="Q498" i="17"/>
  <c r="Q120" i="17"/>
  <c r="R120" i="17" s="1"/>
  <c r="S120" i="17" s="1"/>
  <c r="Q365" i="17"/>
  <c r="R365" i="17" s="1"/>
  <c r="S365" i="17" s="1"/>
  <c r="Q121" i="17"/>
  <c r="Q122" i="17"/>
  <c r="R122" i="17" s="1"/>
  <c r="S122" i="17" s="1"/>
  <c r="Q499" i="17"/>
  <c r="Q242" i="17"/>
  <c r="R242" i="17" s="1"/>
  <c r="S242" i="17" s="1"/>
  <c r="Q123" i="17"/>
  <c r="R123" i="17" s="1"/>
  <c r="S123" i="17" s="1"/>
  <c r="Q243" i="17"/>
  <c r="R243" i="17" s="1"/>
  <c r="S243" i="17" s="1"/>
  <c r="Q500" i="17"/>
  <c r="R500" i="17" s="1"/>
  <c r="Q501" i="17"/>
  <c r="Q181" i="17"/>
  <c r="R181" i="17" s="1"/>
  <c r="S181" i="17" s="1"/>
  <c r="Q182" i="17"/>
  <c r="R182" i="17" s="1"/>
  <c r="S182" i="17" s="1"/>
  <c r="Q63" i="17"/>
  <c r="R63" i="17" s="1"/>
  <c r="S63" i="17" s="1"/>
  <c r="Q300" i="17"/>
  <c r="R300" i="17" s="1"/>
  <c r="S300" i="17" s="1"/>
  <c r="R244" i="17"/>
  <c r="S244" i="17" s="1"/>
  <c r="R124" i="17"/>
  <c r="S124" i="17" s="1"/>
  <c r="R125" i="17"/>
  <c r="R183" i="17"/>
  <c r="S183" i="17" s="1"/>
  <c r="R366" i="17"/>
  <c r="R246" i="17"/>
  <c r="S246" i="17" s="1"/>
  <c r="R367" i="17"/>
  <c r="S367" i="17" s="1"/>
  <c r="R301" i="17"/>
  <c r="S301" i="17" s="1"/>
  <c r="R64" i="17"/>
  <c r="S64" i="17" s="1"/>
  <c r="R2" i="17"/>
  <c r="S2" i="17" s="1"/>
  <c r="R65" i="17"/>
  <c r="R369" i="17"/>
  <c r="S369" i="17" s="1"/>
  <c r="R370" i="17"/>
  <c r="S370" i="17" s="1"/>
  <c r="R66" i="17"/>
  <c r="S66" i="17" s="1"/>
  <c r="R3" i="17"/>
  <c r="S3" i="17" s="1"/>
  <c r="R4" i="17"/>
  <c r="S4" i="17" s="1"/>
  <c r="R371" i="17"/>
  <c r="S371" i="17" s="1"/>
  <c r="R248" i="17"/>
  <c r="S248" i="17" s="1"/>
  <c r="R126" i="17"/>
  <c r="S126" i="17" s="1"/>
  <c r="R127" i="17"/>
  <c r="S127" i="17" s="1"/>
  <c r="R67" i="17"/>
  <c r="S67" i="17" s="1"/>
  <c r="R302" i="17"/>
  <c r="S302" i="17" s="1"/>
  <c r="R303" i="17"/>
  <c r="S303" i="17" s="1"/>
  <c r="R442" i="17"/>
  <c r="S442" i="17" s="1"/>
  <c r="R249" i="17"/>
  <c r="R443" i="17"/>
  <c r="R250" i="17"/>
  <c r="S250" i="17" s="1"/>
  <c r="R374" i="17"/>
  <c r="S374" i="17" s="1"/>
  <c r="R128" i="17"/>
  <c r="R304" i="17"/>
  <c r="S304" i="17" s="1"/>
  <c r="R375" i="17"/>
  <c r="S375" i="17" s="1"/>
  <c r="R445" i="17"/>
  <c r="S445" i="17" s="1"/>
  <c r="R251" i="17"/>
  <c r="S251" i="17" s="1"/>
  <c r="R6" i="17"/>
  <c r="S6" i="17" s="1"/>
  <c r="R184" i="17"/>
  <c r="R129" i="17"/>
  <c r="S129" i="17" s="1"/>
  <c r="R252" i="17"/>
  <c r="S252" i="17" s="1"/>
  <c r="R7" i="17"/>
  <c r="R376" i="17"/>
  <c r="S376" i="17" s="1"/>
  <c r="R305" i="17"/>
  <c r="R130" i="17"/>
  <c r="S130" i="17" s="1"/>
  <c r="R185" i="17"/>
  <c r="S185" i="17" s="1"/>
  <c r="R446" i="17"/>
  <c r="S446" i="17" s="1"/>
  <c r="R377" i="17"/>
  <c r="S377" i="17" s="1"/>
  <c r="R69" i="17"/>
  <c r="S69" i="17" s="1"/>
  <c r="R8" i="17"/>
  <c r="S8" i="17" s="1"/>
  <c r="R447" i="17"/>
  <c r="S447" i="17" s="1"/>
  <c r="R253" i="17"/>
  <c r="S253" i="17" s="1"/>
  <c r="R308" i="17"/>
  <c r="R186" i="17"/>
  <c r="S186" i="17" s="1"/>
  <c r="R449" i="17"/>
  <c r="S449" i="17" s="1"/>
  <c r="R378" i="17"/>
  <c r="S378" i="17" s="1"/>
  <c r="R254" i="17"/>
  <c r="S254" i="17" s="1"/>
  <c r="R255" i="17"/>
  <c r="S255" i="17" s="1"/>
  <c r="R309" i="17"/>
  <c r="S309" i="17" s="1"/>
  <c r="R188" i="17"/>
  <c r="S188" i="17" s="1"/>
  <c r="R189" i="17"/>
  <c r="S189" i="17" s="1"/>
  <c r="R311" i="17"/>
  <c r="S311" i="17" s="1"/>
  <c r="R379" i="17"/>
  <c r="S379" i="17" s="1"/>
  <c r="R191" i="17"/>
  <c r="S191" i="17" s="1"/>
  <c r="R192" i="17"/>
  <c r="S192" i="17" s="1"/>
  <c r="R193" i="17"/>
  <c r="S193" i="17" s="1"/>
  <c r="R194" i="17"/>
  <c r="S194" i="17" s="1"/>
  <c r="R70" i="17"/>
  <c r="S70" i="17" s="1"/>
  <c r="R450" i="17"/>
  <c r="S450" i="17" s="1"/>
  <c r="R451" i="17"/>
  <c r="S451" i="17" s="1"/>
  <c r="R195" i="17"/>
  <c r="S195" i="17" s="1"/>
  <c r="R452" i="17"/>
  <c r="S452" i="17" s="1"/>
  <c r="R256" i="17"/>
  <c r="R11" i="17"/>
  <c r="S11" i="17" s="1"/>
  <c r="R71" i="17"/>
  <c r="S71" i="17" s="1"/>
  <c r="R380" i="17"/>
  <c r="S380" i="17" s="1"/>
  <c r="R257" i="17"/>
  <c r="R72" i="17"/>
  <c r="S72" i="17" s="1"/>
  <c r="R258" i="17"/>
  <c r="S258" i="17" s="1"/>
  <c r="R135" i="17"/>
  <c r="S135" i="17" s="1"/>
  <c r="R312" i="17"/>
  <c r="S312" i="17" s="1"/>
  <c r="R13" i="17"/>
  <c r="S13" i="17" s="1"/>
  <c r="R14" i="17"/>
  <c r="R136" i="17"/>
  <c r="S136" i="17" s="1"/>
  <c r="R313" i="17"/>
  <c r="S313" i="17" s="1"/>
  <c r="R259" i="17"/>
  <c r="S259" i="17" s="1"/>
  <c r="R382" i="17"/>
  <c r="S382" i="17" s="1"/>
  <c r="R73" i="17"/>
  <c r="S73" i="17" s="1"/>
  <c r="R383" i="17"/>
  <c r="S383" i="17" s="1"/>
  <c r="R454" i="17"/>
  <c r="S454" i="17" s="1"/>
  <c r="R137" i="17"/>
  <c r="S137" i="17" s="1"/>
  <c r="R384" i="17"/>
  <c r="S384" i="17" s="1"/>
  <c r="R455" i="17"/>
  <c r="S455" i="17" s="1"/>
  <c r="R138" i="17"/>
  <c r="S138" i="17" s="1"/>
  <c r="R16" i="17"/>
  <c r="S16" i="17" s="1"/>
  <c r="R139" i="17"/>
  <c r="S139" i="17" s="1"/>
  <c r="R197" i="17"/>
  <c r="S197" i="17" s="1"/>
  <c r="R17" i="17"/>
  <c r="R456" i="17"/>
  <c r="R262" i="17"/>
  <c r="S262" i="17" s="1"/>
  <c r="R140" i="17"/>
  <c r="S140" i="17" s="1"/>
  <c r="R458" i="17"/>
  <c r="S458" i="17" s="1"/>
  <c r="R263" i="17"/>
  <c r="S263" i="17" s="1"/>
  <c r="R385" i="17"/>
  <c r="S385" i="17" s="1"/>
  <c r="R315" i="17"/>
  <c r="S315" i="17" s="1"/>
  <c r="R141" i="17"/>
  <c r="S141" i="17" s="1"/>
  <c r="R386" i="17"/>
  <c r="R264" i="17"/>
  <c r="S264" i="17" s="1"/>
  <c r="R19" i="17"/>
  <c r="R20" i="17"/>
  <c r="R199" i="17"/>
  <c r="S199" i="17" s="1"/>
  <c r="R142" i="17"/>
  <c r="S142" i="17" s="1"/>
  <c r="R74" i="17"/>
  <c r="S74" i="17" s="1"/>
  <c r="R75" i="17"/>
  <c r="S75" i="17" s="1"/>
  <c r="R460" i="17"/>
  <c r="S460" i="17" s="1"/>
  <c r="R143" i="17"/>
  <c r="S143" i="17" s="1"/>
  <c r="R266" i="17"/>
  <c r="S266" i="17" s="1"/>
  <c r="R267" i="17"/>
  <c r="S267" i="17" s="1"/>
  <c r="R76" i="17"/>
  <c r="S76" i="17" s="1"/>
  <c r="R317" i="17"/>
  <c r="S317" i="17" s="1"/>
  <c r="R77" i="17"/>
  <c r="S77" i="17" s="1"/>
  <c r="R144" i="17"/>
  <c r="S144" i="17" s="1"/>
  <c r="R318" i="17"/>
  <c r="S318" i="17" s="1"/>
  <c r="R319" i="17"/>
  <c r="S319" i="17" s="1"/>
  <c r="R388" i="17"/>
  <c r="S388" i="17" s="1"/>
  <c r="R320" i="17"/>
  <c r="S320" i="17" s="1"/>
  <c r="R24" i="17"/>
  <c r="S24" i="17" s="1"/>
  <c r="R78" i="17"/>
  <c r="S78" i="17" s="1"/>
  <c r="R390" i="17"/>
  <c r="S390" i="17" s="1"/>
  <c r="R462" i="17"/>
  <c r="S462" i="17" s="1"/>
  <c r="R146" i="17"/>
  <c r="S146" i="17" s="1"/>
  <c r="R269" i="17"/>
  <c r="S269" i="17" s="1"/>
  <c r="R25" i="17"/>
  <c r="S25" i="17" s="1"/>
  <c r="R463" i="17"/>
  <c r="S463" i="17" s="1"/>
  <c r="R26" i="17"/>
  <c r="S26" i="17" s="1"/>
  <c r="R464" i="17"/>
  <c r="S464" i="17" s="1"/>
  <c r="R148" i="17"/>
  <c r="S148" i="17" s="1"/>
  <c r="R391" i="17"/>
  <c r="R322" i="17"/>
  <c r="S322" i="17" s="1"/>
  <c r="R202" i="17"/>
  <c r="S202" i="17" s="1"/>
  <c r="R79" i="17"/>
  <c r="S79" i="17" s="1"/>
  <c r="R323" i="17"/>
  <c r="S323" i="17" s="1"/>
  <c r="R80" i="17"/>
  <c r="S80" i="17" s="1"/>
  <c r="R28" i="17"/>
  <c r="S28" i="17" s="1"/>
  <c r="R81" i="17"/>
  <c r="S81" i="17" s="1"/>
  <c r="R204" i="17"/>
  <c r="S204" i="17" s="1"/>
  <c r="R392" i="17"/>
  <c r="S392" i="17" s="1"/>
  <c r="R465" i="17"/>
  <c r="S465" i="17" s="1"/>
  <c r="R205" i="17"/>
  <c r="R82" i="17"/>
  <c r="S82" i="17" s="1"/>
  <c r="R149" i="17"/>
  <c r="S149" i="17" s="1"/>
  <c r="R270" i="17"/>
  <c r="S270" i="17" s="1"/>
  <c r="R150" i="17"/>
  <c r="S150" i="17" s="1"/>
  <c r="R394" i="17"/>
  <c r="S394" i="17" s="1"/>
  <c r="R271" i="17"/>
  <c r="S271" i="17" s="1"/>
  <c r="R395" i="17"/>
  <c r="S395" i="17" s="1"/>
  <c r="R396" i="17"/>
  <c r="S396" i="17" s="1"/>
  <c r="R30" i="17"/>
  <c r="S30" i="17" s="1"/>
  <c r="R324" i="17"/>
  <c r="S324" i="17" s="1"/>
  <c r="R84" i="17"/>
  <c r="S84" i="17" s="1"/>
  <c r="R208" i="17"/>
  <c r="S208" i="17" s="1"/>
  <c r="R152" i="17"/>
  <c r="S152" i="17" s="1"/>
  <c r="R153" i="17"/>
  <c r="S153" i="17" s="1"/>
  <c r="R397" i="17"/>
  <c r="S397" i="17" s="1"/>
  <c r="R31" i="17"/>
  <c r="S31" i="17" s="1"/>
  <c r="R85" i="17"/>
  <c r="S85" i="17" s="1"/>
  <c r="R399" i="17"/>
  <c r="S399" i="17" s="1"/>
  <c r="R209" i="17"/>
  <c r="S209" i="17" s="1"/>
  <c r="R327" i="17"/>
  <c r="S327" i="17" s="1"/>
  <c r="R210" i="17"/>
  <c r="S210" i="17" s="1"/>
  <c r="R154" i="17"/>
  <c r="S154" i="17" s="1"/>
  <c r="R32" i="17"/>
  <c r="S32" i="17" s="1"/>
  <c r="R467" i="17"/>
  <c r="S467" i="17" s="1"/>
  <c r="R400" i="17"/>
  <c r="S400" i="17" s="1"/>
  <c r="R469" i="17"/>
  <c r="S469" i="17" s="1"/>
  <c r="R328" i="17"/>
  <c r="S328" i="17" s="1"/>
  <c r="R86" i="17"/>
  <c r="S86" i="17" s="1"/>
  <c r="R402" i="17"/>
  <c r="S402" i="17" s="1"/>
  <c r="R211" i="17"/>
  <c r="S211" i="17" s="1"/>
  <c r="R330" i="17"/>
  <c r="S330" i="17" s="1"/>
  <c r="R470" i="17"/>
  <c r="S470" i="17" s="1"/>
  <c r="R158" i="17"/>
  <c r="S158" i="17" s="1"/>
  <c r="R332" i="17"/>
  <c r="S332" i="17" s="1"/>
  <c r="R403" i="17"/>
  <c r="S403" i="17" s="1"/>
  <c r="R213" i="17"/>
  <c r="S213" i="17" s="1"/>
  <c r="R274" i="17"/>
  <c r="S274" i="17" s="1"/>
  <c r="R159" i="17"/>
  <c r="S159" i="17" s="1"/>
  <c r="R160" i="17"/>
  <c r="S160" i="17" s="1"/>
  <c r="R35" i="17"/>
  <c r="R214" i="17"/>
  <c r="S214" i="17" s="1"/>
  <c r="R333" i="17"/>
  <c r="S333" i="17" s="1"/>
  <c r="R36" i="17"/>
  <c r="S36" i="17" s="1"/>
  <c r="R162" i="17"/>
  <c r="S162" i="17" s="1"/>
  <c r="R404" i="17"/>
  <c r="S404" i="17" s="1"/>
  <c r="R37" i="17"/>
  <c r="S37" i="17" s="1"/>
  <c r="R405" i="17"/>
  <c r="S405" i="17" s="1"/>
  <c r="R406" i="17"/>
  <c r="R38" i="17"/>
  <c r="R89" i="17"/>
  <c r="R215" i="17"/>
  <c r="S215" i="17" s="1"/>
  <c r="R163" i="17"/>
  <c r="S163" i="17" s="1"/>
  <c r="R473" i="17"/>
  <c r="S473" i="17" s="1"/>
  <c r="R39" i="17"/>
  <c r="S39" i="17" s="1"/>
  <c r="R165" i="17"/>
  <c r="S165" i="17" s="1"/>
  <c r="R474" i="17"/>
  <c r="R166" i="17"/>
  <c r="S166" i="17" s="1"/>
  <c r="R407" i="17"/>
  <c r="S407" i="17" s="1"/>
  <c r="R216" i="17"/>
  <c r="S216" i="17" s="1"/>
  <c r="R167" i="17"/>
  <c r="S167" i="17" s="1"/>
  <c r="R217" i="17"/>
  <c r="S217" i="17" s="1"/>
  <c r="R279" i="17"/>
  <c r="S279" i="17" s="1"/>
  <c r="R91" i="17"/>
  <c r="S91" i="17" s="1"/>
  <c r="R40" i="17"/>
  <c r="S40" i="17" s="1"/>
  <c r="R338" i="17"/>
  <c r="R280" i="17"/>
  <c r="R339" i="17"/>
  <c r="R340" i="17"/>
  <c r="S340" i="17" s="1"/>
  <c r="R341" i="17"/>
  <c r="S341" i="17" s="1"/>
  <c r="R475" i="17"/>
  <c r="S475" i="17" s="1"/>
  <c r="R169" i="17"/>
  <c r="S169" i="17" s="1"/>
  <c r="R41" i="17"/>
  <c r="S41" i="17" s="1"/>
  <c r="R282" i="17"/>
  <c r="R42" i="17"/>
  <c r="R478" i="17"/>
  <c r="S478" i="17" s="1"/>
  <c r="R92" i="17"/>
  <c r="S92" i="17" s="1"/>
  <c r="R170" i="17"/>
  <c r="S170" i="17" s="1"/>
  <c r="R411" i="17"/>
  <c r="S411" i="17" s="1"/>
  <c r="R219" i="17"/>
  <c r="S219" i="17" s="1"/>
  <c r="R344" i="17"/>
  <c r="S344" i="17" s="1"/>
  <c r="R94" i="17"/>
  <c r="S94" i="17" s="1"/>
  <c r="R412" i="17"/>
  <c r="R43" i="17"/>
  <c r="S43" i="17" s="1"/>
  <c r="R44" i="17"/>
  <c r="S44" i="17" s="1"/>
  <c r="R413" i="17"/>
  <c r="S413" i="17" s="1"/>
  <c r="R479" i="17"/>
  <c r="S479" i="17" s="1"/>
  <c r="R220" i="17"/>
  <c r="S220" i="17" s="1"/>
  <c r="R345" i="17"/>
  <c r="R414" i="17"/>
  <c r="S414" i="17" s="1"/>
  <c r="R415" i="17"/>
  <c r="S415" i="17" s="1"/>
  <c r="R171" i="17"/>
  <c r="S171" i="17" s="1"/>
  <c r="R480" i="17"/>
  <c r="S480" i="17" s="1"/>
  <c r="R96" i="17"/>
  <c r="S96" i="17" s="1"/>
  <c r="R97" i="17"/>
  <c r="S97" i="17" s="1"/>
  <c r="R348" i="17"/>
  <c r="S348" i="17" s="1"/>
  <c r="R417" i="17"/>
  <c r="S417" i="17" s="1"/>
  <c r="R418" i="17"/>
  <c r="S418" i="17" s="1"/>
  <c r="R419" i="17"/>
  <c r="S419" i="17" s="1"/>
  <c r="R286" i="17"/>
  <c r="R222" i="17"/>
  <c r="S222" i="17" s="1"/>
  <c r="R420" i="17"/>
  <c r="S420" i="17" s="1"/>
  <c r="R223" i="17"/>
  <c r="S223" i="17" s="1"/>
  <c r="R224" i="17"/>
  <c r="S224" i="17" s="1"/>
  <c r="R481" i="17"/>
  <c r="R287" i="17"/>
  <c r="S287" i="17" s="1"/>
  <c r="R101" i="17"/>
  <c r="S101" i="17" s="1"/>
  <c r="R422" i="17"/>
  <c r="S422" i="17" s="1"/>
  <c r="R225" i="17"/>
  <c r="S225" i="17" s="1"/>
  <c r="R47" i="17"/>
  <c r="S47" i="17" s="1"/>
  <c r="R48" i="17"/>
  <c r="S48" i="17" s="1"/>
  <c r="R350" i="17"/>
  <c r="S350" i="17" s="1"/>
  <c r="R102" i="17"/>
  <c r="S102" i="17" s="1"/>
  <c r="R103" i="17"/>
  <c r="S103" i="17" s="1"/>
  <c r="R483" i="17"/>
  <c r="S483" i="17" s="1"/>
  <c r="R289" i="17"/>
  <c r="S289" i="17" s="1"/>
  <c r="R353" i="17"/>
  <c r="S353" i="17" s="1"/>
  <c r="R354" i="17"/>
  <c r="S354" i="17" s="1"/>
  <c r="R174" i="17"/>
  <c r="S174" i="17" s="1"/>
  <c r="R105" i="17"/>
  <c r="S105" i="17" s="1"/>
  <c r="R425" i="17"/>
  <c r="S425" i="17" s="1"/>
  <c r="R356" i="17"/>
  <c r="S356" i="17" s="1"/>
  <c r="R357" i="17"/>
  <c r="R228" i="17"/>
  <c r="S228" i="17" s="1"/>
  <c r="R426" i="17"/>
  <c r="S426" i="17" s="1"/>
  <c r="R52" i="17"/>
  <c r="S52" i="17" s="1"/>
  <c r="R176" i="17"/>
  <c r="S176" i="17" s="1"/>
  <c r="R427" i="17"/>
  <c r="S427" i="17" s="1"/>
  <c r="R485" i="17"/>
  <c r="S485" i="17" s="1"/>
  <c r="R107" i="17"/>
  <c r="S107" i="17" s="1"/>
  <c r="R108" i="17"/>
  <c r="S108" i="17" s="1"/>
  <c r="R231" i="17"/>
  <c r="R233" i="17"/>
  <c r="R234" i="17"/>
  <c r="S234" i="17" s="1"/>
  <c r="R111" i="17"/>
  <c r="R432" i="17"/>
  <c r="S432" i="17" s="1"/>
  <c r="R112" i="17"/>
  <c r="S112" i="17" s="1"/>
  <c r="R235" i="17"/>
  <c r="S235" i="17" s="1"/>
  <c r="R236" i="17"/>
  <c r="S236" i="17" s="1"/>
  <c r="R294" i="17"/>
  <c r="S294" i="17" s="1"/>
  <c r="R295" i="17"/>
  <c r="S295" i="17" s="1"/>
  <c r="R57" i="17"/>
  <c r="R58" i="17"/>
  <c r="R433" i="17"/>
  <c r="S433" i="17" s="1"/>
  <c r="R490" i="17"/>
  <c r="S490" i="17" s="1"/>
  <c r="R434" i="17"/>
  <c r="R59" i="17"/>
  <c r="S59" i="17" s="1"/>
  <c r="R60" i="17"/>
  <c r="S60" i="17" s="1"/>
  <c r="R116" i="17"/>
  <c r="S116" i="17" s="1"/>
  <c r="R61" i="17"/>
  <c r="S61" i="17" s="1"/>
  <c r="R296" i="17"/>
  <c r="S296" i="17" s="1"/>
  <c r="R435" i="17"/>
  <c r="S435" i="17" s="1"/>
  <c r="R362" i="17"/>
  <c r="S362" i="17" s="1"/>
  <c r="R437" i="17"/>
  <c r="S437" i="17" s="1"/>
  <c r="R495" i="17"/>
  <c r="S495" i="17" s="1"/>
  <c r="R364" i="17"/>
  <c r="S364" i="17" s="1"/>
  <c r="R119" i="17"/>
  <c r="S119" i="17" s="1"/>
  <c r="R240" i="17"/>
  <c r="S240" i="17" s="1"/>
  <c r="R498" i="17"/>
  <c r="S498" i="17" s="1"/>
  <c r="R121" i="17"/>
  <c r="S121" i="17" s="1"/>
  <c r="R499" i="17"/>
  <c r="S499" i="17" s="1"/>
  <c r="S125" i="17"/>
  <c r="S366" i="17"/>
  <c r="S65" i="17"/>
  <c r="S249" i="17"/>
  <c r="S443" i="17"/>
  <c r="S128" i="17"/>
  <c r="S184" i="17"/>
  <c r="S7" i="17"/>
  <c r="S305" i="17"/>
  <c r="S308" i="17"/>
  <c r="S256" i="17"/>
  <c r="S257" i="17"/>
  <c r="S14" i="17"/>
  <c r="S17" i="17"/>
  <c r="S456" i="17"/>
  <c r="S386" i="17"/>
  <c r="S19" i="17"/>
  <c r="S20" i="17"/>
  <c r="S391" i="17"/>
  <c r="S205" i="17"/>
  <c r="S35" i="17"/>
  <c r="S406" i="17"/>
  <c r="S38" i="17"/>
  <c r="S89" i="17"/>
  <c r="S474" i="17"/>
  <c r="S338" i="17"/>
  <c r="S280" i="17"/>
  <c r="S339" i="17"/>
  <c r="S282" i="17"/>
  <c r="S42" i="17"/>
  <c r="S412" i="17"/>
  <c r="S345" i="17"/>
  <c r="S286" i="17"/>
  <c r="S481" i="17"/>
  <c r="S357" i="17"/>
  <c r="S231" i="17"/>
  <c r="S233" i="17"/>
  <c r="S111" i="17"/>
  <c r="S57" i="17"/>
  <c r="S58" i="17"/>
  <c r="S434" i="17"/>
  <c r="S500" i="17"/>
  <c r="AB3" i="9"/>
  <c r="AB4" i="9"/>
  <c r="AB5" i="9"/>
  <c r="AB6" i="9"/>
  <c r="AB7" i="9"/>
  <c r="AB8" i="9"/>
  <c r="AB9" i="9"/>
  <c r="AB2" i="9"/>
  <c r="Q20" i="9"/>
  <c r="Q19" i="9"/>
  <c r="Q18" i="9"/>
  <c r="Q17" i="9"/>
  <c r="Q16" i="9"/>
  <c r="Q15" i="9"/>
  <c r="Q14" i="9"/>
  <c r="Q1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276" i="9"/>
  <c r="M277" i="9"/>
  <c r="M278" i="9"/>
  <c r="M279" i="9"/>
  <c r="M280" i="9"/>
  <c r="M281" i="9"/>
  <c r="M282" i="9"/>
  <c r="M283" i="9"/>
  <c r="M284" i="9"/>
  <c r="M285" i="9"/>
  <c r="M286" i="9"/>
  <c r="M287" i="9"/>
  <c r="M288" i="9"/>
  <c r="M289" i="9"/>
  <c r="M290" i="9"/>
  <c r="M291" i="9"/>
  <c r="M292" i="9"/>
  <c r="M293" i="9"/>
  <c r="M294" i="9"/>
  <c r="M295" i="9"/>
  <c r="M296" i="9"/>
  <c r="M297" i="9"/>
  <c r="M298" i="9"/>
  <c r="M299" i="9"/>
  <c r="M300" i="9"/>
  <c r="M301" i="9"/>
  <c r="M302" i="9"/>
  <c r="M303" i="9"/>
  <c r="M304" i="9"/>
  <c r="M305" i="9"/>
  <c r="M306" i="9"/>
  <c r="M307" i="9"/>
  <c r="M308" i="9"/>
  <c r="M309" i="9"/>
  <c r="M310" i="9"/>
  <c r="M311" i="9"/>
  <c r="M312" i="9"/>
  <c r="M313" i="9"/>
  <c r="M314" i="9"/>
  <c r="M315" i="9"/>
  <c r="M316" i="9"/>
  <c r="M317" i="9"/>
  <c r="M318" i="9"/>
  <c r="M319" i="9"/>
  <c r="M320" i="9"/>
  <c r="M321" i="9"/>
  <c r="M322" i="9"/>
  <c r="M323" i="9"/>
  <c r="M324" i="9"/>
  <c r="M325" i="9"/>
  <c r="M326" i="9"/>
  <c r="M327" i="9"/>
  <c r="M328" i="9"/>
  <c r="M329" i="9"/>
  <c r="M330" i="9"/>
  <c r="M331" i="9"/>
  <c r="M332" i="9"/>
  <c r="M333" i="9"/>
  <c r="M334" i="9"/>
  <c r="M335" i="9"/>
  <c r="M336" i="9"/>
  <c r="M337" i="9"/>
  <c r="M338" i="9"/>
  <c r="M339" i="9"/>
  <c r="M340" i="9"/>
  <c r="M341" i="9"/>
  <c r="M342" i="9"/>
  <c r="M343" i="9"/>
  <c r="M344" i="9"/>
  <c r="M345" i="9"/>
  <c r="M346" i="9"/>
  <c r="M347" i="9"/>
  <c r="M348" i="9"/>
  <c r="M349" i="9"/>
  <c r="M350" i="9"/>
  <c r="M351" i="9"/>
  <c r="M352" i="9"/>
  <c r="M353" i="9"/>
  <c r="M354" i="9"/>
  <c r="M355" i="9"/>
  <c r="M356" i="9"/>
  <c r="M357" i="9"/>
  <c r="M358" i="9"/>
  <c r="M359" i="9"/>
  <c r="M360" i="9"/>
  <c r="M361" i="9"/>
  <c r="M362" i="9"/>
  <c r="M363" i="9"/>
  <c r="M364" i="9"/>
  <c r="M365" i="9"/>
  <c r="M366" i="9"/>
  <c r="M367" i="9"/>
  <c r="M368" i="9"/>
  <c r="M369" i="9"/>
  <c r="M370" i="9"/>
  <c r="M371" i="9"/>
  <c r="M372" i="9"/>
  <c r="M373" i="9"/>
  <c r="M374" i="9"/>
  <c r="M375" i="9"/>
  <c r="M376" i="9"/>
  <c r="M377" i="9"/>
  <c r="M378" i="9"/>
  <c r="M379" i="9"/>
  <c r="M380" i="9"/>
  <c r="M381" i="9"/>
  <c r="M382" i="9"/>
  <c r="M383" i="9"/>
  <c r="M384" i="9"/>
  <c r="M385" i="9"/>
  <c r="M386" i="9"/>
  <c r="M387" i="9"/>
  <c r="M388" i="9"/>
  <c r="M389" i="9"/>
  <c r="M390" i="9"/>
  <c r="M391" i="9"/>
  <c r="M392" i="9"/>
  <c r="M393" i="9"/>
  <c r="M394" i="9"/>
  <c r="M395" i="9"/>
  <c r="M396" i="9"/>
  <c r="M397" i="9"/>
  <c r="M398" i="9"/>
  <c r="M399" i="9"/>
  <c r="M400" i="9"/>
  <c r="M401" i="9"/>
  <c r="M402" i="9"/>
  <c r="M403" i="9"/>
  <c r="M404" i="9"/>
  <c r="M405" i="9"/>
  <c r="M406" i="9"/>
  <c r="M407" i="9"/>
  <c r="M408" i="9"/>
  <c r="M409" i="9"/>
  <c r="M410" i="9"/>
  <c r="M411" i="9"/>
  <c r="M412" i="9"/>
  <c r="M413" i="9"/>
  <c r="M414" i="9"/>
  <c r="M415" i="9"/>
  <c r="M416" i="9"/>
  <c r="M417" i="9"/>
  <c r="M418" i="9"/>
  <c r="M419" i="9"/>
  <c r="M420" i="9"/>
  <c r="M421" i="9"/>
  <c r="M422" i="9"/>
  <c r="M423" i="9"/>
  <c r="M424" i="9"/>
  <c r="M425" i="9"/>
  <c r="M426" i="9"/>
  <c r="M427" i="9"/>
  <c r="M428" i="9"/>
  <c r="M429" i="9"/>
  <c r="M430" i="9"/>
  <c r="M431" i="9"/>
  <c r="M432" i="9"/>
  <c r="M433" i="9"/>
  <c r="M434" i="9"/>
  <c r="M435" i="9"/>
  <c r="M436" i="9"/>
  <c r="M437" i="9"/>
  <c r="M438" i="9"/>
  <c r="M439" i="9"/>
  <c r="M440" i="9"/>
  <c r="M441" i="9"/>
  <c r="M442" i="9"/>
  <c r="M443" i="9"/>
  <c r="M444" i="9"/>
  <c r="M445" i="9"/>
  <c r="M446" i="9"/>
  <c r="M447" i="9"/>
  <c r="M448" i="9"/>
  <c r="M449" i="9"/>
  <c r="M450" i="9"/>
  <c r="M451" i="9"/>
  <c r="M452" i="9"/>
  <c r="M453" i="9"/>
  <c r="M454" i="9"/>
  <c r="M455" i="9"/>
  <c r="M456" i="9"/>
  <c r="M457" i="9"/>
  <c r="M458" i="9"/>
  <c r="M459" i="9"/>
  <c r="M460" i="9"/>
  <c r="M461" i="9"/>
  <c r="M462" i="9"/>
  <c r="M463" i="9"/>
  <c r="M464" i="9"/>
  <c r="M465" i="9"/>
  <c r="M466" i="9"/>
  <c r="M467" i="9"/>
  <c r="M468" i="9"/>
  <c r="M469" i="9"/>
  <c r="M470" i="9"/>
  <c r="M471" i="9"/>
  <c r="M472" i="9"/>
  <c r="M473" i="9"/>
  <c r="M474" i="9"/>
  <c r="M475" i="9"/>
  <c r="M476" i="9"/>
  <c r="M477" i="9"/>
  <c r="M478" i="9"/>
  <c r="M479" i="9"/>
  <c r="M480" i="9"/>
  <c r="M481" i="9"/>
  <c r="M482" i="9"/>
  <c r="M483" i="9"/>
  <c r="M484" i="9"/>
  <c r="M485" i="9"/>
  <c r="M486" i="9"/>
  <c r="M487" i="9"/>
  <c r="M488" i="9"/>
  <c r="M489" i="9"/>
  <c r="M490" i="9"/>
  <c r="M491" i="9"/>
  <c r="M492" i="9"/>
  <c r="M493" i="9"/>
  <c r="M494" i="9"/>
  <c r="M495" i="9"/>
  <c r="M496" i="9"/>
  <c r="M497" i="9"/>
  <c r="M498" i="9"/>
  <c r="M499" i="9"/>
  <c r="M500" i="9"/>
  <c r="M501" i="9"/>
  <c r="M502" i="9"/>
  <c r="M503" i="9"/>
  <c r="M504" i="9"/>
  <c r="M505" i="9"/>
  <c r="M506" i="9"/>
  <c r="M507" i="9"/>
  <c r="M508" i="9"/>
  <c r="M509" i="9"/>
  <c r="M510" i="9"/>
  <c r="M511" i="9"/>
  <c r="M512" i="9"/>
  <c r="M513" i="9"/>
  <c r="M514" i="9"/>
  <c r="M515" i="9"/>
  <c r="M516" i="9"/>
  <c r="M517" i="9"/>
  <c r="M518" i="9"/>
  <c r="M519" i="9"/>
  <c r="M520" i="9"/>
  <c r="M521" i="9"/>
  <c r="M522" i="9"/>
  <c r="M523" i="9"/>
  <c r="M524" i="9"/>
  <c r="M525" i="9"/>
  <c r="M526" i="9"/>
  <c r="M527" i="9"/>
  <c r="M528" i="9"/>
  <c r="M529" i="9"/>
  <c r="M530" i="9"/>
  <c r="M531" i="9"/>
  <c r="M532" i="9"/>
  <c r="M533" i="9"/>
  <c r="M534" i="9"/>
  <c r="M535" i="9"/>
  <c r="M536" i="9"/>
  <c r="M537" i="9"/>
  <c r="M538" i="9"/>
  <c r="M539" i="9"/>
  <c r="M540" i="9"/>
  <c r="M541" i="9"/>
  <c r="M542" i="9"/>
  <c r="M543" i="9"/>
  <c r="M544" i="9"/>
  <c r="M545" i="9"/>
  <c r="M546" i="9"/>
  <c r="M547" i="9"/>
  <c r="M548" i="9"/>
  <c r="M549" i="9"/>
  <c r="M550" i="9"/>
  <c r="M551" i="9"/>
  <c r="M552" i="9"/>
  <c r="M553" i="9"/>
  <c r="M554" i="9"/>
  <c r="M555" i="9"/>
  <c r="M556" i="9"/>
  <c r="M557" i="9"/>
  <c r="M558" i="9"/>
  <c r="M559" i="9"/>
  <c r="M560" i="9"/>
  <c r="M561" i="9"/>
  <c r="M562" i="9"/>
  <c r="M563" i="9"/>
  <c r="M564" i="9"/>
  <c r="M565" i="9"/>
  <c r="M566" i="9"/>
  <c r="M567" i="9"/>
  <c r="M568" i="9"/>
  <c r="M569" i="9"/>
  <c r="M570" i="9"/>
  <c r="M571" i="9"/>
  <c r="M572" i="9"/>
  <c r="M573" i="9"/>
  <c r="M574" i="9"/>
  <c r="M575" i="9"/>
  <c r="M576" i="9"/>
  <c r="M577" i="9"/>
  <c r="M578" i="9"/>
  <c r="M579" i="9"/>
  <c r="M580" i="9"/>
  <c r="M581" i="9"/>
  <c r="M582" i="9"/>
  <c r="M583" i="9"/>
  <c r="M584" i="9"/>
  <c r="M585" i="9"/>
  <c r="M586" i="9"/>
  <c r="M587" i="9"/>
  <c r="M588" i="9"/>
  <c r="M589" i="9"/>
  <c r="M590" i="9"/>
  <c r="M591" i="9"/>
  <c r="M592" i="9"/>
  <c r="M593" i="9"/>
  <c r="M594" i="9"/>
  <c r="M595" i="9"/>
  <c r="M596" i="9"/>
  <c r="M597" i="9"/>
  <c r="M598" i="9"/>
  <c r="M599" i="9"/>
  <c r="M600" i="9"/>
  <c r="M601" i="9"/>
  <c r="M602" i="9"/>
  <c r="M603" i="9"/>
  <c r="M604" i="9"/>
  <c r="M605" i="9"/>
  <c r="M606" i="9"/>
  <c r="M607" i="9"/>
  <c r="M608" i="9"/>
  <c r="M609" i="9"/>
  <c r="M610" i="9"/>
  <c r="M611" i="9"/>
  <c r="M612" i="9"/>
  <c r="M613" i="9"/>
  <c r="M614" i="9"/>
  <c r="M615" i="9"/>
  <c r="M616" i="9"/>
  <c r="M617" i="9"/>
  <c r="M618" i="9"/>
  <c r="M619" i="9"/>
  <c r="M620" i="9"/>
  <c r="M621" i="9"/>
  <c r="M622" i="9"/>
  <c r="M623" i="9"/>
  <c r="M624" i="9"/>
  <c r="M625" i="9"/>
  <c r="M626" i="9"/>
  <c r="M627" i="9"/>
  <c r="M628" i="9"/>
  <c r="M629" i="9"/>
  <c r="M630" i="9"/>
  <c r="M631" i="9"/>
  <c r="M632" i="9"/>
  <c r="M633" i="9"/>
  <c r="M634" i="9"/>
  <c r="M635" i="9"/>
  <c r="M636" i="9"/>
  <c r="M637" i="9"/>
  <c r="M638" i="9"/>
  <c r="M639" i="9"/>
  <c r="M640" i="9"/>
  <c r="M641" i="9"/>
  <c r="M642" i="9"/>
  <c r="M643" i="9"/>
  <c r="M644" i="9"/>
  <c r="M645" i="9"/>
  <c r="M646" i="9"/>
  <c r="M647" i="9"/>
  <c r="M648" i="9"/>
  <c r="M649" i="9"/>
  <c r="M650" i="9"/>
  <c r="M651" i="9"/>
  <c r="M652" i="9"/>
  <c r="M653" i="9"/>
  <c r="M654" i="9"/>
  <c r="M655" i="9"/>
  <c r="M656" i="9"/>
  <c r="M657" i="9"/>
  <c r="M658" i="9"/>
  <c r="M659" i="9"/>
  <c r="M660" i="9"/>
  <c r="M661" i="9"/>
  <c r="M662" i="9"/>
  <c r="M663" i="9"/>
  <c r="M664" i="9"/>
  <c r="M665" i="9"/>
  <c r="M666" i="9"/>
  <c r="M667" i="9"/>
  <c r="M668" i="9"/>
  <c r="M669" i="9"/>
  <c r="M670" i="9"/>
  <c r="M671" i="9"/>
  <c r="M672" i="9"/>
  <c r="M673" i="9"/>
  <c r="M674" i="9"/>
  <c r="M675" i="9"/>
  <c r="M676" i="9"/>
  <c r="M677" i="9"/>
  <c r="M678" i="9"/>
  <c r="M679" i="9"/>
  <c r="M680" i="9"/>
  <c r="M681" i="9"/>
  <c r="M682" i="9"/>
  <c r="M683" i="9"/>
  <c r="M684" i="9"/>
  <c r="M685" i="9"/>
  <c r="M686" i="9"/>
  <c r="M687" i="9"/>
  <c r="M688" i="9"/>
  <c r="M689" i="9"/>
  <c r="M690" i="9"/>
  <c r="M691" i="9"/>
  <c r="M692" i="9"/>
  <c r="M693" i="9"/>
  <c r="M694" i="9"/>
  <c r="M695" i="9"/>
  <c r="M696" i="9"/>
  <c r="M697" i="9"/>
  <c r="M698" i="9"/>
  <c r="M699" i="9"/>
  <c r="M700" i="9"/>
  <c r="M701" i="9"/>
  <c r="M702" i="9"/>
  <c r="M703" i="9"/>
  <c r="M704" i="9"/>
  <c r="M705" i="9"/>
  <c r="M706" i="9"/>
  <c r="M707" i="9"/>
  <c r="M708" i="9"/>
  <c r="M709" i="9"/>
  <c r="M710" i="9"/>
  <c r="M711" i="9"/>
  <c r="M712" i="9"/>
  <c r="M713" i="9"/>
  <c r="M714" i="9"/>
  <c r="M715" i="9"/>
  <c r="M716" i="9"/>
  <c r="M717" i="9"/>
  <c r="M718" i="9"/>
  <c r="M719" i="9"/>
  <c r="M720" i="9"/>
  <c r="M721" i="9"/>
  <c r="M722" i="9"/>
  <c r="M723" i="9"/>
  <c r="M724" i="9"/>
  <c r="M725" i="9"/>
  <c r="M726" i="9"/>
  <c r="M727" i="9"/>
  <c r="M728" i="9"/>
  <c r="M729" i="9"/>
  <c r="M730" i="9"/>
  <c r="M731" i="9"/>
  <c r="M732" i="9"/>
  <c r="M733" i="9"/>
  <c r="M734" i="9"/>
  <c r="M735" i="9"/>
  <c r="M736" i="9"/>
  <c r="M737" i="9"/>
  <c r="M738" i="9"/>
  <c r="M739" i="9"/>
  <c r="M740" i="9"/>
  <c r="M741" i="9"/>
  <c r="M742" i="9"/>
  <c r="M743" i="9"/>
  <c r="M744" i="9"/>
  <c r="M745" i="9"/>
  <c r="M746" i="9"/>
  <c r="M747" i="9"/>
  <c r="M748" i="9"/>
  <c r="M749" i="9"/>
  <c r="M750" i="9"/>
  <c r="M751" i="9"/>
  <c r="M752" i="9"/>
  <c r="M753" i="9"/>
  <c r="M754" i="9"/>
  <c r="M755" i="9"/>
  <c r="M756" i="9"/>
  <c r="M757" i="9"/>
  <c r="M758" i="9"/>
  <c r="M759" i="9"/>
  <c r="M760" i="9"/>
  <c r="M761" i="9"/>
  <c r="M762" i="9"/>
  <c r="M763" i="9"/>
  <c r="M764" i="9"/>
  <c r="M765" i="9"/>
  <c r="M766" i="9"/>
  <c r="M767" i="9"/>
  <c r="M768" i="9"/>
  <c r="M769" i="9"/>
  <c r="M770" i="9"/>
  <c r="M771" i="9"/>
  <c r="M772" i="9"/>
  <c r="M773" i="9"/>
  <c r="M774" i="9"/>
  <c r="M775" i="9"/>
  <c r="M776" i="9"/>
  <c r="M777" i="9"/>
  <c r="M778" i="9"/>
  <c r="M779" i="9"/>
  <c r="M780" i="9"/>
  <c r="M781" i="9"/>
  <c r="M782" i="9"/>
  <c r="M783" i="9"/>
  <c r="M784" i="9"/>
  <c r="M785" i="9"/>
  <c r="M786" i="9"/>
  <c r="M787" i="9"/>
  <c r="M788" i="9"/>
  <c r="M789" i="9"/>
  <c r="M790" i="9"/>
  <c r="M791" i="9"/>
  <c r="M792" i="9"/>
  <c r="M793" i="9"/>
  <c r="M794" i="9"/>
  <c r="M795" i="9"/>
  <c r="M796" i="9"/>
  <c r="M797" i="9"/>
  <c r="M798" i="9"/>
  <c r="M799" i="9"/>
  <c r="M800" i="9"/>
  <c r="M801" i="9"/>
  <c r="M802" i="9"/>
  <c r="M803" i="9"/>
  <c r="M804" i="9"/>
  <c r="M805" i="9"/>
  <c r="M806" i="9"/>
  <c r="M807" i="9"/>
  <c r="M808" i="9"/>
  <c r="M809" i="9"/>
  <c r="M810" i="9"/>
  <c r="M811" i="9"/>
  <c r="M812" i="9"/>
  <c r="M813" i="9"/>
  <c r="M814" i="9"/>
  <c r="M815" i="9"/>
  <c r="M816" i="9"/>
  <c r="M817" i="9"/>
  <c r="M818" i="9"/>
  <c r="M819" i="9"/>
  <c r="M820" i="9"/>
  <c r="M821" i="9"/>
  <c r="M822" i="9"/>
  <c r="M823" i="9"/>
  <c r="M824" i="9"/>
  <c r="M825" i="9"/>
  <c r="M826" i="9"/>
  <c r="M827" i="9"/>
  <c r="M828" i="9"/>
  <c r="M829" i="9"/>
  <c r="M830" i="9"/>
  <c r="M831" i="9"/>
  <c r="M832" i="9"/>
  <c r="M833" i="9"/>
  <c r="M834" i="9"/>
  <c r="M835" i="9"/>
  <c r="M836" i="9"/>
  <c r="M837" i="9"/>
  <c r="M838" i="9"/>
  <c r="M839" i="9"/>
  <c r="M840" i="9"/>
  <c r="M841" i="9"/>
  <c r="M842" i="9"/>
  <c r="M843" i="9"/>
  <c r="M844" i="9"/>
  <c r="M845" i="9"/>
  <c r="M846" i="9"/>
  <c r="M847" i="9"/>
  <c r="M848" i="9"/>
  <c r="M849" i="9"/>
  <c r="M850" i="9"/>
  <c r="M851" i="9"/>
  <c r="M852" i="9"/>
  <c r="M853" i="9"/>
  <c r="M854" i="9"/>
  <c r="M855" i="9"/>
  <c r="M856" i="9"/>
  <c r="M857" i="9"/>
  <c r="M858" i="9"/>
  <c r="M859" i="9"/>
  <c r="M860" i="9"/>
  <c r="M861" i="9"/>
  <c r="M862" i="9"/>
  <c r="M863" i="9"/>
  <c r="M864" i="9"/>
  <c r="M865" i="9"/>
  <c r="M866" i="9"/>
  <c r="M867" i="9"/>
  <c r="M868" i="9"/>
  <c r="M869" i="9"/>
  <c r="M870" i="9"/>
  <c r="M871" i="9"/>
  <c r="M872" i="9"/>
  <c r="M873" i="9"/>
  <c r="M874" i="9"/>
  <c r="M875" i="9"/>
  <c r="M876" i="9"/>
  <c r="M877" i="9"/>
  <c r="M878" i="9"/>
  <c r="M879" i="9"/>
  <c r="M880" i="9"/>
  <c r="M881" i="9"/>
  <c r="M882" i="9"/>
  <c r="M883" i="9"/>
  <c r="M884" i="9"/>
  <c r="M885" i="9"/>
  <c r="M886" i="9"/>
  <c r="M887" i="9"/>
  <c r="M888" i="9"/>
  <c r="M889" i="9"/>
  <c r="M890" i="9"/>
  <c r="M891" i="9"/>
  <c r="M892" i="9"/>
  <c r="M893" i="9"/>
  <c r="M894" i="9"/>
  <c r="M895" i="9"/>
  <c r="M896" i="9"/>
  <c r="M897" i="9"/>
  <c r="M898" i="9"/>
  <c r="M899" i="9"/>
  <c r="M900" i="9"/>
  <c r="M901" i="9"/>
  <c r="M902" i="9"/>
  <c r="M903" i="9"/>
  <c r="M904" i="9"/>
  <c r="M905" i="9"/>
  <c r="M906" i="9"/>
  <c r="M907" i="9"/>
  <c r="M908" i="9"/>
  <c r="M909" i="9"/>
  <c r="M910" i="9"/>
  <c r="M911" i="9"/>
  <c r="M912" i="9"/>
  <c r="M913" i="9"/>
  <c r="M914" i="9"/>
  <c r="M915" i="9"/>
  <c r="M916" i="9"/>
  <c r="M917" i="9"/>
  <c r="M918" i="9"/>
  <c r="M919" i="9"/>
  <c r="M920" i="9"/>
  <c r="M921" i="9"/>
  <c r="M922" i="9"/>
  <c r="M923" i="9"/>
  <c r="M924" i="9"/>
  <c r="M925" i="9"/>
  <c r="M926" i="9"/>
  <c r="M927" i="9"/>
  <c r="M928" i="9"/>
  <c r="M929" i="9"/>
  <c r="M930" i="9"/>
  <c r="M931" i="9"/>
  <c r="M932" i="9"/>
  <c r="M933" i="9"/>
  <c r="M934" i="9"/>
  <c r="M935" i="9"/>
  <c r="M936" i="9"/>
  <c r="M937" i="9"/>
  <c r="M938" i="9"/>
  <c r="M939" i="9"/>
  <c r="M940" i="9"/>
  <c r="M941" i="9"/>
  <c r="M942" i="9"/>
  <c r="M943" i="9"/>
  <c r="M944" i="9"/>
  <c r="M945" i="9"/>
  <c r="M946" i="9"/>
  <c r="M947" i="9"/>
  <c r="M948" i="9"/>
  <c r="M949" i="9"/>
  <c r="M950" i="9"/>
  <c r="M951" i="9"/>
  <c r="M952" i="9"/>
  <c r="M953" i="9"/>
  <c r="M954" i="9"/>
  <c r="M955" i="9"/>
  <c r="M956" i="9"/>
  <c r="M957" i="9"/>
  <c r="M958" i="9"/>
  <c r="M959" i="9"/>
  <c r="M960" i="9"/>
  <c r="M961" i="9"/>
  <c r="M962" i="9"/>
  <c r="M963" i="9"/>
  <c r="M964" i="9"/>
  <c r="M965" i="9"/>
  <c r="M966" i="9"/>
  <c r="M967" i="9"/>
  <c r="M968" i="9"/>
  <c r="M969" i="9"/>
  <c r="M970" i="9"/>
  <c r="M971" i="9"/>
  <c r="M972" i="9"/>
  <c r="M973" i="9"/>
  <c r="M974" i="9"/>
  <c r="M975" i="9"/>
  <c r="M976" i="9"/>
  <c r="M977" i="9"/>
  <c r="M978" i="9"/>
  <c r="M979" i="9"/>
  <c r="M980" i="9"/>
  <c r="M981" i="9"/>
  <c r="M982" i="9"/>
  <c r="M983" i="9"/>
  <c r="M984" i="9"/>
  <c r="M985" i="9"/>
  <c r="M986" i="9"/>
  <c r="M987" i="9"/>
  <c r="M988" i="9"/>
  <c r="M989" i="9"/>
  <c r="M990" i="9"/>
  <c r="M991" i="9"/>
  <c r="M992" i="9"/>
  <c r="M993" i="9"/>
  <c r="M994" i="9"/>
  <c r="M995" i="9"/>
  <c r="M996" i="9"/>
  <c r="M997" i="9"/>
  <c r="M998" i="9"/>
  <c r="M999" i="9"/>
  <c r="M1000" i="9"/>
  <c r="M1001" i="9"/>
  <c r="M1002" i="9"/>
  <c r="M1003" i="9"/>
  <c r="M1004" i="9"/>
  <c r="M1005" i="9"/>
  <c r="M1006" i="9"/>
  <c r="M1007" i="9"/>
  <c r="M1008" i="9"/>
  <c r="M1009" i="9"/>
  <c r="M1010" i="9"/>
  <c r="M1011" i="9"/>
  <c r="M1012" i="9"/>
  <c r="M1013" i="9"/>
  <c r="M1014" i="9"/>
  <c r="M1015" i="9"/>
  <c r="M1016" i="9"/>
  <c r="M1017" i="9"/>
  <c r="M1018" i="9"/>
  <c r="M1019" i="9"/>
  <c r="M1020" i="9"/>
  <c r="M1021" i="9"/>
  <c r="M1022" i="9"/>
  <c r="M1023" i="9"/>
  <c r="M1024" i="9"/>
  <c r="M1025" i="9"/>
  <c r="M1026" i="9"/>
  <c r="M1027" i="9"/>
  <c r="M1028" i="9"/>
  <c r="M1029" i="9"/>
  <c r="M1030" i="9"/>
  <c r="M1031" i="9"/>
  <c r="M1032" i="9"/>
  <c r="M1033" i="9"/>
  <c r="M1034" i="9"/>
  <c r="M3" i="9"/>
  <c r="B72" i="15"/>
  <c r="B55" i="15"/>
  <c r="R299" i="17" l="1"/>
  <c r="S299" i="17" s="1"/>
  <c r="R363" i="17"/>
  <c r="S363" i="17" s="1"/>
  <c r="R179" i="17"/>
  <c r="S179" i="17" s="1"/>
  <c r="R178" i="17"/>
  <c r="S178" i="17" s="1"/>
  <c r="R54" i="17"/>
  <c r="S54" i="17" s="1"/>
  <c r="R109" i="17"/>
  <c r="S109" i="17" s="1"/>
  <c r="R487" i="17"/>
  <c r="S487" i="17" s="1"/>
  <c r="R51" i="17"/>
  <c r="S51" i="17" s="1"/>
  <c r="R355" i="17"/>
  <c r="S355" i="17" s="1"/>
  <c r="R482" i="17"/>
  <c r="S482" i="17" s="1"/>
  <c r="R100" i="17"/>
  <c r="S100" i="17" s="1"/>
  <c r="R172" i="17"/>
  <c r="S172" i="17" s="1"/>
  <c r="R95" i="17"/>
  <c r="S95" i="17" s="1"/>
  <c r="R283" i="17"/>
  <c r="S283" i="17" s="1"/>
  <c r="R477" i="17"/>
  <c r="S477" i="17" s="1"/>
  <c r="R168" i="17"/>
  <c r="S168" i="17" s="1"/>
  <c r="R336" i="17"/>
  <c r="S336" i="17" s="1"/>
  <c r="R472" i="17"/>
  <c r="S472" i="17" s="1"/>
  <c r="R334" i="17"/>
  <c r="S334" i="17" s="1"/>
  <c r="R275" i="17"/>
  <c r="S275" i="17" s="1"/>
  <c r="R212" i="17"/>
  <c r="S212" i="17" s="1"/>
  <c r="R155" i="17"/>
  <c r="S155" i="17" s="1"/>
  <c r="R325" i="17"/>
  <c r="S325" i="17" s="1"/>
  <c r="R83" i="17"/>
  <c r="S83" i="17" s="1"/>
  <c r="R501" i="17"/>
  <c r="S501" i="17" s="1"/>
  <c r="R62" i="17"/>
  <c r="S62" i="17" s="1"/>
  <c r="R180" i="17"/>
  <c r="S180" i="17" s="1"/>
  <c r="R361" i="17"/>
  <c r="S361" i="17" s="1"/>
  <c r="R237" i="17"/>
  <c r="S237" i="17" s="1"/>
  <c r="R177" i="17"/>
  <c r="S177" i="17" s="1"/>
  <c r="R292" i="17"/>
  <c r="S292" i="17" s="1"/>
  <c r="R358" i="17"/>
  <c r="S358" i="17" s="1"/>
  <c r="R175" i="17"/>
  <c r="S175" i="17" s="1"/>
  <c r="R484" i="17"/>
  <c r="S484" i="17" s="1"/>
  <c r="R424" i="17"/>
  <c r="S424" i="17" s="1"/>
  <c r="R421" i="17"/>
  <c r="S421" i="17" s="1"/>
  <c r="L2" i="9" l="1" a="1"/>
  <c r="L2" i="9" s="1"/>
  <c r="R2" i="9"/>
  <c r="T2" i="9" s="1" a="1"/>
  <c r="T2" i="9" s="1"/>
  <c r="R3" i="9"/>
  <c r="T3" i="9" s="1" a="1"/>
  <c r="T3" i="9" s="1"/>
  <c r="R4" i="9"/>
  <c r="T4" i="9" s="1" a="1"/>
  <c r="T4" i="9" s="1"/>
  <c r="R5" i="9"/>
  <c r="T5" i="9" s="1" a="1"/>
  <c r="T5" i="9" s="1"/>
  <c r="R6" i="9"/>
  <c r="T6" i="9" s="1" a="1"/>
  <c r="T6" i="9" s="1"/>
  <c r="R7" i="9"/>
  <c r="T7" i="9" s="1" a="1"/>
  <c r="T7" i="9" s="1"/>
  <c r="R8" i="9"/>
  <c r="T8" i="9" s="1" a="1"/>
  <c r="T8" i="9" s="1"/>
  <c r="R9" i="9"/>
  <c r="T9" i="9" s="1" a="1"/>
  <c r="T9" i="9" s="1"/>
  <c r="Q2" i="9"/>
  <c r="Q3" i="9"/>
  <c r="Q4" i="9"/>
  <c r="Q5" i="9"/>
  <c r="Q6" i="9"/>
  <c r="Q7" i="9"/>
  <c r="Q8" i="9"/>
  <c r="Q9" i="9"/>
  <c r="AG450" i="17"/>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I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313" i="9"/>
  <c r="I314" i="9"/>
  <c r="I315" i="9"/>
  <c r="I316" i="9"/>
  <c r="I317" i="9"/>
  <c r="I318" i="9"/>
  <c r="I319" i="9"/>
  <c r="I320" i="9"/>
  <c r="I321" i="9"/>
  <c r="I322" i="9"/>
  <c r="I323" i="9"/>
  <c r="I324" i="9"/>
  <c r="I325" i="9"/>
  <c r="I326" i="9"/>
  <c r="I327" i="9"/>
  <c r="I328" i="9"/>
  <c r="I329" i="9"/>
  <c r="I330" i="9"/>
  <c r="I331" i="9"/>
  <c r="I332" i="9"/>
  <c r="I333" i="9"/>
  <c r="I334" i="9"/>
  <c r="I335" i="9"/>
  <c r="I336" i="9"/>
  <c r="I337" i="9"/>
  <c r="I338" i="9"/>
  <c r="I339" i="9"/>
  <c r="I340" i="9"/>
  <c r="I341" i="9"/>
  <c r="I342" i="9"/>
  <c r="I343" i="9"/>
  <c r="I344" i="9"/>
  <c r="I345" i="9"/>
  <c r="I346" i="9"/>
  <c r="I347" i="9"/>
  <c r="I348" i="9"/>
  <c r="I349" i="9"/>
  <c r="I350" i="9"/>
  <c r="I351" i="9"/>
  <c r="I352" i="9"/>
  <c r="I353" i="9"/>
  <c r="I354" i="9"/>
  <c r="I355" i="9"/>
  <c r="I356" i="9"/>
  <c r="I357" i="9"/>
  <c r="I358" i="9"/>
  <c r="I359" i="9"/>
  <c r="I360" i="9"/>
  <c r="I361" i="9"/>
  <c r="I362" i="9"/>
  <c r="I363" i="9"/>
  <c r="I364" i="9"/>
  <c r="I365" i="9"/>
  <c r="I366" i="9"/>
  <c r="I367" i="9"/>
  <c r="I368" i="9"/>
  <c r="I369" i="9"/>
  <c r="I370" i="9"/>
  <c r="I371" i="9"/>
  <c r="I372" i="9"/>
  <c r="I373" i="9"/>
  <c r="I374" i="9"/>
  <c r="I375" i="9"/>
  <c r="I376" i="9"/>
  <c r="I377" i="9"/>
  <c r="I378" i="9"/>
  <c r="I379" i="9"/>
  <c r="I380" i="9"/>
  <c r="I381" i="9"/>
  <c r="I382" i="9"/>
  <c r="I383" i="9"/>
  <c r="I384" i="9"/>
  <c r="I385" i="9"/>
  <c r="I386" i="9"/>
  <c r="I387" i="9"/>
  <c r="I388" i="9"/>
  <c r="I389" i="9"/>
  <c r="I390" i="9"/>
  <c r="I391" i="9"/>
  <c r="I392" i="9"/>
  <c r="I393" i="9"/>
  <c r="I394" i="9"/>
  <c r="I395" i="9"/>
  <c r="I396" i="9"/>
  <c r="I397" i="9"/>
  <c r="I398" i="9"/>
  <c r="I399" i="9"/>
  <c r="I400" i="9"/>
  <c r="I401" i="9"/>
  <c r="I402" i="9"/>
  <c r="I403" i="9"/>
  <c r="I404" i="9"/>
  <c r="I405" i="9"/>
  <c r="I406" i="9"/>
  <c r="I407" i="9"/>
  <c r="I408" i="9"/>
  <c r="I409" i="9"/>
  <c r="I410" i="9"/>
  <c r="I411" i="9"/>
  <c r="I412" i="9"/>
  <c r="I413" i="9"/>
  <c r="I414" i="9"/>
  <c r="I415" i="9"/>
  <c r="I416" i="9"/>
  <c r="I417" i="9"/>
  <c r="I418" i="9"/>
  <c r="I419" i="9"/>
  <c r="I420" i="9"/>
  <c r="I421" i="9"/>
  <c r="I422" i="9"/>
  <c r="I423" i="9"/>
  <c r="I424" i="9"/>
  <c r="I425" i="9"/>
  <c r="I426" i="9"/>
  <c r="I427" i="9"/>
  <c r="I428" i="9"/>
  <c r="I429" i="9"/>
  <c r="I430" i="9"/>
  <c r="I431" i="9"/>
  <c r="I432" i="9"/>
  <c r="I433" i="9"/>
  <c r="I434" i="9"/>
  <c r="I435" i="9"/>
  <c r="I436" i="9"/>
  <c r="I437" i="9"/>
  <c r="I438" i="9"/>
  <c r="I439" i="9"/>
  <c r="I440" i="9"/>
  <c r="I441" i="9"/>
  <c r="I442" i="9"/>
  <c r="I443" i="9"/>
  <c r="I444" i="9"/>
  <c r="I445" i="9"/>
  <c r="I446" i="9"/>
  <c r="I447" i="9"/>
  <c r="I448" i="9"/>
  <c r="I449" i="9"/>
  <c r="I450" i="9"/>
  <c r="I451" i="9"/>
  <c r="I452" i="9"/>
  <c r="I453" i="9"/>
  <c r="I454" i="9"/>
  <c r="I455" i="9"/>
  <c r="I456" i="9"/>
  <c r="I457" i="9"/>
  <c r="I458" i="9"/>
  <c r="I459" i="9"/>
  <c r="I460" i="9"/>
  <c r="I461" i="9"/>
  <c r="I462" i="9"/>
  <c r="I463" i="9"/>
  <c r="I464" i="9"/>
  <c r="I465" i="9"/>
  <c r="I466" i="9"/>
  <c r="I467" i="9"/>
  <c r="I468" i="9"/>
  <c r="I469" i="9"/>
  <c r="I470" i="9"/>
  <c r="I471" i="9"/>
  <c r="I472" i="9"/>
  <c r="I473" i="9"/>
  <c r="I474" i="9"/>
  <c r="I475" i="9"/>
  <c r="I476" i="9"/>
  <c r="I477" i="9"/>
  <c r="I478" i="9"/>
  <c r="I479" i="9"/>
  <c r="I480" i="9"/>
  <c r="I481" i="9"/>
  <c r="I482" i="9"/>
  <c r="I483" i="9"/>
  <c r="I484" i="9"/>
  <c r="I485" i="9"/>
  <c r="I486" i="9"/>
  <c r="I487" i="9"/>
  <c r="I488" i="9"/>
  <c r="I489" i="9"/>
  <c r="I490" i="9"/>
  <c r="I491" i="9"/>
  <c r="I492" i="9"/>
  <c r="I493" i="9"/>
  <c r="I494" i="9"/>
  <c r="I495" i="9"/>
  <c r="I496" i="9"/>
  <c r="I497" i="9"/>
  <c r="I498" i="9"/>
  <c r="I499" i="9"/>
  <c r="I500" i="9"/>
  <c r="I501" i="9"/>
  <c r="I502" i="9"/>
  <c r="I503" i="9"/>
  <c r="I504" i="9"/>
  <c r="I505" i="9"/>
  <c r="I506" i="9"/>
  <c r="I507" i="9"/>
  <c r="I508" i="9"/>
  <c r="I509" i="9"/>
  <c r="I510" i="9"/>
  <c r="I511" i="9"/>
  <c r="I512" i="9"/>
  <c r="I513" i="9"/>
  <c r="I514" i="9"/>
  <c r="I515" i="9"/>
  <c r="I516" i="9"/>
  <c r="I517" i="9"/>
  <c r="I518" i="9"/>
  <c r="I519" i="9"/>
  <c r="I520" i="9"/>
  <c r="I521" i="9"/>
  <c r="I522" i="9"/>
  <c r="I523" i="9"/>
  <c r="I524" i="9"/>
  <c r="I525" i="9"/>
  <c r="I526" i="9"/>
  <c r="I527" i="9"/>
  <c r="I528" i="9"/>
  <c r="I529" i="9"/>
  <c r="I530" i="9"/>
  <c r="I531" i="9"/>
  <c r="I532" i="9"/>
  <c r="I533" i="9"/>
  <c r="I534" i="9"/>
  <c r="I535" i="9"/>
  <c r="I536" i="9"/>
  <c r="I537" i="9"/>
  <c r="I538" i="9"/>
  <c r="I539" i="9"/>
  <c r="I540" i="9"/>
  <c r="I541" i="9"/>
  <c r="I542" i="9"/>
  <c r="I543" i="9"/>
  <c r="I544" i="9"/>
  <c r="I545" i="9"/>
  <c r="I546" i="9"/>
  <c r="I547" i="9"/>
  <c r="I548" i="9"/>
  <c r="I549" i="9"/>
  <c r="I550" i="9"/>
  <c r="I551" i="9"/>
  <c r="I552" i="9"/>
  <c r="I553" i="9"/>
  <c r="I554" i="9"/>
  <c r="I555" i="9"/>
  <c r="I556" i="9"/>
  <c r="I557" i="9"/>
  <c r="I558" i="9"/>
  <c r="I559" i="9"/>
  <c r="I560" i="9"/>
  <c r="I561" i="9"/>
  <c r="I562" i="9"/>
  <c r="I563" i="9"/>
  <c r="I564" i="9"/>
  <c r="I565" i="9"/>
  <c r="I566" i="9"/>
  <c r="I567" i="9"/>
  <c r="I568" i="9"/>
  <c r="I569" i="9"/>
  <c r="I570" i="9"/>
  <c r="I571" i="9"/>
  <c r="I572" i="9"/>
  <c r="I573" i="9"/>
  <c r="I574" i="9"/>
  <c r="I575" i="9"/>
  <c r="I576" i="9"/>
  <c r="I577" i="9"/>
  <c r="I578" i="9"/>
  <c r="I579" i="9"/>
  <c r="I580" i="9"/>
  <c r="I581" i="9"/>
  <c r="I582" i="9"/>
  <c r="I583" i="9"/>
  <c r="I584" i="9"/>
  <c r="I585" i="9"/>
  <c r="I586" i="9"/>
  <c r="I587" i="9"/>
  <c r="I588" i="9"/>
  <c r="I589" i="9"/>
  <c r="I590" i="9"/>
  <c r="I591" i="9"/>
  <c r="I592" i="9"/>
  <c r="I593" i="9"/>
  <c r="I594" i="9"/>
  <c r="I595" i="9"/>
  <c r="I596" i="9"/>
  <c r="I597" i="9"/>
  <c r="I598" i="9"/>
  <c r="I599" i="9"/>
  <c r="I600" i="9"/>
  <c r="I601" i="9"/>
  <c r="I602" i="9"/>
  <c r="I603" i="9"/>
  <c r="I604" i="9"/>
  <c r="I605" i="9"/>
  <c r="I606" i="9"/>
  <c r="I607" i="9"/>
  <c r="I608" i="9"/>
  <c r="I609" i="9"/>
  <c r="I610" i="9"/>
  <c r="I611" i="9"/>
  <c r="I612" i="9"/>
  <c r="I613" i="9"/>
  <c r="I614" i="9"/>
  <c r="I615" i="9"/>
  <c r="I616" i="9"/>
  <c r="I617" i="9"/>
  <c r="I618" i="9"/>
  <c r="I619" i="9"/>
  <c r="I620" i="9"/>
  <c r="I621" i="9"/>
  <c r="I622" i="9"/>
  <c r="I623" i="9"/>
  <c r="I624" i="9"/>
  <c r="I625" i="9"/>
  <c r="I626" i="9"/>
  <c r="I627" i="9"/>
  <c r="I628" i="9"/>
  <c r="I629" i="9"/>
  <c r="I630" i="9"/>
  <c r="I631" i="9"/>
  <c r="I632" i="9"/>
  <c r="I633" i="9"/>
  <c r="I634" i="9"/>
  <c r="I635" i="9"/>
  <c r="I636" i="9"/>
  <c r="I637" i="9"/>
  <c r="I638" i="9"/>
  <c r="I639" i="9"/>
  <c r="I640" i="9"/>
  <c r="I641" i="9"/>
  <c r="I642" i="9"/>
  <c r="I643" i="9"/>
  <c r="I644" i="9"/>
  <c r="I645" i="9"/>
  <c r="I646" i="9"/>
  <c r="I647" i="9"/>
  <c r="I648" i="9"/>
  <c r="I649" i="9"/>
  <c r="I650" i="9"/>
  <c r="I651" i="9"/>
  <c r="I652" i="9"/>
  <c r="I653" i="9"/>
  <c r="I654" i="9"/>
  <c r="I655" i="9"/>
  <c r="I656" i="9"/>
  <c r="I657" i="9"/>
  <c r="I658" i="9"/>
  <c r="I659" i="9"/>
  <c r="I660" i="9"/>
  <c r="I661" i="9"/>
  <c r="I662" i="9"/>
  <c r="I663" i="9"/>
  <c r="I664" i="9"/>
  <c r="I665" i="9"/>
  <c r="I666" i="9"/>
  <c r="I667" i="9"/>
  <c r="I668" i="9"/>
  <c r="I669" i="9"/>
  <c r="I670" i="9"/>
  <c r="I671" i="9"/>
  <c r="I672" i="9"/>
  <c r="I673" i="9"/>
  <c r="I674" i="9"/>
  <c r="I675" i="9"/>
  <c r="I676" i="9"/>
  <c r="I677" i="9"/>
  <c r="I678" i="9"/>
  <c r="I679" i="9"/>
  <c r="I680" i="9"/>
  <c r="I681" i="9"/>
  <c r="I682" i="9"/>
  <c r="I683" i="9"/>
  <c r="I684" i="9"/>
  <c r="I685" i="9"/>
  <c r="I686" i="9"/>
  <c r="I687" i="9"/>
  <c r="I688" i="9"/>
  <c r="I689" i="9"/>
  <c r="I690" i="9"/>
  <c r="I691" i="9"/>
  <c r="I692" i="9"/>
  <c r="I693" i="9"/>
  <c r="I694" i="9"/>
  <c r="I695" i="9"/>
  <c r="I696" i="9"/>
  <c r="I697" i="9"/>
  <c r="I698" i="9"/>
  <c r="I699" i="9"/>
  <c r="I700" i="9"/>
  <c r="I701" i="9"/>
  <c r="I702" i="9"/>
  <c r="I703" i="9"/>
  <c r="I704" i="9"/>
  <c r="I705" i="9"/>
  <c r="I706" i="9"/>
  <c r="I707" i="9"/>
  <c r="I708" i="9"/>
  <c r="I709" i="9"/>
  <c r="I710" i="9"/>
  <c r="I711" i="9"/>
  <c r="I712" i="9"/>
  <c r="I713" i="9"/>
  <c r="I714" i="9"/>
  <c r="I715" i="9"/>
  <c r="I716" i="9"/>
  <c r="I717" i="9"/>
  <c r="I718" i="9"/>
  <c r="I719" i="9"/>
  <c r="I720" i="9"/>
  <c r="I721" i="9"/>
  <c r="I722" i="9"/>
  <c r="I723" i="9"/>
  <c r="I724" i="9"/>
  <c r="I725" i="9"/>
  <c r="I726" i="9"/>
  <c r="I727" i="9"/>
  <c r="I728" i="9"/>
  <c r="I729" i="9"/>
  <c r="I730" i="9"/>
  <c r="I731" i="9"/>
  <c r="I732" i="9"/>
  <c r="I733" i="9"/>
  <c r="I734" i="9"/>
  <c r="I735" i="9"/>
  <c r="I736" i="9"/>
  <c r="I737" i="9"/>
  <c r="I738" i="9"/>
  <c r="I739" i="9"/>
  <c r="I740" i="9"/>
  <c r="I741" i="9"/>
  <c r="I742" i="9"/>
  <c r="I743" i="9"/>
  <c r="I744" i="9"/>
  <c r="I745" i="9"/>
  <c r="I746" i="9"/>
  <c r="I747" i="9"/>
  <c r="I748" i="9"/>
  <c r="I749" i="9"/>
  <c r="I750" i="9"/>
  <c r="I751" i="9"/>
  <c r="I752" i="9"/>
  <c r="I753" i="9"/>
  <c r="I754" i="9"/>
  <c r="I755" i="9"/>
  <c r="I756" i="9"/>
  <c r="I757" i="9"/>
  <c r="I758" i="9"/>
  <c r="I759" i="9"/>
  <c r="I760" i="9"/>
  <c r="I761" i="9"/>
  <c r="I762" i="9"/>
  <c r="I763" i="9"/>
  <c r="I764" i="9"/>
  <c r="I765" i="9"/>
  <c r="I766" i="9"/>
  <c r="I767" i="9"/>
  <c r="I768" i="9"/>
  <c r="I769" i="9"/>
  <c r="I770" i="9"/>
  <c r="I771" i="9"/>
  <c r="I772" i="9"/>
  <c r="I773" i="9"/>
  <c r="I774" i="9"/>
  <c r="I775" i="9"/>
  <c r="I776" i="9"/>
  <c r="I777" i="9"/>
  <c r="I778" i="9"/>
  <c r="I779" i="9"/>
  <c r="I780" i="9"/>
  <c r="I781" i="9"/>
  <c r="I782" i="9"/>
  <c r="I783" i="9"/>
  <c r="I784" i="9"/>
  <c r="I785" i="9"/>
  <c r="I786" i="9"/>
  <c r="I787" i="9"/>
  <c r="I788" i="9"/>
  <c r="I789" i="9"/>
  <c r="I790" i="9"/>
  <c r="I791" i="9"/>
  <c r="I792" i="9"/>
  <c r="I793" i="9"/>
  <c r="I794" i="9"/>
  <c r="I795" i="9"/>
  <c r="I796" i="9"/>
  <c r="I797" i="9"/>
  <c r="I798" i="9"/>
  <c r="I799" i="9"/>
  <c r="I800" i="9"/>
  <c r="I801" i="9"/>
  <c r="I802" i="9"/>
  <c r="I803" i="9"/>
  <c r="I804" i="9"/>
  <c r="I805" i="9"/>
  <c r="I806" i="9"/>
  <c r="I807" i="9"/>
  <c r="I808" i="9"/>
  <c r="I809" i="9"/>
  <c r="I810" i="9"/>
  <c r="I811" i="9"/>
  <c r="I812" i="9"/>
  <c r="I813" i="9"/>
  <c r="I814" i="9"/>
  <c r="I815" i="9"/>
  <c r="I816" i="9"/>
  <c r="I817" i="9"/>
  <c r="I818" i="9"/>
  <c r="I819" i="9"/>
  <c r="I820" i="9"/>
  <c r="I821" i="9"/>
  <c r="I822" i="9"/>
  <c r="I823" i="9"/>
  <c r="I824" i="9"/>
  <c r="I825" i="9"/>
  <c r="I826" i="9"/>
  <c r="I827" i="9"/>
  <c r="I828" i="9"/>
  <c r="I829" i="9"/>
  <c r="I830" i="9"/>
  <c r="I831" i="9"/>
  <c r="I832" i="9"/>
  <c r="I833" i="9"/>
  <c r="I834" i="9"/>
  <c r="I835" i="9"/>
  <c r="I836" i="9"/>
  <c r="I837" i="9"/>
  <c r="I838" i="9"/>
  <c r="I839" i="9"/>
  <c r="I840" i="9"/>
  <c r="I841" i="9"/>
  <c r="I842" i="9"/>
  <c r="I843" i="9"/>
  <c r="I844" i="9"/>
  <c r="I845" i="9"/>
  <c r="I846" i="9"/>
  <c r="I847" i="9"/>
  <c r="I848" i="9"/>
  <c r="I849" i="9"/>
  <c r="I850" i="9"/>
  <c r="I851" i="9"/>
  <c r="I852" i="9"/>
  <c r="I853" i="9"/>
  <c r="I854" i="9"/>
  <c r="I855" i="9"/>
  <c r="I856" i="9"/>
  <c r="I857" i="9"/>
  <c r="I858" i="9"/>
  <c r="I859" i="9"/>
  <c r="I860" i="9"/>
  <c r="I861" i="9"/>
  <c r="I862" i="9"/>
  <c r="I863" i="9"/>
  <c r="I864" i="9"/>
  <c r="I865" i="9"/>
  <c r="I866" i="9"/>
  <c r="I867" i="9"/>
  <c r="I868" i="9"/>
  <c r="I869" i="9"/>
  <c r="I870" i="9"/>
  <c r="I871" i="9"/>
  <c r="I872" i="9"/>
  <c r="I873" i="9"/>
  <c r="I874" i="9"/>
  <c r="I875" i="9"/>
  <c r="I876" i="9"/>
  <c r="I877" i="9"/>
  <c r="I878" i="9"/>
  <c r="I879" i="9"/>
  <c r="I880" i="9"/>
  <c r="I881" i="9"/>
  <c r="I882" i="9"/>
  <c r="I883" i="9"/>
  <c r="I884" i="9"/>
  <c r="I885" i="9"/>
  <c r="I886" i="9"/>
  <c r="I887" i="9"/>
  <c r="I888" i="9"/>
  <c r="I889" i="9"/>
  <c r="I890" i="9"/>
  <c r="I891" i="9"/>
  <c r="I892" i="9"/>
  <c r="I893" i="9"/>
  <c r="I894" i="9"/>
  <c r="I895" i="9"/>
  <c r="I896" i="9"/>
  <c r="I897" i="9"/>
  <c r="I898" i="9"/>
  <c r="I899" i="9"/>
  <c r="I900" i="9"/>
  <c r="I901" i="9"/>
  <c r="I902" i="9"/>
  <c r="I903" i="9"/>
  <c r="I904" i="9"/>
  <c r="I905" i="9"/>
  <c r="I906" i="9"/>
  <c r="I907" i="9"/>
  <c r="I908" i="9"/>
  <c r="I909" i="9"/>
  <c r="I910" i="9"/>
  <c r="I911" i="9"/>
  <c r="I912" i="9"/>
  <c r="I913" i="9"/>
  <c r="I914" i="9"/>
  <c r="I915" i="9"/>
  <c r="I916" i="9"/>
  <c r="I917" i="9"/>
  <c r="I918" i="9"/>
  <c r="I919" i="9"/>
  <c r="I920" i="9"/>
  <c r="I921" i="9"/>
  <c r="I922" i="9"/>
  <c r="I923" i="9"/>
  <c r="I924" i="9"/>
  <c r="I925" i="9"/>
  <c r="I926" i="9"/>
  <c r="I927" i="9"/>
  <c r="I928" i="9"/>
  <c r="I929" i="9"/>
  <c r="I930" i="9"/>
  <c r="I931" i="9"/>
  <c r="I932" i="9"/>
  <c r="I933" i="9"/>
  <c r="I934" i="9"/>
  <c r="I935" i="9"/>
  <c r="I936" i="9"/>
  <c r="I937" i="9"/>
  <c r="I938" i="9"/>
  <c r="I939" i="9"/>
  <c r="I940" i="9"/>
  <c r="I941" i="9"/>
  <c r="I942" i="9"/>
  <c r="I943" i="9"/>
  <c r="I944" i="9"/>
  <c r="I945" i="9"/>
  <c r="I946" i="9"/>
  <c r="I947" i="9"/>
  <c r="I948" i="9"/>
  <c r="I949" i="9"/>
  <c r="I950" i="9"/>
  <c r="I951" i="9"/>
  <c r="I952" i="9"/>
  <c r="I953" i="9"/>
  <c r="I954" i="9"/>
  <c r="I955" i="9"/>
  <c r="I956" i="9"/>
  <c r="I957" i="9"/>
  <c r="I958" i="9"/>
  <c r="I959" i="9"/>
  <c r="I960" i="9"/>
  <c r="I961" i="9"/>
  <c r="I962" i="9"/>
  <c r="I963" i="9"/>
  <c r="I964" i="9"/>
  <c r="I965" i="9"/>
  <c r="I966" i="9"/>
  <c r="I967" i="9"/>
  <c r="I968" i="9"/>
  <c r="I969" i="9"/>
  <c r="I970" i="9"/>
  <c r="I971" i="9"/>
  <c r="I972" i="9"/>
  <c r="I973" i="9"/>
  <c r="I974" i="9"/>
  <c r="I975" i="9"/>
  <c r="I976" i="9"/>
  <c r="I977" i="9"/>
  <c r="I978" i="9"/>
  <c r="I979" i="9"/>
  <c r="I980" i="9"/>
  <c r="I981" i="9"/>
  <c r="I982" i="9"/>
  <c r="I983" i="9"/>
  <c r="I984" i="9"/>
  <c r="I985" i="9"/>
  <c r="I986" i="9"/>
  <c r="I987" i="9"/>
  <c r="I988" i="9"/>
  <c r="I989" i="9"/>
  <c r="I990" i="9"/>
  <c r="I991" i="9"/>
  <c r="I992" i="9"/>
  <c r="I993" i="9"/>
  <c r="I994" i="9"/>
  <c r="I995" i="9"/>
  <c r="I996" i="9"/>
  <c r="I997" i="9"/>
  <c r="I998" i="9"/>
  <c r="I999" i="9"/>
  <c r="I1000" i="9"/>
  <c r="I1001" i="9"/>
  <c r="I1002" i="9"/>
  <c r="I1003" i="9"/>
  <c r="I1004" i="9"/>
  <c r="I1005" i="9"/>
  <c r="I1006" i="9"/>
  <c r="I1007" i="9"/>
  <c r="I1008" i="9"/>
  <c r="I1009" i="9"/>
  <c r="I1010" i="9"/>
  <c r="I1011" i="9"/>
  <c r="I1012" i="9"/>
  <c r="I1013" i="9"/>
  <c r="I1014" i="9"/>
  <c r="I1015" i="9"/>
  <c r="I1016" i="9"/>
  <c r="I1017" i="9"/>
  <c r="I1018" i="9"/>
  <c r="I1019" i="9"/>
  <c r="I1020" i="9"/>
  <c r="I1021" i="9"/>
  <c r="I1022" i="9"/>
  <c r="I1023" i="9"/>
  <c r="I1024" i="9"/>
  <c r="I1025" i="9"/>
  <c r="I1026" i="9"/>
  <c r="I1027" i="9"/>
  <c r="I1028" i="9"/>
  <c r="I1029" i="9"/>
  <c r="I1030" i="9"/>
  <c r="I1031" i="9"/>
  <c r="I1032" i="9"/>
  <c r="I1033" i="9"/>
  <c r="J2" i="9"/>
  <c r="K2" i="9" s="1"/>
  <c r="J3" i="9"/>
  <c r="K3" i="9" s="1"/>
  <c r="J4" i="9"/>
  <c r="K4" i="9" s="1"/>
  <c r="J5" i="9"/>
  <c r="K5" i="9" s="1"/>
  <c r="J6" i="9"/>
  <c r="K6" i="9" s="1"/>
  <c r="J7" i="9"/>
  <c r="K7" i="9" s="1"/>
  <c r="J8" i="9"/>
  <c r="K8" i="9" s="1"/>
  <c r="J9" i="9"/>
  <c r="K9" i="9" s="1"/>
  <c r="J10" i="9"/>
  <c r="K10" i="9" s="1"/>
  <c r="J11" i="9"/>
  <c r="K11" i="9" s="1"/>
  <c r="J12" i="9"/>
  <c r="K12" i="9" s="1"/>
  <c r="J13" i="9"/>
  <c r="K13" i="9" s="1"/>
  <c r="J14" i="9"/>
  <c r="K14" i="9" s="1"/>
  <c r="J15" i="9"/>
  <c r="K15" i="9" s="1"/>
  <c r="J16" i="9"/>
  <c r="K16" i="9" s="1"/>
  <c r="J17" i="9"/>
  <c r="K17" i="9" s="1"/>
  <c r="J18" i="9"/>
  <c r="K18" i="9" s="1"/>
  <c r="J19" i="9"/>
  <c r="K19" i="9" s="1"/>
  <c r="J20" i="9"/>
  <c r="J21" i="9"/>
  <c r="K21" i="9" s="1"/>
  <c r="J22" i="9"/>
  <c r="K22" i="9" s="1"/>
  <c r="J23" i="9"/>
  <c r="K23" i="9" s="1"/>
  <c r="J24" i="9"/>
  <c r="K24" i="9" s="1"/>
  <c r="J25" i="9"/>
  <c r="K25" i="9" s="1"/>
  <c r="J26" i="9"/>
  <c r="K26" i="9" s="1"/>
  <c r="J27" i="9"/>
  <c r="K27" i="9" s="1"/>
  <c r="J28" i="9"/>
  <c r="K28" i="9" s="1"/>
  <c r="J29" i="9"/>
  <c r="K29" i="9" s="1"/>
  <c r="J30" i="9"/>
  <c r="K30" i="9" s="1"/>
  <c r="J31" i="9"/>
  <c r="K31" i="9" s="1"/>
  <c r="J32" i="9"/>
  <c r="K32" i="9" s="1"/>
  <c r="J33" i="9"/>
  <c r="K33" i="9" s="1"/>
  <c r="J34" i="9"/>
  <c r="K34" i="9" s="1"/>
  <c r="J35" i="9"/>
  <c r="K35" i="9" s="1"/>
  <c r="J36" i="9"/>
  <c r="K36" i="9" s="1"/>
  <c r="J37" i="9"/>
  <c r="K37" i="9" s="1"/>
  <c r="J38" i="9"/>
  <c r="K38" i="9" s="1"/>
  <c r="J39" i="9"/>
  <c r="K39" i="9" s="1"/>
  <c r="J40" i="9"/>
  <c r="K40" i="9" s="1"/>
  <c r="J41" i="9"/>
  <c r="K41" i="9" s="1"/>
  <c r="J42" i="9"/>
  <c r="K42" i="9" s="1"/>
  <c r="J43" i="9"/>
  <c r="K43" i="9" s="1"/>
  <c r="J44" i="9"/>
  <c r="J45" i="9"/>
  <c r="K45" i="9" s="1"/>
  <c r="J46" i="9"/>
  <c r="K46" i="9" s="1"/>
  <c r="J47" i="9"/>
  <c r="K47" i="9" s="1"/>
  <c r="J48" i="9"/>
  <c r="K48" i="9" s="1"/>
  <c r="J49" i="9"/>
  <c r="K49" i="9" s="1"/>
  <c r="J50" i="9"/>
  <c r="K50" i="9" s="1"/>
  <c r="J51" i="9"/>
  <c r="K51" i="9" s="1"/>
  <c r="J52" i="9"/>
  <c r="K52" i="9" s="1"/>
  <c r="J53" i="9"/>
  <c r="K53" i="9" s="1"/>
  <c r="J54" i="9"/>
  <c r="K54" i="9" s="1"/>
  <c r="J55" i="9"/>
  <c r="K55" i="9" s="1"/>
  <c r="J56" i="9"/>
  <c r="K56" i="9" s="1"/>
  <c r="J57" i="9"/>
  <c r="K57" i="9" s="1"/>
  <c r="J58" i="9"/>
  <c r="K58" i="9" s="1"/>
  <c r="J59" i="9"/>
  <c r="K59" i="9" s="1"/>
  <c r="J60" i="9"/>
  <c r="K60" i="9" s="1"/>
  <c r="J61" i="9"/>
  <c r="K61" i="9" s="1"/>
  <c r="J62" i="9"/>
  <c r="K62" i="9" s="1"/>
  <c r="J63" i="9"/>
  <c r="K63" i="9" s="1"/>
  <c r="J64" i="9"/>
  <c r="K64" i="9" s="1"/>
  <c r="J65" i="9"/>
  <c r="K65" i="9" s="1"/>
  <c r="J66" i="9"/>
  <c r="K66" i="9" s="1"/>
  <c r="J67" i="9"/>
  <c r="K67" i="9" s="1"/>
  <c r="J68" i="9"/>
  <c r="K68" i="9" s="1"/>
  <c r="J69" i="9"/>
  <c r="K69" i="9" s="1"/>
  <c r="J70" i="9"/>
  <c r="K70" i="9" s="1"/>
  <c r="J71" i="9"/>
  <c r="K71" i="9" s="1"/>
  <c r="J72" i="9"/>
  <c r="J73" i="9"/>
  <c r="K73" i="9" s="1"/>
  <c r="J74" i="9"/>
  <c r="K74" i="9" s="1"/>
  <c r="J75" i="9"/>
  <c r="K75" i="9" s="1"/>
  <c r="J76" i="9"/>
  <c r="K76" i="9" s="1"/>
  <c r="J77" i="9"/>
  <c r="K77" i="9" s="1"/>
  <c r="J78" i="9"/>
  <c r="K78" i="9" s="1"/>
  <c r="J79" i="9"/>
  <c r="K79" i="9" s="1"/>
  <c r="J80" i="9"/>
  <c r="K80" i="9" s="1"/>
  <c r="J81" i="9"/>
  <c r="K81" i="9" s="1"/>
  <c r="J82" i="9"/>
  <c r="K82" i="9" s="1"/>
  <c r="J83" i="9"/>
  <c r="K83" i="9" s="1"/>
  <c r="J84" i="9"/>
  <c r="K84" i="9" s="1"/>
  <c r="J85" i="9"/>
  <c r="K85" i="9" s="1"/>
  <c r="J86" i="9"/>
  <c r="K86" i="9" s="1"/>
  <c r="J87" i="9"/>
  <c r="K87" i="9" s="1"/>
  <c r="J88" i="9"/>
  <c r="K88" i="9" s="1"/>
  <c r="J89" i="9"/>
  <c r="K89" i="9" s="1"/>
  <c r="J90" i="9"/>
  <c r="K90" i="9" s="1"/>
  <c r="J91" i="9"/>
  <c r="K91" i="9" s="1"/>
  <c r="J92" i="9"/>
  <c r="K92" i="9" s="1"/>
  <c r="J93" i="9"/>
  <c r="K93" i="9" s="1"/>
  <c r="J94" i="9"/>
  <c r="K94" i="9" s="1"/>
  <c r="J95" i="9"/>
  <c r="K95" i="9" s="1"/>
  <c r="J96" i="9"/>
  <c r="K96" i="9" s="1"/>
  <c r="J97" i="9"/>
  <c r="K97" i="9" s="1"/>
  <c r="J98" i="9"/>
  <c r="K98" i="9" s="1"/>
  <c r="J99" i="9"/>
  <c r="K99" i="9" s="1"/>
  <c r="J100" i="9"/>
  <c r="K100" i="9" s="1"/>
  <c r="J101" i="9"/>
  <c r="K101" i="9" s="1"/>
  <c r="J102" i="9"/>
  <c r="K102" i="9" s="1"/>
  <c r="J103" i="9"/>
  <c r="K103" i="9" s="1"/>
  <c r="J104" i="9"/>
  <c r="K104" i="9" s="1"/>
  <c r="J105" i="9"/>
  <c r="K105" i="9" s="1"/>
  <c r="J106" i="9"/>
  <c r="K106" i="9" s="1"/>
  <c r="J107" i="9"/>
  <c r="J108" i="9"/>
  <c r="K108" i="9" s="1"/>
  <c r="J109" i="9"/>
  <c r="K109" i="9" s="1"/>
  <c r="J110" i="9"/>
  <c r="K110" i="9" s="1"/>
  <c r="J111" i="9"/>
  <c r="K111" i="9" s="1"/>
  <c r="J112" i="9"/>
  <c r="K112" i="9" s="1"/>
  <c r="J113" i="9"/>
  <c r="K113" i="9" s="1"/>
  <c r="J114" i="9"/>
  <c r="K114" i="9" s="1"/>
  <c r="J115" i="9"/>
  <c r="K115" i="9" s="1"/>
  <c r="J116" i="9"/>
  <c r="K116" i="9" s="1"/>
  <c r="J117" i="9"/>
  <c r="K117" i="9" s="1"/>
  <c r="J118" i="9"/>
  <c r="K118" i="9" s="1"/>
  <c r="J119" i="9"/>
  <c r="K119" i="9" s="1"/>
  <c r="J120" i="9"/>
  <c r="K120" i="9" s="1"/>
  <c r="J121" i="9"/>
  <c r="K121" i="9" s="1"/>
  <c r="J122" i="9"/>
  <c r="K122" i="9" s="1"/>
  <c r="J123" i="9"/>
  <c r="K123" i="9" s="1"/>
  <c r="J124" i="9"/>
  <c r="K124" i="9" s="1"/>
  <c r="J125" i="9"/>
  <c r="K125" i="9" s="1"/>
  <c r="J126" i="9"/>
  <c r="K126" i="9" s="1"/>
  <c r="J127" i="9"/>
  <c r="K127" i="9" s="1"/>
  <c r="J128" i="9"/>
  <c r="K128" i="9" s="1"/>
  <c r="J129" i="9"/>
  <c r="K129" i="9" s="1"/>
  <c r="J130" i="9"/>
  <c r="K130" i="9" s="1"/>
  <c r="J131" i="9"/>
  <c r="K131" i="9" s="1"/>
  <c r="J132" i="9"/>
  <c r="K132" i="9" s="1"/>
  <c r="J133" i="9"/>
  <c r="K133" i="9" s="1"/>
  <c r="J134" i="9"/>
  <c r="K134" i="9" s="1"/>
  <c r="J135" i="9"/>
  <c r="K135" i="9" s="1"/>
  <c r="J136" i="9"/>
  <c r="K136" i="9" s="1"/>
  <c r="J137" i="9"/>
  <c r="K137" i="9" s="1"/>
  <c r="J138" i="9"/>
  <c r="K138" i="9" s="1"/>
  <c r="J139" i="9"/>
  <c r="K139" i="9" s="1"/>
  <c r="J140" i="9"/>
  <c r="K140" i="9" s="1"/>
  <c r="J141" i="9"/>
  <c r="K141" i="9" s="1"/>
  <c r="J142" i="9"/>
  <c r="K142" i="9" s="1"/>
  <c r="J143" i="9"/>
  <c r="K143" i="9" s="1"/>
  <c r="J144" i="9"/>
  <c r="K144" i="9" s="1"/>
  <c r="J145" i="9"/>
  <c r="K145" i="9" s="1"/>
  <c r="J146" i="9"/>
  <c r="K146" i="9" s="1"/>
  <c r="J147" i="9"/>
  <c r="K147" i="9" s="1"/>
  <c r="J148" i="9"/>
  <c r="K148" i="9" s="1"/>
  <c r="J149" i="9"/>
  <c r="K149" i="9" s="1"/>
  <c r="J150" i="9"/>
  <c r="K150" i="9" s="1"/>
  <c r="J151" i="9"/>
  <c r="K151" i="9" s="1"/>
  <c r="J152" i="9"/>
  <c r="K152" i="9" s="1"/>
  <c r="J153" i="9"/>
  <c r="K153" i="9" s="1"/>
  <c r="J154" i="9"/>
  <c r="K154" i="9" s="1"/>
  <c r="J155" i="9"/>
  <c r="K155" i="9" s="1"/>
  <c r="J156" i="9"/>
  <c r="K156" i="9" s="1"/>
  <c r="J157" i="9"/>
  <c r="K157" i="9" s="1"/>
  <c r="J158" i="9"/>
  <c r="K158" i="9" s="1"/>
  <c r="J159" i="9"/>
  <c r="K159" i="9" s="1"/>
  <c r="J160" i="9"/>
  <c r="K160" i="9" s="1"/>
  <c r="J161" i="9"/>
  <c r="K161" i="9" s="1"/>
  <c r="J162" i="9"/>
  <c r="K162" i="9" s="1"/>
  <c r="J163" i="9"/>
  <c r="K163" i="9" s="1"/>
  <c r="J164" i="9"/>
  <c r="J165" i="9"/>
  <c r="K165" i="9" s="1"/>
  <c r="J166" i="9"/>
  <c r="K166" i="9" s="1"/>
  <c r="J167" i="9"/>
  <c r="K167" i="9" s="1"/>
  <c r="J168" i="9"/>
  <c r="J169" i="9"/>
  <c r="K169" i="9" s="1"/>
  <c r="J170" i="9"/>
  <c r="K170" i="9" s="1"/>
  <c r="J171" i="9"/>
  <c r="K171" i="9" s="1"/>
  <c r="J172" i="9"/>
  <c r="K172" i="9" s="1"/>
  <c r="J173" i="9"/>
  <c r="K173" i="9" s="1"/>
  <c r="J174" i="9"/>
  <c r="K174" i="9" s="1"/>
  <c r="J175" i="9"/>
  <c r="K175" i="9" s="1"/>
  <c r="J176" i="9"/>
  <c r="K176" i="9" s="1"/>
  <c r="J177" i="9"/>
  <c r="K177" i="9" s="1"/>
  <c r="J178" i="9"/>
  <c r="K178" i="9" s="1"/>
  <c r="J179" i="9"/>
  <c r="K179" i="9" s="1"/>
  <c r="J180" i="9"/>
  <c r="K180" i="9" s="1"/>
  <c r="J181" i="9"/>
  <c r="K181" i="9" s="1"/>
  <c r="J182" i="9"/>
  <c r="K182" i="9" s="1"/>
  <c r="J183" i="9"/>
  <c r="K183" i="9" s="1"/>
  <c r="J184" i="9"/>
  <c r="K184" i="9" s="1"/>
  <c r="J185" i="9"/>
  <c r="K185" i="9" s="1"/>
  <c r="J186" i="9"/>
  <c r="K186" i="9" s="1"/>
  <c r="J187" i="9"/>
  <c r="K187" i="9" s="1"/>
  <c r="J188" i="9"/>
  <c r="J189" i="9"/>
  <c r="K189" i="9" s="1"/>
  <c r="J190" i="9"/>
  <c r="K190" i="9" s="1"/>
  <c r="J191" i="9"/>
  <c r="K191" i="9" s="1"/>
  <c r="J192" i="9"/>
  <c r="K192" i="9" s="1"/>
  <c r="J193" i="9"/>
  <c r="K193" i="9" s="1"/>
  <c r="J194" i="9"/>
  <c r="K194" i="9" s="1"/>
  <c r="J195" i="9"/>
  <c r="K195" i="9" s="1"/>
  <c r="J196" i="9"/>
  <c r="K196" i="9" s="1"/>
  <c r="J197" i="9"/>
  <c r="K197" i="9" s="1"/>
  <c r="J198" i="9"/>
  <c r="K198" i="9" s="1"/>
  <c r="J199" i="9"/>
  <c r="K199" i="9" s="1"/>
  <c r="J200" i="9"/>
  <c r="K200" i="9" s="1"/>
  <c r="J201" i="9"/>
  <c r="K201" i="9" s="1"/>
  <c r="J202" i="9"/>
  <c r="K202" i="9" s="1"/>
  <c r="J203" i="9"/>
  <c r="K203" i="9" s="1"/>
  <c r="J204" i="9"/>
  <c r="K204" i="9" s="1"/>
  <c r="J205" i="9"/>
  <c r="K205" i="9" s="1"/>
  <c r="J206" i="9"/>
  <c r="K206" i="9" s="1"/>
  <c r="J207" i="9"/>
  <c r="K207" i="9" s="1"/>
  <c r="J208" i="9"/>
  <c r="K208" i="9" s="1"/>
  <c r="J209" i="9"/>
  <c r="K209" i="9" s="1"/>
  <c r="J210" i="9"/>
  <c r="K210" i="9" s="1"/>
  <c r="J211" i="9"/>
  <c r="K211" i="9" s="1"/>
  <c r="J212" i="9"/>
  <c r="K212" i="9" s="1"/>
  <c r="J213" i="9"/>
  <c r="K213" i="9" s="1"/>
  <c r="J214" i="9"/>
  <c r="K214" i="9" s="1"/>
  <c r="J215" i="9"/>
  <c r="K215" i="9" s="1"/>
  <c r="J216" i="9"/>
  <c r="K216" i="9" s="1"/>
  <c r="J217" i="9"/>
  <c r="K217" i="9" s="1"/>
  <c r="J218" i="9"/>
  <c r="K218" i="9" s="1"/>
  <c r="J219" i="9"/>
  <c r="K219" i="9" s="1"/>
  <c r="J220" i="9"/>
  <c r="K220" i="9" s="1"/>
  <c r="J221" i="9"/>
  <c r="K221" i="9" s="1"/>
  <c r="J222" i="9"/>
  <c r="K222" i="9" s="1"/>
  <c r="J223" i="9"/>
  <c r="K223" i="9" s="1"/>
  <c r="J224" i="9"/>
  <c r="K224" i="9" s="1"/>
  <c r="J225" i="9"/>
  <c r="K225" i="9" s="1"/>
  <c r="J226" i="9"/>
  <c r="K226" i="9" s="1"/>
  <c r="J227" i="9"/>
  <c r="K227" i="9" s="1"/>
  <c r="J228" i="9"/>
  <c r="K228" i="9" s="1"/>
  <c r="J229" i="9"/>
  <c r="K229" i="9" s="1"/>
  <c r="J230" i="9"/>
  <c r="K230" i="9" s="1"/>
  <c r="J231" i="9"/>
  <c r="K231" i="9" s="1"/>
  <c r="J232" i="9"/>
  <c r="K232" i="9" s="1"/>
  <c r="J233" i="9"/>
  <c r="K233" i="9" s="1"/>
  <c r="J234" i="9"/>
  <c r="K234" i="9" s="1"/>
  <c r="J235" i="9"/>
  <c r="K235" i="9" s="1"/>
  <c r="J236" i="9"/>
  <c r="K236" i="9" s="1"/>
  <c r="J237" i="9"/>
  <c r="K237" i="9" s="1"/>
  <c r="J238" i="9"/>
  <c r="K238" i="9" s="1"/>
  <c r="J239" i="9"/>
  <c r="K239" i="9" s="1"/>
  <c r="J240" i="9"/>
  <c r="K240" i="9" s="1"/>
  <c r="J241" i="9"/>
  <c r="K241" i="9" s="1"/>
  <c r="J242" i="9"/>
  <c r="K242" i="9" s="1"/>
  <c r="J243" i="9"/>
  <c r="K243" i="9" s="1"/>
  <c r="J244" i="9"/>
  <c r="K244" i="9" s="1"/>
  <c r="J245" i="9"/>
  <c r="K245" i="9" s="1"/>
  <c r="J246" i="9"/>
  <c r="K246" i="9" s="1"/>
  <c r="J247" i="9"/>
  <c r="K247" i="9" s="1"/>
  <c r="J248" i="9"/>
  <c r="K248" i="9" s="1"/>
  <c r="J249" i="9"/>
  <c r="K249" i="9" s="1"/>
  <c r="J250" i="9"/>
  <c r="K250" i="9" s="1"/>
  <c r="J251" i="9"/>
  <c r="J252" i="9"/>
  <c r="J253" i="9"/>
  <c r="K253" i="9" s="1"/>
  <c r="J254" i="9"/>
  <c r="K254" i="9" s="1"/>
  <c r="J255" i="9"/>
  <c r="K255" i="9" s="1"/>
  <c r="J256" i="9"/>
  <c r="K256" i="9" s="1"/>
  <c r="J257" i="9"/>
  <c r="K257" i="9" s="1"/>
  <c r="J258" i="9"/>
  <c r="K258" i="9" s="1"/>
  <c r="J259" i="9"/>
  <c r="K259" i="9" s="1"/>
  <c r="J260" i="9"/>
  <c r="K260" i="9" s="1"/>
  <c r="J261" i="9"/>
  <c r="K261" i="9" s="1"/>
  <c r="J262" i="9"/>
  <c r="K262" i="9" s="1"/>
  <c r="J263" i="9"/>
  <c r="K263" i="9" s="1"/>
  <c r="J264" i="9"/>
  <c r="K264" i="9" s="1"/>
  <c r="J265" i="9"/>
  <c r="K265" i="9" s="1"/>
  <c r="J266" i="9"/>
  <c r="K266" i="9" s="1"/>
  <c r="J267" i="9"/>
  <c r="K267" i="9" s="1"/>
  <c r="J268" i="9"/>
  <c r="K268" i="9" s="1"/>
  <c r="J269" i="9"/>
  <c r="K269" i="9" s="1"/>
  <c r="J270" i="9"/>
  <c r="K270" i="9" s="1"/>
  <c r="J271" i="9"/>
  <c r="K271" i="9" s="1"/>
  <c r="J272" i="9"/>
  <c r="K272" i="9" s="1"/>
  <c r="J273" i="9"/>
  <c r="K273" i="9" s="1"/>
  <c r="J274" i="9"/>
  <c r="K274" i="9" s="1"/>
  <c r="J275" i="9"/>
  <c r="K275" i="9" s="1"/>
  <c r="J276" i="9"/>
  <c r="K276" i="9" s="1"/>
  <c r="J277" i="9"/>
  <c r="K277" i="9" s="1"/>
  <c r="J278" i="9"/>
  <c r="K278" i="9" s="1"/>
  <c r="J279" i="9"/>
  <c r="K279" i="9" s="1"/>
  <c r="J280" i="9"/>
  <c r="K280" i="9" s="1"/>
  <c r="J281" i="9"/>
  <c r="K281" i="9" s="1"/>
  <c r="J282" i="9"/>
  <c r="K282" i="9" s="1"/>
  <c r="J283" i="9"/>
  <c r="K283" i="9" s="1"/>
  <c r="J284" i="9"/>
  <c r="J285" i="9"/>
  <c r="J286" i="9"/>
  <c r="K286" i="9" s="1"/>
  <c r="J287" i="9"/>
  <c r="K287" i="9" s="1"/>
  <c r="J288" i="9"/>
  <c r="K288" i="9" s="1"/>
  <c r="J289" i="9"/>
  <c r="K289" i="9" s="1"/>
  <c r="J290" i="9"/>
  <c r="K290" i="9" s="1"/>
  <c r="J291" i="9"/>
  <c r="K291" i="9" s="1"/>
  <c r="J292" i="9"/>
  <c r="K292" i="9" s="1"/>
  <c r="J293" i="9"/>
  <c r="K293" i="9" s="1"/>
  <c r="J294" i="9"/>
  <c r="K294" i="9" s="1"/>
  <c r="J295" i="9"/>
  <c r="K295" i="9" s="1"/>
  <c r="J296" i="9"/>
  <c r="K296" i="9" s="1"/>
  <c r="J297" i="9"/>
  <c r="K297" i="9" s="1"/>
  <c r="J298" i="9"/>
  <c r="K298" i="9" s="1"/>
  <c r="J299" i="9"/>
  <c r="K299" i="9" s="1"/>
  <c r="J300" i="9"/>
  <c r="K300" i="9" s="1"/>
  <c r="J301" i="9"/>
  <c r="K301" i="9" s="1"/>
  <c r="J302" i="9"/>
  <c r="K302" i="9" s="1"/>
  <c r="J303" i="9"/>
  <c r="K303" i="9" s="1"/>
  <c r="J304" i="9"/>
  <c r="K304" i="9" s="1"/>
  <c r="J305" i="9"/>
  <c r="K305" i="9" s="1"/>
  <c r="J306" i="9"/>
  <c r="K306" i="9" s="1"/>
  <c r="J307" i="9"/>
  <c r="K307" i="9" s="1"/>
  <c r="J308" i="9"/>
  <c r="K308" i="9" s="1"/>
  <c r="J309" i="9"/>
  <c r="K309" i="9" s="1"/>
  <c r="J310" i="9"/>
  <c r="K310" i="9" s="1"/>
  <c r="J311" i="9"/>
  <c r="K311" i="9" s="1"/>
  <c r="J312" i="9"/>
  <c r="K312" i="9" s="1"/>
  <c r="J313" i="9"/>
  <c r="K313" i="9" s="1"/>
  <c r="J314" i="9"/>
  <c r="K314" i="9" s="1"/>
  <c r="J315" i="9"/>
  <c r="K315" i="9" s="1"/>
  <c r="J316" i="9"/>
  <c r="K316" i="9" s="1"/>
  <c r="J317" i="9"/>
  <c r="K317" i="9" s="1"/>
  <c r="J318" i="9"/>
  <c r="K318" i="9" s="1"/>
  <c r="J319" i="9"/>
  <c r="K319" i="9" s="1"/>
  <c r="J320" i="9"/>
  <c r="K320" i="9" s="1"/>
  <c r="J321" i="9"/>
  <c r="K321" i="9" s="1"/>
  <c r="J322" i="9"/>
  <c r="K322" i="9" s="1"/>
  <c r="J323" i="9"/>
  <c r="K323" i="9" s="1"/>
  <c r="J324" i="9"/>
  <c r="K324" i="9" s="1"/>
  <c r="J325" i="9"/>
  <c r="K325" i="9" s="1"/>
  <c r="J326" i="9"/>
  <c r="K326" i="9" s="1"/>
  <c r="J327" i="9"/>
  <c r="K327" i="9" s="1"/>
  <c r="J328" i="9"/>
  <c r="K328" i="9" s="1"/>
  <c r="J329" i="9"/>
  <c r="K329" i="9" s="1"/>
  <c r="J330" i="9"/>
  <c r="K330" i="9" s="1"/>
  <c r="J331" i="9"/>
  <c r="K331" i="9" s="1"/>
  <c r="J332" i="9"/>
  <c r="K332" i="9" s="1"/>
  <c r="J333" i="9"/>
  <c r="K333" i="9" s="1"/>
  <c r="J334" i="9"/>
  <c r="K334" i="9" s="1"/>
  <c r="J335" i="9"/>
  <c r="K335" i="9" s="1"/>
  <c r="J336" i="9"/>
  <c r="K336" i="9" s="1"/>
  <c r="J337" i="9"/>
  <c r="K337" i="9" s="1"/>
  <c r="J338" i="9"/>
  <c r="K338" i="9" s="1"/>
  <c r="J339" i="9"/>
  <c r="K339" i="9" s="1"/>
  <c r="J340" i="9"/>
  <c r="K340" i="9" s="1"/>
  <c r="J341" i="9"/>
  <c r="K341" i="9" s="1"/>
  <c r="J342" i="9"/>
  <c r="K342" i="9" s="1"/>
  <c r="J343" i="9"/>
  <c r="K343" i="9" s="1"/>
  <c r="J344" i="9"/>
  <c r="K344" i="9" s="1"/>
  <c r="J345" i="9"/>
  <c r="K345" i="9" s="1"/>
  <c r="J346" i="9"/>
  <c r="K346" i="9" s="1"/>
  <c r="J347" i="9"/>
  <c r="K347" i="9" s="1"/>
  <c r="J348" i="9"/>
  <c r="K348" i="9" s="1"/>
  <c r="J349" i="9"/>
  <c r="K349" i="9" s="1"/>
  <c r="J350" i="9"/>
  <c r="K350" i="9" s="1"/>
  <c r="J351" i="9"/>
  <c r="K351" i="9" s="1"/>
  <c r="J352" i="9"/>
  <c r="K352" i="9" s="1"/>
  <c r="J353" i="9"/>
  <c r="K353" i="9" s="1"/>
  <c r="J354" i="9"/>
  <c r="K354" i="9" s="1"/>
  <c r="J355" i="9"/>
  <c r="K355" i="9" s="1"/>
  <c r="J356" i="9"/>
  <c r="K356" i="9" s="1"/>
  <c r="J357" i="9"/>
  <c r="K357" i="9" s="1"/>
  <c r="J358" i="9"/>
  <c r="K358" i="9" s="1"/>
  <c r="J359" i="9"/>
  <c r="K359" i="9" s="1"/>
  <c r="J360" i="9"/>
  <c r="K360" i="9" s="1"/>
  <c r="J361" i="9"/>
  <c r="K361" i="9" s="1"/>
  <c r="J362" i="9"/>
  <c r="K362" i="9" s="1"/>
  <c r="J363" i="9"/>
  <c r="K363" i="9" s="1"/>
  <c r="J364" i="9"/>
  <c r="K364" i="9" s="1"/>
  <c r="J365" i="9"/>
  <c r="K365" i="9" s="1"/>
  <c r="J366" i="9"/>
  <c r="K366" i="9" s="1"/>
  <c r="J367" i="9"/>
  <c r="K367" i="9" s="1"/>
  <c r="J368" i="9"/>
  <c r="K368" i="9" s="1"/>
  <c r="J369" i="9"/>
  <c r="K369" i="9" s="1"/>
  <c r="J370" i="9"/>
  <c r="K370" i="9" s="1"/>
  <c r="J371" i="9"/>
  <c r="K371" i="9" s="1"/>
  <c r="J372" i="9"/>
  <c r="K372" i="9" s="1"/>
  <c r="J373" i="9"/>
  <c r="K373" i="9" s="1"/>
  <c r="J374" i="9"/>
  <c r="K374" i="9" s="1"/>
  <c r="J375" i="9"/>
  <c r="K375" i="9" s="1"/>
  <c r="J376" i="9"/>
  <c r="K376" i="9" s="1"/>
  <c r="J377" i="9"/>
  <c r="K377" i="9" s="1"/>
  <c r="J378" i="9"/>
  <c r="K378" i="9" s="1"/>
  <c r="J379" i="9"/>
  <c r="K379" i="9" s="1"/>
  <c r="J380" i="9"/>
  <c r="K380" i="9" s="1"/>
  <c r="J381" i="9"/>
  <c r="K381" i="9" s="1"/>
  <c r="J382" i="9"/>
  <c r="K382" i="9" s="1"/>
  <c r="J383" i="9"/>
  <c r="K383" i="9" s="1"/>
  <c r="J384" i="9"/>
  <c r="K384" i="9" s="1"/>
  <c r="J385" i="9"/>
  <c r="K385" i="9" s="1"/>
  <c r="J386" i="9"/>
  <c r="K386" i="9" s="1"/>
  <c r="J387" i="9"/>
  <c r="K387" i="9" s="1"/>
  <c r="J388" i="9"/>
  <c r="K388" i="9" s="1"/>
  <c r="J389" i="9"/>
  <c r="K389" i="9" s="1"/>
  <c r="J390" i="9"/>
  <c r="K390" i="9" s="1"/>
  <c r="J391" i="9"/>
  <c r="K391" i="9" s="1"/>
  <c r="J392" i="9"/>
  <c r="K392" i="9" s="1"/>
  <c r="J393" i="9"/>
  <c r="K393" i="9" s="1"/>
  <c r="J394" i="9"/>
  <c r="K394" i="9" s="1"/>
  <c r="J395" i="9"/>
  <c r="K395" i="9" s="1"/>
  <c r="J396" i="9"/>
  <c r="K396" i="9" s="1"/>
  <c r="J397" i="9"/>
  <c r="K397" i="9" s="1"/>
  <c r="J398" i="9"/>
  <c r="K398" i="9" s="1"/>
  <c r="J399" i="9"/>
  <c r="K399" i="9" s="1"/>
  <c r="J400" i="9"/>
  <c r="K400" i="9" s="1"/>
  <c r="J401" i="9"/>
  <c r="K401" i="9" s="1"/>
  <c r="J402" i="9"/>
  <c r="K402" i="9" s="1"/>
  <c r="J403" i="9"/>
  <c r="K403" i="9" s="1"/>
  <c r="J404" i="9"/>
  <c r="K404" i="9" s="1"/>
  <c r="J405" i="9"/>
  <c r="K405" i="9" s="1"/>
  <c r="J406" i="9"/>
  <c r="K406" i="9" s="1"/>
  <c r="J407" i="9"/>
  <c r="K407" i="9" s="1"/>
  <c r="J408" i="9"/>
  <c r="K408" i="9" s="1"/>
  <c r="J409" i="9"/>
  <c r="K409" i="9" s="1"/>
  <c r="J410" i="9"/>
  <c r="K410" i="9" s="1"/>
  <c r="J411" i="9"/>
  <c r="K411" i="9" s="1"/>
  <c r="J412" i="9"/>
  <c r="K412" i="9" s="1"/>
  <c r="J413" i="9"/>
  <c r="K413" i="9" s="1"/>
  <c r="J414" i="9"/>
  <c r="K414" i="9" s="1"/>
  <c r="J415" i="9"/>
  <c r="K415" i="9" s="1"/>
  <c r="J416" i="9"/>
  <c r="K416" i="9" s="1"/>
  <c r="J417" i="9"/>
  <c r="K417" i="9" s="1"/>
  <c r="J418" i="9"/>
  <c r="K418" i="9" s="1"/>
  <c r="J419" i="9"/>
  <c r="K419" i="9" s="1"/>
  <c r="J420" i="9"/>
  <c r="J421" i="9"/>
  <c r="K421" i="9" s="1"/>
  <c r="J422" i="9"/>
  <c r="K422" i="9" s="1"/>
  <c r="J423" i="9"/>
  <c r="K423" i="9" s="1"/>
  <c r="J424" i="9"/>
  <c r="K424" i="9" s="1"/>
  <c r="J425" i="9"/>
  <c r="K425" i="9" s="1"/>
  <c r="J426" i="9"/>
  <c r="K426" i="9" s="1"/>
  <c r="J427" i="9"/>
  <c r="K427" i="9" s="1"/>
  <c r="J428" i="9"/>
  <c r="K428" i="9" s="1"/>
  <c r="J429" i="9"/>
  <c r="K429" i="9" s="1"/>
  <c r="J430" i="9"/>
  <c r="K430" i="9" s="1"/>
  <c r="J431" i="9"/>
  <c r="K431" i="9" s="1"/>
  <c r="J432" i="9"/>
  <c r="K432" i="9" s="1"/>
  <c r="J433" i="9"/>
  <c r="K433" i="9" s="1"/>
  <c r="J434" i="9"/>
  <c r="K434" i="9" s="1"/>
  <c r="J435" i="9"/>
  <c r="K435" i="9" s="1"/>
  <c r="J436" i="9"/>
  <c r="K436" i="9" s="1"/>
  <c r="J437" i="9"/>
  <c r="K437" i="9" s="1"/>
  <c r="J438" i="9"/>
  <c r="K438" i="9" s="1"/>
  <c r="J439" i="9"/>
  <c r="K439" i="9" s="1"/>
  <c r="J440" i="9"/>
  <c r="K440" i="9" s="1"/>
  <c r="J441" i="9"/>
  <c r="K441" i="9" s="1"/>
  <c r="J442" i="9"/>
  <c r="K442" i="9" s="1"/>
  <c r="J443" i="9"/>
  <c r="K443" i="9" s="1"/>
  <c r="J444" i="9"/>
  <c r="K444" i="9" s="1"/>
  <c r="J445" i="9"/>
  <c r="K445" i="9" s="1"/>
  <c r="J446" i="9"/>
  <c r="K446" i="9" s="1"/>
  <c r="J447" i="9"/>
  <c r="K447" i="9" s="1"/>
  <c r="J448" i="9"/>
  <c r="K448" i="9" s="1"/>
  <c r="J449" i="9"/>
  <c r="K449" i="9" s="1"/>
  <c r="J450" i="9"/>
  <c r="K450" i="9" s="1"/>
  <c r="J451" i="9"/>
  <c r="K451" i="9" s="1"/>
  <c r="J452" i="9"/>
  <c r="K452" i="9" s="1"/>
  <c r="J453" i="9"/>
  <c r="K453" i="9" s="1"/>
  <c r="J454" i="9"/>
  <c r="K454" i="9" s="1"/>
  <c r="J455" i="9"/>
  <c r="K455" i="9" s="1"/>
  <c r="J456" i="9"/>
  <c r="K456" i="9" s="1"/>
  <c r="J457" i="9"/>
  <c r="K457" i="9" s="1"/>
  <c r="J458" i="9"/>
  <c r="K458" i="9" s="1"/>
  <c r="J459" i="9"/>
  <c r="K459" i="9" s="1"/>
  <c r="J460" i="9"/>
  <c r="K460" i="9" s="1"/>
  <c r="J461" i="9"/>
  <c r="K461" i="9" s="1"/>
  <c r="J462" i="9"/>
  <c r="K462" i="9" s="1"/>
  <c r="J463" i="9"/>
  <c r="K463" i="9" s="1"/>
  <c r="J464" i="9"/>
  <c r="K464" i="9" s="1"/>
  <c r="J465" i="9"/>
  <c r="K465" i="9" s="1"/>
  <c r="J466" i="9"/>
  <c r="K466" i="9" s="1"/>
  <c r="J467" i="9"/>
  <c r="J468" i="9"/>
  <c r="K468" i="9" s="1"/>
  <c r="J469" i="9"/>
  <c r="K469" i="9" s="1"/>
  <c r="J470" i="9"/>
  <c r="K470" i="9" s="1"/>
  <c r="J471" i="9"/>
  <c r="K471" i="9" s="1"/>
  <c r="J472" i="9"/>
  <c r="K472" i="9" s="1"/>
  <c r="J473" i="9"/>
  <c r="K473" i="9" s="1"/>
  <c r="J474" i="9"/>
  <c r="K474" i="9" s="1"/>
  <c r="J475" i="9"/>
  <c r="K475" i="9" s="1"/>
  <c r="J476" i="9"/>
  <c r="K476" i="9" s="1"/>
  <c r="J477" i="9"/>
  <c r="K477" i="9" s="1"/>
  <c r="J478" i="9"/>
  <c r="K478" i="9" s="1"/>
  <c r="J479" i="9"/>
  <c r="K479" i="9" s="1"/>
  <c r="J480" i="9"/>
  <c r="K480" i="9" s="1"/>
  <c r="J481" i="9"/>
  <c r="K481" i="9" s="1"/>
  <c r="J482" i="9"/>
  <c r="K482" i="9" s="1"/>
  <c r="J483" i="9"/>
  <c r="K483" i="9" s="1"/>
  <c r="J484" i="9"/>
  <c r="K484" i="9" s="1"/>
  <c r="J485" i="9"/>
  <c r="K485" i="9" s="1"/>
  <c r="J486" i="9"/>
  <c r="K486" i="9" s="1"/>
  <c r="J487" i="9"/>
  <c r="K487" i="9" s="1"/>
  <c r="J488" i="9"/>
  <c r="K488" i="9" s="1"/>
  <c r="J489" i="9"/>
  <c r="K489" i="9" s="1"/>
  <c r="J490" i="9"/>
  <c r="K490" i="9" s="1"/>
  <c r="J491" i="9"/>
  <c r="K491" i="9" s="1"/>
  <c r="J492" i="9"/>
  <c r="K492" i="9" s="1"/>
  <c r="J493" i="9"/>
  <c r="K493" i="9" s="1"/>
  <c r="J494" i="9"/>
  <c r="K494" i="9" s="1"/>
  <c r="J495" i="9"/>
  <c r="K495" i="9" s="1"/>
  <c r="J496" i="9"/>
  <c r="K496" i="9" s="1"/>
  <c r="J497" i="9"/>
  <c r="K497" i="9" s="1"/>
  <c r="J498" i="9"/>
  <c r="K498" i="9" s="1"/>
  <c r="J499" i="9"/>
  <c r="K499" i="9" s="1"/>
  <c r="J500" i="9"/>
  <c r="K500" i="9" s="1"/>
  <c r="J501" i="9"/>
  <c r="K501" i="9" s="1"/>
  <c r="J502" i="9"/>
  <c r="K502" i="9" s="1"/>
  <c r="J503" i="9"/>
  <c r="K503" i="9" s="1"/>
  <c r="J504" i="9"/>
  <c r="K504" i="9" s="1"/>
  <c r="J505" i="9"/>
  <c r="K505" i="9" s="1"/>
  <c r="J506" i="9"/>
  <c r="K506" i="9" s="1"/>
  <c r="J507" i="9"/>
  <c r="K507" i="9" s="1"/>
  <c r="J508" i="9"/>
  <c r="K508" i="9" s="1"/>
  <c r="J509" i="9"/>
  <c r="K509" i="9" s="1"/>
  <c r="J510" i="9"/>
  <c r="K510" i="9" s="1"/>
  <c r="J511" i="9"/>
  <c r="K511" i="9" s="1"/>
  <c r="J512" i="9"/>
  <c r="K512" i="9" s="1"/>
  <c r="J513" i="9"/>
  <c r="K513" i="9" s="1"/>
  <c r="J514" i="9"/>
  <c r="K514" i="9" s="1"/>
  <c r="J515" i="9"/>
  <c r="K515" i="9" s="1"/>
  <c r="J516" i="9"/>
  <c r="K516" i="9" s="1"/>
  <c r="J517" i="9"/>
  <c r="K517" i="9" s="1"/>
  <c r="J518" i="9"/>
  <c r="K518" i="9" s="1"/>
  <c r="J519" i="9"/>
  <c r="K519" i="9" s="1"/>
  <c r="J520" i="9"/>
  <c r="K520" i="9" s="1"/>
  <c r="J521" i="9"/>
  <c r="K521" i="9" s="1"/>
  <c r="J522" i="9"/>
  <c r="K522" i="9" s="1"/>
  <c r="J523" i="9"/>
  <c r="K523" i="9" s="1"/>
  <c r="J524" i="9"/>
  <c r="K524" i="9" s="1"/>
  <c r="J525" i="9"/>
  <c r="K525" i="9" s="1"/>
  <c r="J526" i="9"/>
  <c r="K526" i="9" s="1"/>
  <c r="J527" i="9"/>
  <c r="K527" i="9" s="1"/>
  <c r="J528" i="9"/>
  <c r="K528" i="9" s="1"/>
  <c r="J529" i="9"/>
  <c r="K529" i="9" s="1"/>
  <c r="J530" i="9"/>
  <c r="K530" i="9" s="1"/>
  <c r="J531" i="9"/>
  <c r="K531" i="9" s="1"/>
  <c r="J532" i="9"/>
  <c r="K532" i="9" s="1"/>
  <c r="J533" i="9"/>
  <c r="K533" i="9" s="1"/>
  <c r="J534" i="9"/>
  <c r="K534" i="9" s="1"/>
  <c r="J535" i="9"/>
  <c r="K535" i="9" s="1"/>
  <c r="J536" i="9"/>
  <c r="K536" i="9" s="1"/>
  <c r="J537" i="9"/>
  <c r="K537" i="9" s="1"/>
  <c r="J538" i="9"/>
  <c r="J539" i="9"/>
  <c r="K539" i="9" s="1"/>
  <c r="J540" i="9"/>
  <c r="K540" i="9" s="1"/>
  <c r="J541" i="9"/>
  <c r="K541" i="9" s="1"/>
  <c r="J542" i="9"/>
  <c r="K542" i="9" s="1"/>
  <c r="J543" i="9"/>
  <c r="K543" i="9" s="1"/>
  <c r="J544" i="9"/>
  <c r="K544" i="9" s="1"/>
  <c r="J545" i="9"/>
  <c r="K545" i="9" s="1"/>
  <c r="J546" i="9"/>
  <c r="K546" i="9" s="1"/>
  <c r="J547" i="9"/>
  <c r="K547" i="9" s="1"/>
  <c r="J548" i="9"/>
  <c r="K548" i="9" s="1"/>
  <c r="J549" i="9"/>
  <c r="K549" i="9" s="1"/>
  <c r="J550" i="9"/>
  <c r="K550" i="9" s="1"/>
  <c r="J551" i="9"/>
  <c r="K551" i="9" s="1"/>
  <c r="J552" i="9"/>
  <c r="K552" i="9" s="1"/>
  <c r="J553" i="9"/>
  <c r="K553" i="9" s="1"/>
  <c r="J554" i="9"/>
  <c r="K554" i="9" s="1"/>
  <c r="J555" i="9"/>
  <c r="K555" i="9" s="1"/>
  <c r="J556" i="9"/>
  <c r="K556" i="9" s="1"/>
  <c r="J557" i="9"/>
  <c r="K557" i="9" s="1"/>
  <c r="J558" i="9"/>
  <c r="K558" i="9" s="1"/>
  <c r="J559" i="9"/>
  <c r="K559" i="9" s="1"/>
  <c r="J560" i="9"/>
  <c r="K560" i="9" s="1"/>
  <c r="J561" i="9"/>
  <c r="K561" i="9" s="1"/>
  <c r="J562" i="9"/>
  <c r="K562" i="9" s="1"/>
  <c r="J563" i="9"/>
  <c r="K563" i="9" s="1"/>
  <c r="J564" i="9"/>
  <c r="K564" i="9" s="1"/>
  <c r="J565" i="9"/>
  <c r="K565" i="9" s="1"/>
  <c r="J566" i="9"/>
  <c r="K566" i="9" s="1"/>
  <c r="J567" i="9"/>
  <c r="K567" i="9" s="1"/>
  <c r="J568" i="9"/>
  <c r="K568" i="9" s="1"/>
  <c r="J569" i="9"/>
  <c r="K569" i="9" s="1"/>
  <c r="J570" i="9"/>
  <c r="K570" i="9" s="1"/>
  <c r="J571" i="9"/>
  <c r="K571" i="9" s="1"/>
  <c r="J572" i="9"/>
  <c r="K572" i="9" s="1"/>
  <c r="J573" i="9"/>
  <c r="K573" i="9" s="1"/>
  <c r="J574" i="9"/>
  <c r="K574" i="9" s="1"/>
  <c r="J575" i="9"/>
  <c r="K575" i="9" s="1"/>
  <c r="J576" i="9"/>
  <c r="K576" i="9" s="1"/>
  <c r="J577" i="9"/>
  <c r="K577" i="9" s="1"/>
  <c r="J578" i="9"/>
  <c r="K578" i="9" s="1"/>
  <c r="J579" i="9"/>
  <c r="K579" i="9" s="1"/>
  <c r="J580" i="9"/>
  <c r="K580" i="9" s="1"/>
  <c r="J581" i="9"/>
  <c r="K581" i="9" s="1"/>
  <c r="J582" i="9"/>
  <c r="K582" i="9" s="1"/>
  <c r="J583" i="9"/>
  <c r="K583" i="9" s="1"/>
  <c r="J584" i="9"/>
  <c r="K584" i="9" s="1"/>
  <c r="J585" i="9"/>
  <c r="K585" i="9" s="1"/>
  <c r="J586" i="9"/>
  <c r="K586" i="9" s="1"/>
  <c r="J587" i="9"/>
  <c r="K587" i="9" s="1"/>
  <c r="J588" i="9"/>
  <c r="K588" i="9" s="1"/>
  <c r="J589" i="9"/>
  <c r="K589" i="9" s="1"/>
  <c r="J590" i="9"/>
  <c r="K590" i="9" s="1"/>
  <c r="J591" i="9"/>
  <c r="K591" i="9" s="1"/>
  <c r="J592" i="9"/>
  <c r="K592" i="9" s="1"/>
  <c r="J593" i="9"/>
  <c r="K593" i="9" s="1"/>
  <c r="J594" i="9"/>
  <c r="K594" i="9" s="1"/>
  <c r="J595" i="9"/>
  <c r="K595" i="9" s="1"/>
  <c r="J596" i="9"/>
  <c r="K596" i="9" s="1"/>
  <c r="J597" i="9"/>
  <c r="K597" i="9" s="1"/>
  <c r="J598" i="9"/>
  <c r="K598" i="9" s="1"/>
  <c r="J599" i="9"/>
  <c r="K599" i="9" s="1"/>
  <c r="J600" i="9"/>
  <c r="K600" i="9" s="1"/>
  <c r="J601" i="9"/>
  <c r="K601" i="9" s="1"/>
  <c r="J602" i="9"/>
  <c r="K602" i="9" s="1"/>
  <c r="J603" i="9"/>
  <c r="K603" i="9" s="1"/>
  <c r="J604" i="9"/>
  <c r="K604" i="9" s="1"/>
  <c r="J605" i="9"/>
  <c r="K605" i="9" s="1"/>
  <c r="J606" i="9"/>
  <c r="K606" i="9" s="1"/>
  <c r="J607" i="9"/>
  <c r="K607" i="9" s="1"/>
  <c r="J608" i="9"/>
  <c r="K608" i="9" s="1"/>
  <c r="J609" i="9"/>
  <c r="K609" i="9" s="1"/>
  <c r="J610" i="9"/>
  <c r="K610" i="9" s="1"/>
  <c r="J611" i="9"/>
  <c r="K611" i="9" s="1"/>
  <c r="J612" i="9"/>
  <c r="K612" i="9" s="1"/>
  <c r="J613" i="9"/>
  <c r="K613" i="9" s="1"/>
  <c r="J614" i="9"/>
  <c r="K614" i="9" s="1"/>
  <c r="J615" i="9"/>
  <c r="K615" i="9" s="1"/>
  <c r="J616" i="9"/>
  <c r="K616" i="9" s="1"/>
  <c r="J617" i="9"/>
  <c r="K617" i="9" s="1"/>
  <c r="J618" i="9"/>
  <c r="K618" i="9" s="1"/>
  <c r="J619" i="9"/>
  <c r="K619" i="9" s="1"/>
  <c r="J620" i="9"/>
  <c r="K620" i="9" s="1"/>
  <c r="J621" i="9"/>
  <c r="K621" i="9" s="1"/>
  <c r="J622" i="9"/>
  <c r="K622" i="9" s="1"/>
  <c r="J623" i="9"/>
  <c r="K623" i="9" s="1"/>
  <c r="J624" i="9"/>
  <c r="K624" i="9" s="1"/>
  <c r="J625" i="9"/>
  <c r="K625" i="9" s="1"/>
  <c r="J626" i="9"/>
  <c r="K626" i="9" s="1"/>
  <c r="J627" i="9"/>
  <c r="K627" i="9" s="1"/>
  <c r="J628" i="9"/>
  <c r="K628" i="9" s="1"/>
  <c r="J629" i="9"/>
  <c r="K629" i="9" s="1"/>
  <c r="J630" i="9"/>
  <c r="K630" i="9" s="1"/>
  <c r="J631" i="9"/>
  <c r="K631" i="9" s="1"/>
  <c r="J632" i="9"/>
  <c r="K632" i="9" s="1"/>
  <c r="J633" i="9"/>
  <c r="K633" i="9" s="1"/>
  <c r="J634" i="9"/>
  <c r="K634" i="9" s="1"/>
  <c r="J635" i="9"/>
  <c r="K635" i="9" s="1"/>
  <c r="J636" i="9"/>
  <c r="K636" i="9" s="1"/>
  <c r="J637" i="9"/>
  <c r="K637" i="9" s="1"/>
  <c r="J638" i="9"/>
  <c r="K638" i="9" s="1"/>
  <c r="J639" i="9"/>
  <c r="K639" i="9" s="1"/>
  <c r="J640" i="9"/>
  <c r="K640" i="9" s="1"/>
  <c r="J641" i="9"/>
  <c r="K641" i="9" s="1"/>
  <c r="J642" i="9"/>
  <c r="K642" i="9" s="1"/>
  <c r="J643" i="9"/>
  <c r="K643" i="9" s="1"/>
  <c r="J644" i="9"/>
  <c r="K644" i="9" s="1"/>
  <c r="J645" i="9"/>
  <c r="K645" i="9" s="1"/>
  <c r="J646" i="9"/>
  <c r="K646" i="9" s="1"/>
  <c r="J647" i="9"/>
  <c r="K647" i="9" s="1"/>
  <c r="J648" i="9"/>
  <c r="K648" i="9" s="1"/>
  <c r="J649" i="9"/>
  <c r="K649" i="9" s="1"/>
  <c r="J650" i="9"/>
  <c r="K650" i="9" s="1"/>
  <c r="J651" i="9"/>
  <c r="K651" i="9" s="1"/>
  <c r="J652" i="9"/>
  <c r="K652" i="9" s="1"/>
  <c r="J653" i="9"/>
  <c r="K653" i="9" s="1"/>
  <c r="J654" i="9"/>
  <c r="K654" i="9" s="1"/>
  <c r="J655" i="9"/>
  <c r="K655" i="9" s="1"/>
  <c r="J656" i="9"/>
  <c r="K656" i="9" s="1"/>
  <c r="J657" i="9"/>
  <c r="K657" i="9" s="1"/>
  <c r="J658" i="9"/>
  <c r="K658" i="9" s="1"/>
  <c r="J659" i="9"/>
  <c r="K659" i="9" s="1"/>
  <c r="J660" i="9"/>
  <c r="K660" i="9" s="1"/>
  <c r="J661" i="9"/>
  <c r="K661" i="9" s="1"/>
  <c r="J662" i="9"/>
  <c r="K662" i="9" s="1"/>
  <c r="J663" i="9"/>
  <c r="K663" i="9" s="1"/>
  <c r="J664" i="9"/>
  <c r="K664" i="9" s="1"/>
  <c r="J665" i="9"/>
  <c r="K665" i="9" s="1"/>
  <c r="J666" i="9"/>
  <c r="K666" i="9" s="1"/>
  <c r="J667" i="9"/>
  <c r="K667" i="9" s="1"/>
  <c r="J668" i="9"/>
  <c r="K668" i="9" s="1"/>
  <c r="J669" i="9"/>
  <c r="K669" i="9" s="1"/>
  <c r="J670" i="9"/>
  <c r="K670" i="9" s="1"/>
  <c r="J671" i="9"/>
  <c r="K671" i="9" s="1"/>
  <c r="J672" i="9"/>
  <c r="K672" i="9" s="1"/>
  <c r="J673" i="9"/>
  <c r="K673" i="9" s="1"/>
  <c r="J674" i="9"/>
  <c r="K674" i="9" s="1"/>
  <c r="J675" i="9"/>
  <c r="K675" i="9" s="1"/>
  <c r="J676" i="9"/>
  <c r="K676" i="9" s="1"/>
  <c r="J677" i="9"/>
  <c r="K677" i="9" s="1"/>
  <c r="J678" i="9"/>
  <c r="K678" i="9" s="1"/>
  <c r="J679" i="9"/>
  <c r="K679" i="9" s="1"/>
  <c r="J680" i="9"/>
  <c r="K680" i="9" s="1"/>
  <c r="J681" i="9"/>
  <c r="K681" i="9" s="1"/>
  <c r="J682" i="9"/>
  <c r="K682" i="9" s="1"/>
  <c r="J683" i="9"/>
  <c r="K683" i="9" s="1"/>
  <c r="J684" i="9"/>
  <c r="K684" i="9" s="1"/>
  <c r="J685" i="9"/>
  <c r="K685" i="9" s="1"/>
  <c r="J686" i="9"/>
  <c r="K686" i="9" s="1"/>
  <c r="J687" i="9"/>
  <c r="K687" i="9" s="1"/>
  <c r="J688" i="9"/>
  <c r="K688" i="9" s="1"/>
  <c r="J689" i="9"/>
  <c r="K689" i="9" s="1"/>
  <c r="J690" i="9"/>
  <c r="K690" i="9" s="1"/>
  <c r="J691" i="9"/>
  <c r="K691" i="9" s="1"/>
  <c r="J692" i="9"/>
  <c r="K692" i="9" s="1"/>
  <c r="J693" i="9"/>
  <c r="K693" i="9" s="1"/>
  <c r="J694" i="9"/>
  <c r="K694" i="9" s="1"/>
  <c r="J695" i="9"/>
  <c r="K695" i="9" s="1"/>
  <c r="J696" i="9"/>
  <c r="K696" i="9" s="1"/>
  <c r="J697" i="9"/>
  <c r="K697" i="9" s="1"/>
  <c r="J698" i="9"/>
  <c r="K698" i="9" s="1"/>
  <c r="J699" i="9"/>
  <c r="K699" i="9" s="1"/>
  <c r="J700" i="9"/>
  <c r="K700" i="9" s="1"/>
  <c r="J701" i="9"/>
  <c r="K701" i="9" s="1"/>
  <c r="J702" i="9"/>
  <c r="K702" i="9" s="1"/>
  <c r="J703" i="9"/>
  <c r="K703" i="9" s="1"/>
  <c r="J704" i="9"/>
  <c r="K704" i="9" s="1"/>
  <c r="J705" i="9"/>
  <c r="K705" i="9" s="1"/>
  <c r="J706" i="9"/>
  <c r="K706" i="9" s="1"/>
  <c r="J707" i="9"/>
  <c r="K707" i="9" s="1"/>
  <c r="J708" i="9"/>
  <c r="K708" i="9" s="1"/>
  <c r="J709" i="9"/>
  <c r="K709" i="9" s="1"/>
  <c r="J710" i="9"/>
  <c r="K710" i="9" s="1"/>
  <c r="J711" i="9"/>
  <c r="K711" i="9" s="1"/>
  <c r="J712" i="9"/>
  <c r="K712" i="9" s="1"/>
  <c r="J713" i="9"/>
  <c r="K713" i="9" s="1"/>
  <c r="J714" i="9"/>
  <c r="K714" i="9" s="1"/>
  <c r="J715" i="9"/>
  <c r="K715" i="9" s="1"/>
  <c r="J716" i="9"/>
  <c r="K716" i="9" s="1"/>
  <c r="J717" i="9"/>
  <c r="K717" i="9" s="1"/>
  <c r="J718" i="9"/>
  <c r="K718" i="9" s="1"/>
  <c r="J719" i="9"/>
  <c r="K719" i="9" s="1"/>
  <c r="J720" i="9"/>
  <c r="K720" i="9" s="1"/>
  <c r="J721" i="9"/>
  <c r="K721" i="9" s="1"/>
  <c r="J722" i="9"/>
  <c r="K722" i="9" s="1"/>
  <c r="J723" i="9"/>
  <c r="K723" i="9" s="1"/>
  <c r="J724" i="9"/>
  <c r="K724" i="9" s="1"/>
  <c r="J725" i="9"/>
  <c r="K725" i="9" s="1"/>
  <c r="J726" i="9"/>
  <c r="K726" i="9" s="1"/>
  <c r="J727" i="9"/>
  <c r="K727" i="9" s="1"/>
  <c r="J728" i="9"/>
  <c r="K728" i="9" s="1"/>
  <c r="J729" i="9"/>
  <c r="K729" i="9" s="1"/>
  <c r="J730" i="9"/>
  <c r="K730" i="9" s="1"/>
  <c r="J731" i="9"/>
  <c r="K731" i="9" s="1"/>
  <c r="J732" i="9"/>
  <c r="K732" i="9" s="1"/>
  <c r="J733" i="9"/>
  <c r="K733" i="9" s="1"/>
  <c r="J734" i="9"/>
  <c r="K734" i="9" s="1"/>
  <c r="J735" i="9"/>
  <c r="K735" i="9" s="1"/>
  <c r="J736" i="9"/>
  <c r="K736" i="9" s="1"/>
  <c r="J737" i="9"/>
  <c r="K737" i="9" s="1"/>
  <c r="J738" i="9"/>
  <c r="K738" i="9" s="1"/>
  <c r="J739" i="9"/>
  <c r="K739" i="9" s="1"/>
  <c r="J740" i="9"/>
  <c r="K740" i="9" s="1"/>
  <c r="J741" i="9"/>
  <c r="K741" i="9" s="1"/>
  <c r="J742" i="9"/>
  <c r="K742" i="9" s="1"/>
  <c r="J743" i="9"/>
  <c r="K743" i="9" s="1"/>
  <c r="J744" i="9"/>
  <c r="K744" i="9" s="1"/>
  <c r="J745" i="9"/>
  <c r="K745" i="9" s="1"/>
  <c r="J746" i="9"/>
  <c r="K746" i="9" s="1"/>
  <c r="J747" i="9"/>
  <c r="K747" i="9" s="1"/>
  <c r="J748" i="9"/>
  <c r="K748" i="9" s="1"/>
  <c r="J749" i="9"/>
  <c r="K749" i="9" s="1"/>
  <c r="J750" i="9"/>
  <c r="K750" i="9" s="1"/>
  <c r="J751" i="9"/>
  <c r="K751" i="9" s="1"/>
  <c r="J752" i="9"/>
  <c r="K752" i="9" s="1"/>
  <c r="J753" i="9"/>
  <c r="K753" i="9" s="1"/>
  <c r="J754" i="9"/>
  <c r="K754" i="9" s="1"/>
  <c r="J755" i="9"/>
  <c r="K755" i="9" s="1"/>
  <c r="J756" i="9"/>
  <c r="K756" i="9" s="1"/>
  <c r="J757" i="9"/>
  <c r="K757" i="9" s="1"/>
  <c r="J758" i="9"/>
  <c r="K758" i="9" s="1"/>
  <c r="J759" i="9"/>
  <c r="K759" i="9" s="1"/>
  <c r="J760" i="9"/>
  <c r="K760" i="9" s="1"/>
  <c r="J761" i="9"/>
  <c r="K761" i="9" s="1"/>
  <c r="J762" i="9"/>
  <c r="K762" i="9" s="1"/>
  <c r="J763" i="9"/>
  <c r="K763" i="9" s="1"/>
  <c r="J764" i="9"/>
  <c r="K764" i="9" s="1"/>
  <c r="J765" i="9"/>
  <c r="K765" i="9" s="1"/>
  <c r="J766" i="9"/>
  <c r="K766" i="9" s="1"/>
  <c r="J767" i="9"/>
  <c r="K767" i="9" s="1"/>
  <c r="J768" i="9"/>
  <c r="K768" i="9" s="1"/>
  <c r="J769" i="9"/>
  <c r="K769" i="9" s="1"/>
  <c r="J770" i="9"/>
  <c r="K770" i="9" s="1"/>
  <c r="J771" i="9"/>
  <c r="K771" i="9" s="1"/>
  <c r="J772" i="9"/>
  <c r="K772" i="9" s="1"/>
  <c r="J773" i="9"/>
  <c r="K773" i="9" s="1"/>
  <c r="J774" i="9"/>
  <c r="K774" i="9" s="1"/>
  <c r="J775" i="9"/>
  <c r="K775" i="9" s="1"/>
  <c r="J776" i="9"/>
  <c r="K776" i="9" s="1"/>
  <c r="J777" i="9"/>
  <c r="K777" i="9" s="1"/>
  <c r="J778" i="9"/>
  <c r="K778" i="9" s="1"/>
  <c r="J779" i="9"/>
  <c r="K779" i="9" s="1"/>
  <c r="J780" i="9"/>
  <c r="K780" i="9" s="1"/>
  <c r="J781" i="9"/>
  <c r="K781" i="9" s="1"/>
  <c r="J782" i="9"/>
  <c r="K782" i="9" s="1"/>
  <c r="J783" i="9"/>
  <c r="K783" i="9" s="1"/>
  <c r="J784" i="9"/>
  <c r="K784" i="9" s="1"/>
  <c r="J785" i="9"/>
  <c r="K785" i="9" s="1"/>
  <c r="J786" i="9"/>
  <c r="K786" i="9" s="1"/>
  <c r="J787" i="9"/>
  <c r="K787" i="9" s="1"/>
  <c r="J788" i="9"/>
  <c r="K788" i="9" s="1"/>
  <c r="J789" i="9"/>
  <c r="K789" i="9" s="1"/>
  <c r="J790" i="9"/>
  <c r="K790" i="9" s="1"/>
  <c r="J791" i="9"/>
  <c r="K791" i="9" s="1"/>
  <c r="J792" i="9"/>
  <c r="K792" i="9" s="1"/>
  <c r="J793" i="9"/>
  <c r="K793" i="9" s="1"/>
  <c r="J794" i="9"/>
  <c r="K794" i="9" s="1"/>
  <c r="J795" i="9"/>
  <c r="K795" i="9" s="1"/>
  <c r="J796" i="9"/>
  <c r="K796" i="9" s="1"/>
  <c r="J797" i="9"/>
  <c r="K797" i="9" s="1"/>
  <c r="J798" i="9"/>
  <c r="K798" i="9" s="1"/>
  <c r="J799" i="9"/>
  <c r="K799" i="9" s="1"/>
  <c r="J800" i="9"/>
  <c r="K800" i="9" s="1"/>
  <c r="J801" i="9"/>
  <c r="K801" i="9" s="1"/>
  <c r="J802" i="9"/>
  <c r="K802" i="9" s="1"/>
  <c r="J803" i="9"/>
  <c r="K803" i="9" s="1"/>
  <c r="J804" i="9"/>
  <c r="K804" i="9" s="1"/>
  <c r="J805" i="9"/>
  <c r="K805" i="9" s="1"/>
  <c r="J806" i="9"/>
  <c r="K806" i="9" s="1"/>
  <c r="J807" i="9"/>
  <c r="K807" i="9" s="1"/>
  <c r="J808" i="9"/>
  <c r="K808" i="9" s="1"/>
  <c r="J809" i="9"/>
  <c r="K809" i="9" s="1"/>
  <c r="J810" i="9"/>
  <c r="K810" i="9" s="1"/>
  <c r="J811" i="9"/>
  <c r="K811" i="9" s="1"/>
  <c r="J812" i="9"/>
  <c r="K812" i="9" s="1"/>
  <c r="J813" i="9"/>
  <c r="K813" i="9" s="1"/>
  <c r="J814" i="9"/>
  <c r="K814" i="9" s="1"/>
  <c r="J815" i="9"/>
  <c r="K815" i="9" s="1"/>
  <c r="J816" i="9"/>
  <c r="K816" i="9" s="1"/>
  <c r="J817" i="9"/>
  <c r="K817" i="9" s="1"/>
  <c r="J818" i="9"/>
  <c r="K818" i="9" s="1"/>
  <c r="J819" i="9"/>
  <c r="K819" i="9" s="1"/>
  <c r="J820" i="9"/>
  <c r="K820" i="9" s="1"/>
  <c r="J821" i="9"/>
  <c r="K821" i="9" s="1"/>
  <c r="J822" i="9"/>
  <c r="K822" i="9" s="1"/>
  <c r="J823" i="9"/>
  <c r="K823" i="9" s="1"/>
  <c r="J824" i="9"/>
  <c r="K824" i="9" s="1"/>
  <c r="J825" i="9"/>
  <c r="K825" i="9" s="1"/>
  <c r="J826" i="9"/>
  <c r="K826" i="9" s="1"/>
  <c r="J827" i="9"/>
  <c r="K827" i="9" s="1"/>
  <c r="J828" i="9"/>
  <c r="K828" i="9" s="1"/>
  <c r="J829" i="9"/>
  <c r="K829" i="9" s="1"/>
  <c r="J830" i="9"/>
  <c r="K830" i="9" s="1"/>
  <c r="J831" i="9"/>
  <c r="K831" i="9" s="1"/>
  <c r="J832" i="9"/>
  <c r="K832" i="9" s="1"/>
  <c r="J833" i="9"/>
  <c r="K833" i="9" s="1"/>
  <c r="J834" i="9"/>
  <c r="K834" i="9" s="1"/>
  <c r="J835" i="9"/>
  <c r="K835" i="9" s="1"/>
  <c r="J836" i="9"/>
  <c r="K836" i="9" s="1"/>
  <c r="J837" i="9"/>
  <c r="K837" i="9" s="1"/>
  <c r="J838" i="9"/>
  <c r="K838" i="9" s="1"/>
  <c r="J839" i="9"/>
  <c r="K839" i="9" s="1"/>
  <c r="J840" i="9"/>
  <c r="K840" i="9" s="1"/>
  <c r="J841" i="9"/>
  <c r="K841" i="9" s="1"/>
  <c r="J842" i="9"/>
  <c r="K842" i="9" s="1"/>
  <c r="J843" i="9"/>
  <c r="K843" i="9" s="1"/>
  <c r="J844" i="9"/>
  <c r="K844" i="9" s="1"/>
  <c r="J845" i="9"/>
  <c r="K845" i="9" s="1"/>
  <c r="J846" i="9"/>
  <c r="K846" i="9" s="1"/>
  <c r="J847" i="9"/>
  <c r="K847" i="9" s="1"/>
  <c r="J848" i="9"/>
  <c r="K848" i="9" s="1"/>
  <c r="J849" i="9"/>
  <c r="K849" i="9" s="1"/>
  <c r="J850" i="9"/>
  <c r="K850" i="9" s="1"/>
  <c r="J851" i="9"/>
  <c r="K851" i="9" s="1"/>
  <c r="J852" i="9"/>
  <c r="K852" i="9" s="1"/>
  <c r="J853" i="9"/>
  <c r="K853" i="9" s="1"/>
  <c r="J854" i="9"/>
  <c r="K854" i="9" s="1"/>
  <c r="J855" i="9"/>
  <c r="K855" i="9" s="1"/>
  <c r="J856" i="9"/>
  <c r="K856" i="9" s="1"/>
  <c r="J857" i="9"/>
  <c r="K857" i="9" s="1"/>
  <c r="J858" i="9"/>
  <c r="K858" i="9" s="1"/>
  <c r="J859" i="9"/>
  <c r="K859" i="9" s="1"/>
  <c r="J860" i="9"/>
  <c r="K860" i="9" s="1"/>
  <c r="J861" i="9"/>
  <c r="K861" i="9" s="1"/>
  <c r="J862" i="9"/>
  <c r="K862" i="9" s="1"/>
  <c r="J863" i="9"/>
  <c r="K863" i="9" s="1"/>
  <c r="J864" i="9"/>
  <c r="K864" i="9" s="1"/>
  <c r="J865" i="9"/>
  <c r="K865" i="9" s="1"/>
  <c r="J866" i="9"/>
  <c r="K866" i="9" s="1"/>
  <c r="J867" i="9"/>
  <c r="K867" i="9" s="1"/>
  <c r="J868" i="9"/>
  <c r="K868" i="9" s="1"/>
  <c r="J869" i="9"/>
  <c r="K869" i="9" s="1"/>
  <c r="J870" i="9"/>
  <c r="K870" i="9" s="1"/>
  <c r="J871" i="9"/>
  <c r="K871" i="9" s="1"/>
  <c r="J872" i="9"/>
  <c r="K872" i="9" s="1"/>
  <c r="J873" i="9"/>
  <c r="K873" i="9" s="1"/>
  <c r="J874" i="9"/>
  <c r="K874" i="9" s="1"/>
  <c r="J875" i="9"/>
  <c r="K875" i="9" s="1"/>
  <c r="J876" i="9"/>
  <c r="K876" i="9" s="1"/>
  <c r="J877" i="9"/>
  <c r="K877" i="9" s="1"/>
  <c r="J878" i="9"/>
  <c r="K878" i="9" s="1"/>
  <c r="J879" i="9"/>
  <c r="K879" i="9" s="1"/>
  <c r="J880" i="9"/>
  <c r="K880" i="9" s="1"/>
  <c r="J881" i="9"/>
  <c r="K881" i="9" s="1"/>
  <c r="J882" i="9"/>
  <c r="K882" i="9" s="1"/>
  <c r="J883" i="9"/>
  <c r="K883" i="9" s="1"/>
  <c r="J884" i="9"/>
  <c r="K884" i="9" s="1"/>
  <c r="J885" i="9"/>
  <c r="K885" i="9" s="1"/>
  <c r="J886" i="9"/>
  <c r="K886" i="9" s="1"/>
  <c r="J887" i="9"/>
  <c r="K887" i="9" s="1"/>
  <c r="J888" i="9"/>
  <c r="K888" i="9" s="1"/>
  <c r="J889" i="9"/>
  <c r="K889" i="9" s="1"/>
  <c r="J890" i="9"/>
  <c r="K890" i="9" s="1"/>
  <c r="J891" i="9"/>
  <c r="K891" i="9" s="1"/>
  <c r="J892" i="9"/>
  <c r="K892" i="9" s="1"/>
  <c r="J893" i="9"/>
  <c r="K893" i="9" s="1"/>
  <c r="J894" i="9"/>
  <c r="K894" i="9" s="1"/>
  <c r="J895" i="9"/>
  <c r="K895" i="9" s="1"/>
  <c r="J896" i="9"/>
  <c r="K896" i="9" s="1"/>
  <c r="J897" i="9"/>
  <c r="K897" i="9" s="1"/>
  <c r="J898" i="9"/>
  <c r="K898" i="9" s="1"/>
  <c r="J899" i="9"/>
  <c r="K899" i="9" s="1"/>
  <c r="J900" i="9"/>
  <c r="K900" i="9" s="1"/>
  <c r="J901" i="9"/>
  <c r="K901" i="9" s="1"/>
  <c r="J902" i="9"/>
  <c r="K902" i="9" s="1"/>
  <c r="J903" i="9"/>
  <c r="K903" i="9" s="1"/>
  <c r="J904" i="9"/>
  <c r="K904" i="9" s="1"/>
  <c r="J905" i="9"/>
  <c r="K905" i="9" s="1"/>
  <c r="J906" i="9"/>
  <c r="K906" i="9" s="1"/>
  <c r="J907" i="9"/>
  <c r="K907" i="9" s="1"/>
  <c r="J908" i="9"/>
  <c r="K908" i="9" s="1"/>
  <c r="J909" i="9"/>
  <c r="K909" i="9" s="1"/>
  <c r="J910" i="9"/>
  <c r="K910" i="9" s="1"/>
  <c r="J911" i="9"/>
  <c r="K911" i="9" s="1"/>
  <c r="J912" i="9"/>
  <c r="K912" i="9" s="1"/>
  <c r="J913" i="9"/>
  <c r="K913" i="9" s="1"/>
  <c r="J914" i="9"/>
  <c r="K914" i="9" s="1"/>
  <c r="J915" i="9"/>
  <c r="K915" i="9" s="1"/>
  <c r="J916" i="9"/>
  <c r="K916" i="9" s="1"/>
  <c r="J917" i="9"/>
  <c r="K917" i="9" s="1"/>
  <c r="J918" i="9"/>
  <c r="K918" i="9" s="1"/>
  <c r="J919" i="9"/>
  <c r="K919" i="9" s="1"/>
  <c r="J920" i="9"/>
  <c r="K920" i="9" s="1"/>
  <c r="J921" i="9"/>
  <c r="K921" i="9" s="1"/>
  <c r="J922" i="9"/>
  <c r="K922" i="9" s="1"/>
  <c r="J923" i="9"/>
  <c r="K923" i="9" s="1"/>
  <c r="J924" i="9"/>
  <c r="K924" i="9" s="1"/>
  <c r="J925" i="9"/>
  <c r="K925" i="9" s="1"/>
  <c r="J926" i="9"/>
  <c r="K926" i="9" s="1"/>
  <c r="J927" i="9"/>
  <c r="K927" i="9" s="1"/>
  <c r="J928" i="9"/>
  <c r="K928" i="9" s="1"/>
  <c r="J929" i="9"/>
  <c r="K929" i="9" s="1"/>
  <c r="J930" i="9"/>
  <c r="K930" i="9" s="1"/>
  <c r="J931" i="9"/>
  <c r="K931" i="9" s="1"/>
  <c r="J932" i="9"/>
  <c r="K932" i="9" s="1"/>
  <c r="J933" i="9"/>
  <c r="K933" i="9" s="1"/>
  <c r="J934" i="9"/>
  <c r="K934" i="9" s="1"/>
  <c r="J935" i="9"/>
  <c r="J936" i="9"/>
  <c r="K936" i="9" s="1"/>
  <c r="J937" i="9"/>
  <c r="K937" i="9" s="1"/>
  <c r="J938" i="9"/>
  <c r="K938" i="9" s="1"/>
  <c r="J939" i="9"/>
  <c r="K939" i="9" s="1"/>
  <c r="J940" i="9"/>
  <c r="K940" i="9" s="1"/>
  <c r="J941" i="9"/>
  <c r="K941" i="9" s="1"/>
  <c r="J942" i="9"/>
  <c r="K942" i="9" s="1"/>
  <c r="J943" i="9"/>
  <c r="K943" i="9" s="1"/>
  <c r="J944" i="9"/>
  <c r="K944" i="9" s="1"/>
  <c r="J945" i="9"/>
  <c r="K945" i="9" s="1"/>
  <c r="J946" i="9"/>
  <c r="K946" i="9" s="1"/>
  <c r="J947" i="9"/>
  <c r="K947" i="9" s="1"/>
  <c r="J948" i="9"/>
  <c r="K948" i="9" s="1"/>
  <c r="J949" i="9"/>
  <c r="K949" i="9" s="1"/>
  <c r="J950" i="9"/>
  <c r="K950" i="9" s="1"/>
  <c r="J951" i="9"/>
  <c r="K951" i="9" s="1"/>
  <c r="J952" i="9"/>
  <c r="K952" i="9" s="1"/>
  <c r="J953" i="9"/>
  <c r="K953" i="9" s="1"/>
  <c r="J954" i="9"/>
  <c r="K954" i="9" s="1"/>
  <c r="J955" i="9"/>
  <c r="K955" i="9" s="1"/>
  <c r="J956" i="9"/>
  <c r="K956" i="9" s="1"/>
  <c r="J957" i="9"/>
  <c r="K957" i="9" s="1"/>
  <c r="J958" i="9"/>
  <c r="K958" i="9" s="1"/>
  <c r="J959" i="9"/>
  <c r="K959" i="9" s="1"/>
  <c r="J960" i="9"/>
  <c r="K960" i="9" s="1"/>
  <c r="J961" i="9"/>
  <c r="K961" i="9" s="1"/>
  <c r="J962" i="9"/>
  <c r="K962" i="9" s="1"/>
  <c r="J963" i="9"/>
  <c r="K963" i="9" s="1"/>
  <c r="J964" i="9"/>
  <c r="K964" i="9" s="1"/>
  <c r="J965" i="9"/>
  <c r="K965" i="9" s="1"/>
  <c r="J966" i="9"/>
  <c r="K966" i="9" s="1"/>
  <c r="J967" i="9"/>
  <c r="K967" i="9" s="1"/>
  <c r="J968" i="9"/>
  <c r="K968" i="9" s="1"/>
  <c r="J969" i="9"/>
  <c r="K969" i="9" s="1"/>
  <c r="J970" i="9"/>
  <c r="K970" i="9" s="1"/>
  <c r="J971" i="9"/>
  <c r="K971" i="9" s="1"/>
  <c r="J972" i="9"/>
  <c r="K972" i="9" s="1"/>
  <c r="J973" i="9"/>
  <c r="K973" i="9" s="1"/>
  <c r="J974" i="9"/>
  <c r="K974" i="9" s="1"/>
  <c r="J975" i="9"/>
  <c r="K975" i="9" s="1"/>
  <c r="J976" i="9"/>
  <c r="K976" i="9" s="1"/>
  <c r="J977" i="9"/>
  <c r="K977" i="9" s="1"/>
  <c r="J978" i="9"/>
  <c r="K978" i="9" s="1"/>
  <c r="J979" i="9"/>
  <c r="K979" i="9" s="1"/>
  <c r="J980" i="9"/>
  <c r="K980" i="9" s="1"/>
  <c r="J981" i="9"/>
  <c r="K981" i="9" s="1"/>
  <c r="J982" i="9"/>
  <c r="K982" i="9" s="1"/>
  <c r="J983" i="9"/>
  <c r="K983" i="9" s="1"/>
  <c r="J984" i="9"/>
  <c r="K984" i="9" s="1"/>
  <c r="J985" i="9"/>
  <c r="K985" i="9" s="1"/>
  <c r="J986" i="9"/>
  <c r="K986" i="9" s="1"/>
  <c r="J987" i="9"/>
  <c r="K987" i="9" s="1"/>
  <c r="J988" i="9"/>
  <c r="K988" i="9" s="1"/>
  <c r="J989" i="9"/>
  <c r="K989" i="9" s="1"/>
  <c r="J990" i="9"/>
  <c r="K990" i="9" s="1"/>
  <c r="J991" i="9"/>
  <c r="K991" i="9" s="1"/>
  <c r="J992" i="9"/>
  <c r="K992" i="9" s="1"/>
  <c r="J993" i="9"/>
  <c r="K993" i="9" s="1"/>
  <c r="J994" i="9"/>
  <c r="K994" i="9" s="1"/>
  <c r="J995" i="9"/>
  <c r="K995" i="9" s="1"/>
  <c r="J996" i="9"/>
  <c r="K996" i="9" s="1"/>
  <c r="J997" i="9"/>
  <c r="K997" i="9" s="1"/>
  <c r="J998" i="9"/>
  <c r="K998" i="9" s="1"/>
  <c r="J999" i="9"/>
  <c r="K999" i="9" s="1"/>
  <c r="J1000" i="9"/>
  <c r="K1000" i="9" s="1"/>
  <c r="J1001" i="9"/>
  <c r="K1001" i="9" s="1"/>
  <c r="J1002" i="9"/>
  <c r="K1002" i="9" s="1"/>
  <c r="J1003" i="9"/>
  <c r="K1003" i="9" s="1"/>
  <c r="J1004" i="9"/>
  <c r="K1004" i="9" s="1"/>
  <c r="J1005" i="9"/>
  <c r="K1005" i="9" s="1"/>
  <c r="J1006" i="9"/>
  <c r="K1006" i="9" s="1"/>
  <c r="J1007" i="9"/>
  <c r="K1007" i="9" s="1"/>
  <c r="J1008" i="9"/>
  <c r="K1008" i="9" s="1"/>
  <c r="J1009" i="9"/>
  <c r="K1009" i="9" s="1"/>
  <c r="J1010" i="9"/>
  <c r="K1010" i="9" s="1"/>
  <c r="J1011" i="9"/>
  <c r="K1011" i="9" s="1"/>
  <c r="J1012" i="9"/>
  <c r="K1012" i="9" s="1"/>
  <c r="J1013" i="9"/>
  <c r="K1013" i="9" s="1"/>
  <c r="J1014" i="9"/>
  <c r="K1014" i="9" s="1"/>
  <c r="J1015" i="9"/>
  <c r="K1015" i="9" s="1"/>
  <c r="J1016" i="9"/>
  <c r="K1016" i="9" s="1"/>
  <c r="J1017" i="9"/>
  <c r="K1017" i="9" s="1"/>
  <c r="J1018" i="9"/>
  <c r="K1018" i="9" s="1"/>
  <c r="J1019" i="9"/>
  <c r="K1019" i="9" s="1"/>
  <c r="J1020" i="9"/>
  <c r="K1020" i="9" s="1"/>
  <c r="J1021" i="9"/>
  <c r="K1021" i="9" s="1"/>
  <c r="J1022" i="9"/>
  <c r="K1022" i="9" s="1"/>
  <c r="J1023" i="9"/>
  <c r="K1023" i="9" s="1"/>
  <c r="J1024" i="9"/>
  <c r="K1024" i="9" s="1"/>
  <c r="J1025" i="9"/>
  <c r="K1025" i="9" s="1"/>
  <c r="J1026" i="9"/>
  <c r="K1026" i="9" s="1"/>
  <c r="J1027" i="9"/>
  <c r="K1027" i="9" s="1"/>
  <c r="J1028" i="9"/>
  <c r="K1028" i="9" s="1"/>
  <c r="J1029" i="9"/>
  <c r="K1029" i="9" s="1"/>
  <c r="J1030" i="9"/>
  <c r="K1030" i="9" s="1"/>
  <c r="J1031" i="9"/>
  <c r="K1031" i="9" s="1"/>
  <c r="J1032" i="9"/>
  <c r="K1032" i="9" s="1"/>
  <c r="J1033" i="9"/>
  <c r="K1033" i="9" s="1"/>
  <c r="K20" i="9"/>
  <c r="K44" i="9"/>
  <c r="K72" i="9"/>
  <c r="K107" i="9"/>
  <c r="K164" i="9"/>
  <c r="K168" i="9"/>
  <c r="K188" i="9"/>
  <c r="K251" i="9"/>
  <c r="K252" i="9"/>
  <c r="K284" i="9"/>
  <c r="K285" i="9"/>
  <c r="K420" i="9"/>
  <c r="K467" i="9"/>
  <c r="K538" i="9"/>
  <c r="K935" i="9"/>
  <c r="AC2" i="17"/>
  <c r="U2" i="17" s="1"/>
  <c r="AC3" i="17"/>
  <c r="U3" i="17" s="1"/>
  <c r="AC4" i="17"/>
  <c r="U4" i="17" s="1"/>
  <c r="AC5" i="17"/>
  <c r="U5" i="17" s="1"/>
  <c r="AC6" i="17"/>
  <c r="U6" i="17" s="1"/>
  <c r="AC7" i="17"/>
  <c r="U7" i="17" s="1"/>
  <c r="AC8" i="17"/>
  <c r="U8" i="17" s="1"/>
  <c r="AC9" i="17"/>
  <c r="U9" i="17" s="1"/>
  <c r="AC10" i="17"/>
  <c r="U10" i="17" s="1"/>
  <c r="AC11" i="17"/>
  <c r="U11" i="17" s="1"/>
  <c r="AC12" i="17"/>
  <c r="U12" i="17" s="1"/>
  <c r="AC13" i="17"/>
  <c r="U13" i="17" s="1"/>
  <c r="AC14" i="17"/>
  <c r="U14" i="17" s="1"/>
  <c r="AC15" i="17"/>
  <c r="U15" i="17" s="1"/>
  <c r="AC16" i="17"/>
  <c r="U16" i="17" s="1"/>
  <c r="AC17" i="17"/>
  <c r="U17" i="17" s="1"/>
  <c r="AC18" i="17"/>
  <c r="U18" i="17" s="1"/>
  <c r="AC19" i="17"/>
  <c r="U19" i="17" s="1"/>
  <c r="AC20" i="17"/>
  <c r="U20" i="17" s="1"/>
  <c r="AC21" i="17"/>
  <c r="U21" i="17" s="1"/>
  <c r="AC22" i="17"/>
  <c r="U22" i="17" s="1"/>
  <c r="AC23" i="17"/>
  <c r="U23" i="17" s="1"/>
  <c r="AC24" i="17"/>
  <c r="U24" i="17" s="1"/>
  <c r="AC25" i="17"/>
  <c r="U25" i="17" s="1"/>
  <c r="AC26" i="17"/>
  <c r="U26" i="17" s="1"/>
  <c r="AC27" i="17"/>
  <c r="U27" i="17" s="1"/>
  <c r="AC28" i="17"/>
  <c r="U28" i="17" s="1"/>
  <c r="AC29" i="17"/>
  <c r="U29" i="17" s="1"/>
  <c r="AC30" i="17"/>
  <c r="U30" i="17" s="1"/>
  <c r="AC31" i="17"/>
  <c r="U31" i="17" s="1"/>
  <c r="AC32" i="17"/>
  <c r="U32" i="17" s="1"/>
  <c r="AC33" i="17"/>
  <c r="U33" i="17" s="1"/>
  <c r="AC34" i="17"/>
  <c r="U34" i="17" s="1"/>
  <c r="AC35" i="17"/>
  <c r="U35" i="17" s="1"/>
  <c r="AC36" i="17"/>
  <c r="U36" i="17" s="1"/>
  <c r="AC37" i="17"/>
  <c r="U37" i="17" s="1"/>
  <c r="AC38" i="17"/>
  <c r="U38" i="17" s="1"/>
  <c r="AC39" i="17"/>
  <c r="U39" i="17" s="1"/>
  <c r="AC40" i="17"/>
  <c r="U40" i="17" s="1"/>
  <c r="AC41" i="17"/>
  <c r="U41" i="17" s="1"/>
  <c r="AC42" i="17"/>
  <c r="U42" i="17" s="1"/>
  <c r="AC43" i="17"/>
  <c r="U43" i="17" s="1"/>
  <c r="AC44" i="17"/>
  <c r="U44" i="17" s="1"/>
  <c r="AC45" i="17"/>
  <c r="U45" i="17" s="1"/>
  <c r="AC46" i="17"/>
  <c r="U46" i="17" s="1"/>
  <c r="AC47" i="17"/>
  <c r="U47" i="17" s="1"/>
  <c r="AC48" i="17"/>
  <c r="U48" i="17" s="1"/>
  <c r="AC49" i="17"/>
  <c r="U49" i="17" s="1"/>
  <c r="AC50" i="17"/>
  <c r="U50" i="17" s="1"/>
  <c r="AC51" i="17"/>
  <c r="U51" i="17" s="1"/>
  <c r="AC52" i="17"/>
  <c r="U52" i="17" s="1"/>
  <c r="AC53" i="17"/>
  <c r="U53" i="17" s="1"/>
  <c r="AC54" i="17"/>
  <c r="U54" i="17" s="1"/>
  <c r="AC55" i="17"/>
  <c r="U55" i="17" s="1"/>
  <c r="AC56" i="17"/>
  <c r="U56" i="17" s="1"/>
  <c r="AC57" i="17"/>
  <c r="U57" i="17" s="1"/>
  <c r="AC58" i="17"/>
  <c r="U58" i="17" s="1"/>
  <c r="AC59" i="17"/>
  <c r="U59" i="17" s="1"/>
  <c r="AC60" i="17"/>
  <c r="U60" i="17" s="1"/>
  <c r="AC61" i="17"/>
  <c r="U61" i="17" s="1"/>
  <c r="AC62" i="17"/>
  <c r="U62" i="17" s="1"/>
  <c r="AC63" i="17"/>
  <c r="U63" i="17" s="1"/>
  <c r="AC64" i="17"/>
  <c r="U64" i="17" s="1"/>
  <c r="AC65" i="17"/>
  <c r="U65" i="17" s="1"/>
  <c r="AC66" i="17"/>
  <c r="U66" i="17" s="1"/>
  <c r="AC67" i="17"/>
  <c r="U67" i="17" s="1"/>
  <c r="AC68" i="17"/>
  <c r="U68" i="17" s="1"/>
  <c r="AC69" i="17"/>
  <c r="U69" i="17" s="1"/>
  <c r="AC70" i="17"/>
  <c r="U70" i="17" s="1"/>
  <c r="AC71" i="17"/>
  <c r="U71" i="17" s="1"/>
  <c r="AC72" i="17"/>
  <c r="U72" i="17" s="1"/>
  <c r="AC73" i="17"/>
  <c r="U73" i="17" s="1"/>
  <c r="AC74" i="17"/>
  <c r="U74" i="17" s="1"/>
  <c r="AC75" i="17"/>
  <c r="U75" i="17" s="1"/>
  <c r="AC76" i="17"/>
  <c r="U76" i="17" s="1"/>
  <c r="AC77" i="17"/>
  <c r="U77" i="17" s="1"/>
  <c r="AC78" i="17"/>
  <c r="U78" i="17" s="1"/>
  <c r="AC79" i="17"/>
  <c r="U79" i="17" s="1"/>
  <c r="AC80" i="17"/>
  <c r="U80" i="17" s="1"/>
  <c r="AC81" i="17"/>
  <c r="U81" i="17" s="1"/>
  <c r="AC82" i="17"/>
  <c r="U82" i="17" s="1"/>
  <c r="AC83" i="17"/>
  <c r="U83" i="17" s="1"/>
  <c r="AC84" i="17"/>
  <c r="U84" i="17" s="1"/>
  <c r="AC85" i="17"/>
  <c r="U85" i="17" s="1"/>
  <c r="AC86" i="17"/>
  <c r="U86" i="17" s="1"/>
  <c r="AC87" i="17"/>
  <c r="U87" i="17" s="1"/>
  <c r="AC88" i="17"/>
  <c r="U88" i="17" s="1"/>
  <c r="AC89" i="17"/>
  <c r="U89" i="17" s="1"/>
  <c r="AC90" i="17"/>
  <c r="U90" i="17" s="1"/>
  <c r="AC91" i="17"/>
  <c r="U91" i="17" s="1"/>
  <c r="AC92" i="17"/>
  <c r="U92" i="17" s="1"/>
  <c r="AC93" i="17"/>
  <c r="U93" i="17" s="1"/>
  <c r="AC94" i="17"/>
  <c r="U94" i="17" s="1"/>
  <c r="AC95" i="17"/>
  <c r="U95" i="17" s="1"/>
  <c r="AC96" i="17"/>
  <c r="U96" i="17" s="1"/>
  <c r="AC97" i="17"/>
  <c r="U97" i="17" s="1"/>
  <c r="AC98" i="17"/>
  <c r="U98" i="17" s="1"/>
  <c r="AC99" i="17"/>
  <c r="U99" i="17" s="1"/>
  <c r="AC100" i="17"/>
  <c r="U100" i="17" s="1"/>
  <c r="AC101" i="17"/>
  <c r="U101" i="17" s="1"/>
  <c r="AC102" i="17"/>
  <c r="U102" i="17" s="1"/>
  <c r="AC103" i="17"/>
  <c r="U103" i="17" s="1"/>
  <c r="AC104" i="17"/>
  <c r="U104" i="17" s="1"/>
  <c r="AC105" i="17"/>
  <c r="U105" i="17" s="1"/>
  <c r="AC106" i="17"/>
  <c r="U106" i="17" s="1"/>
  <c r="AC107" i="17"/>
  <c r="U107" i="17" s="1"/>
  <c r="AC108" i="17"/>
  <c r="U108" i="17" s="1"/>
  <c r="AC109" i="17"/>
  <c r="U109" i="17" s="1"/>
  <c r="AC110" i="17"/>
  <c r="U110" i="17" s="1"/>
  <c r="AC111" i="17"/>
  <c r="U111" i="17" s="1"/>
  <c r="AC112" i="17"/>
  <c r="U112" i="17" s="1"/>
  <c r="AC113" i="17"/>
  <c r="U113" i="17" s="1"/>
  <c r="AC114" i="17"/>
  <c r="U114" i="17" s="1"/>
  <c r="AC115" i="17"/>
  <c r="U115" i="17" s="1"/>
  <c r="AC116" i="17"/>
  <c r="U116" i="17" s="1"/>
  <c r="AC117" i="17"/>
  <c r="U117" i="17" s="1"/>
  <c r="AC118" i="17"/>
  <c r="U118" i="17" s="1"/>
  <c r="AC119" i="17"/>
  <c r="U119" i="17" s="1"/>
  <c r="AC120" i="17"/>
  <c r="U120" i="17" s="1"/>
  <c r="AC121" i="17"/>
  <c r="U121" i="17" s="1"/>
  <c r="AC122" i="17"/>
  <c r="U122" i="17" s="1"/>
  <c r="AC123" i="17"/>
  <c r="U123" i="17" s="1"/>
  <c r="AC124" i="17"/>
  <c r="U124" i="17" s="1"/>
  <c r="AC125" i="17"/>
  <c r="U125" i="17" s="1"/>
  <c r="AC126" i="17"/>
  <c r="U126" i="17" s="1"/>
  <c r="AC127" i="17"/>
  <c r="U127" i="17" s="1"/>
  <c r="AC128" i="17"/>
  <c r="U128" i="17" s="1"/>
  <c r="AC129" i="17"/>
  <c r="U129" i="17" s="1"/>
  <c r="AC130" i="17"/>
  <c r="U130" i="17" s="1"/>
  <c r="AC131" i="17"/>
  <c r="U131" i="17" s="1"/>
  <c r="AC132" i="17"/>
  <c r="U132" i="17" s="1"/>
  <c r="AC133" i="17"/>
  <c r="U133" i="17" s="1"/>
  <c r="AC134" i="17"/>
  <c r="U134" i="17" s="1"/>
  <c r="AC135" i="17"/>
  <c r="U135" i="17" s="1"/>
  <c r="AC136" i="17"/>
  <c r="U136" i="17" s="1"/>
  <c r="AC137" i="17"/>
  <c r="U137" i="17" s="1"/>
  <c r="AC138" i="17"/>
  <c r="U138" i="17" s="1"/>
  <c r="AC139" i="17"/>
  <c r="U139" i="17" s="1"/>
  <c r="AC140" i="17"/>
  <c r="U140" i="17" s="1"/>
  <c r="AC141" i="17"/>
  <c r="U141" i="17" s="1"/>
  <c r="AC142" i="17"/>
  <c r="U142" i="17" s="1"/>
  <c r="AC143" i="17"/>
  <c r="U143" i="17" s="1"/>
  <c r="AC144" i="17"/>
  <c r="U144" i="17" s="1"/>
  <c r="AC145" i="17"/>
  <c r="U145" i="17" s="1"/>
  <c r="AC146" i="17"/>
  <c r="U146" i="17" s="1"/>
  <c r="AC147" i="17"/>
  <c r="U147" i="17" s="1"/>
  <c r="AC148" i="17"/>
  <c r="U148" i="17" s="1"/>
  <c r="AC149" i="17"/>
  <c r="U149" i="17" s="1"/>
  <c r="AC150" i="17"/>
  <c r="U150" i="17" s="1"/>
  <c r="AC151" i="17"/>
  <c r="U151" i="17" s="1"/>
  <c r="AC152" i="17"/>
  <c r="U152" i="17" s="1"/>
  <c r="AC153" i="17"/>
  <c r="U153" i="17" s="1"/>
  <c r="AC154" i="17"/>
  <c r="U154" i="17" s="1"/>
  <c r="AC155" i="17"/>
  <c r="U155" i="17" s="1"/>
  <c r="AC156" i="17"/>
  <c r="U156" i="17" s="1"/>
  <c r="AC157" i="17"/>
  <c r="U157" i="17" s="1"/>
  <c r="AC158" i="17"/>
  <c r="U158" i="17" s="1"/>
  <c r="AC159" i="17"/>
  <c r="U159" i="17" s="1"/>
  <c r="AC160" i="17"/>
  <c r="U160" i="17" s="1"/>
  <c r="AC161" i="17"/>
  <c r="U161" i="17" s="1"/>
  <c r="AC162" i="17"/>
  <c r="U162" i="17" s="1"/>
  <c r="AC163" i="17"/>
  <c r="U163" i="17" s="1"/>
  <c r="AC164" i="17"/>
  <c r="U164" i="17" s="1"/>
  <c r="AC165" i="17"/>
  <c r="U165" i="17" s="1"/>
  <c r="AC166" i="17"/>
  <c r="U166" i="17" s="1"/>
  <c r="AC167" i="17"/>
  <c r="U167" i="17" s="1"/>
  <c r="AC168" i="17"/>
  <c r="U168" i="17" s="1"/>
  <c r="AC169" i="17"/>
  <c r="U169" i="17" s="1"/>
  <c r="AC170" i="17"/>
  <c r="U170" i="17" s="1"/>
  <c r="AC171" i="17"/>
  <c r="U171" i="17" s="1"/>
  <c r="AC172" i="17"/>
  <c r="U172" i="17" s="1"/>
  <c r="AC173" i="17"/>
  <c r="U173" i="17" s="1"/>
  <c r="AC174" i="17"/>
  <c r="U174" i="17" s="1"/>
  <c r="AC175" i="17"/>
  <c r="U175" i="17" s="1"/>
  <c r="AC176" i="17"/>
  <c r="U176" i="17" s="1"/>
  <c r="AC177" i="17"/>
  <c r="U177" i="17" s="1"/>
  <c r="AC178" i="17"/>
  <c r="U178" i="17" s="1"/>
  <c r="AC179" i="17"/>
  <c r="U179" i="17" s="1"/>
  <c r="AC180" i="17"/>
  <c r="U180" i="17" s="1"/>
  <c r="AC181" i="17"/>
  <c r="U181" i="17" s="1"/>
  <c r="AC182" i="17"/>
  <c r="U182" i="17" s="1"/>
  <c r="AC183" i="17"/>
  <c r="U183" i="17" s="1"/>
  <c r="AC184" i="17"/>
  <c r="U184" i="17" s="1"/>
  <c r="AC185" i="17"/>
  <c r="U185" i="17" s="1"/>
  <c r="AC186" i="17"/>
  <c r="U186" i="17" s="1"/>
  <c r="AC187" i="17"/>
  <c r="U187" i="17" s="1"/>
  <c r="AC188" i="17"/>
  <c r="U188" i="17" s="1"/>
  <c r="AC189" i="17"/>
  <c r="U189" i="17" s="1"/>
  <c r="AC190" i="17"/>
  <c r="U190" i="17" s="1"/>
  <c r="AC191" i="17"/>
  <c r="U191" i="17" s="1"/>
  <c r="AC192" i="17"/>
  <c r="U192" i="17" s="1"/>
  <c r="AC193" i="17"/>
  <c r="U193" i="17" s="1"/>
  <c r="AC194" i="17"/>
  <c r="U194" i="17" s="1"/>
  <c r="AC195" i="17"/>
  <c r="U195" i="17" s="1"/>
  <c r="AC196" i="17"/>
  <c r="U196" i="17" s="1"/>
  <c r="AC197" i="17"/>
  <c r="U197" i="17" s="1"/>
  <c r="AC198" i="17"/>
  <c r="U198" i="17" s="1"/>
  <c r="AC199" i="17"/>
  <c r="U199" i="17" s="1"/>
  <c r="AC200" i="17"/>
  <c r="U200" i="17" s="1"/>
  <c r="AC201" i="17"/>
  <c r="U201" i="17" s="1"/>
  <c r="AC202" i="17"/>
  <c r="U202" i="17" s="1"/>
  <c r="AC203" i="17"/>
  <c r="U203" i="17" s="1"/>
  <c r="AC204" i="17"/>
  <c r="U204" i="17" s="1"/>
  <c r="AC205" i="17"/>
  <c r="U205" i="17" s="1"/>
  <c r="AC206" i="17"/>
  <c r="U206" i="17" s="1"/>
  <c r="AC207" i="17"/>
  <c r="U207" i="17" s="1"/>
  <c r="AC208" i="17"/>
  <c r="U208" i="17" s="1"/>
  <c r="AC209" i="17"/>
  <c r="U209" i="17" s="1"/>
  <c r="AC210" i="17"/>
  <c r="U210" i="17" s="1"/>
  <c r="AC211" i="17"/>
  <c r="U211" i="17" s="1"/>
  <c r="AC212" i="17"/>
  <c r="U212" i="17" s="1"/>
  <c r="AC213" i="17"/>
  <c r="U213" i="17" s="1"/>
  <c r="AC214" i="17"/>
  <c r="U214" i="17" s="1"/>
  <c r="AC215" i="17"/>
  <c r="U215" i="17" s="1"/>
  <c r="AC216" i="17"/>
  <c r="U216" i="17" s="1"/>
  <c r="AC217" i="17"/>
  <c r="U217" i="17" s="1"/>
  <c r="AC218" i="17"/>
  <c r="U218" i="17" s="1"/>
  <c r="AC219" i="17"/>
  <c r="U219" i="17" s="1"/>
  <c r="AC220" i="17"/>
  <c r="U220" i="17" s="1"/>
  <c r="AC221" i="17"/>
  <c r="U221" i="17" s="1"/>
  <c r="AC222" i="17"/>
  <c r="U222" i="17" s="1"/>
  <c r="AC223" i="17"/>
  <c r="U223" i="17" s="1"/>
  <c r="AC224" i="17"/>
  <c r="U224" i="17" s="1"/>
  <c r="AC225" i="17"/>
  <c r="U225" i="17" s="1"/>
  <c r="AC226" i="17"/>
  <c r="U226" i="17" s="1"/>
  <c r="AC227" i="17"/>
  <c r="U227" i="17" s="1"/>
  <c r="AC228" i="17"/>
  <c r="U228" i="17" s="1"/>
  <c r="AC229" i="17"/>
  <c r="U229" i="17" s="1"/>
  <c r="AC230" i="17"/>
  <c r="U230" i="17" s="1"/>
  <c r="AC231" i="17"/>
  <c r="U231" i="17" s="1"/>
  <c r="AC232" i="17"/>
  <c r="U232" i="17" s="1"/>
  <c r="AC233" i="17"/>
  <c r="U233" i="17" s="1"/>
  <c r="AC234" i="17"/>
  <c r="U234" i="17" s="1"/>
  <c r="AC235" i="17"/>
  <c r="U235" i="17" s="1"/>
  <c r="AC236" i="17"/>
  <c r="U236" i="17" s="1"/>
  <c r="AC237" i="17"/>
  <c r="U237" i="17" s="1"/>
  <c r="AC238" i="17"/>
  <c r="U238" i="17" s="1"/>
  <c r="AC239" i="17"/>
  <c r="U239" i="17" s="1"/>
  <c r="AC240" i="17"/>
  <c r="U240" i="17" s="1"/>
  <c r="AC241" i="17"/>
  <c r="U241" i="17" s="1"/>
  <c r="AC242" i="17"/>
  <c r="U242" i="17" s="1"/>
  <c r="AC243" i="17"/>
  <c r="U243" i="17" s="1"/>
  <c r="AC244" i="17"/>
  <c r="U244" i="17" s="1"/>
  <c r="AC245" i="17"/>
  <c r="U245" i="17" s="1"/>
  <c r="AC246" i="17"/>
  <c r="U246" i="17" s="1"/>
  <c r="AC247" i="17"/>
  <c r="U247" i="17" s="1"/>
  <c r="AC248" i="17"/>
  <c r="U248" i="17" s="1"/>
  <c r="AC249" i="17"/>
  <c r="U249" i="17" s="1"/>
  <c r="AC250" i="17"/>
  <c r="U250" i="17" s="1"/>
  <c r="AC251" i="17"/>
  <c r="U251" i="17" s="1"/>
  <c r="AC252" i="17"/>
  <c r="U252" i="17" s="1"/>
  <c r="AC253" i="17"/>
  <c r="U253" i="17" s="1"/>
  <c r="AC254" i="17"/>
  <c r="U254" i="17" s="1"/>
  <c r="AC255" i="17"/>
  <c r="U255" i="17" s="1"/>
  <c r="AC256" i="17"/>
  <c r="U256" i="17" s="1"/>
  <c r="AC257" i="17"/>
  <c r="U257" i="17" s="1"/>
  <c r="AC258" i="17"/>
  <c r="U258" i="17" s="1"/>
  <c r="AC259" i="17"/>
  <c r="U259" i="17" s="1"/>
  <c r="AC260" i="17"/>
  <c r="U260" i="17" s="1"/>
  <c r="AC261" i="17"/>
  <c r="U261" i="17" s="1"/>
  <c r="AC262" i="17"/>
  <c r="U262" i="17" s="1"/>
  <c r="AC263" i="17"/>
  <c r="U263" i="17" s="1"/>
  <c r="AC264" i="17"/>
  <c r="U264" i="17" s="1"/>
  <c r="AC265" i="17"/>
  <c r="U265" i="17" s="1"/>
  <c r="AC266" i="17"/>
  <c r="U266" i="17" s="1"/>
  <c r="AC267" i="17"/>
  <c r="U267" i="17" s="1"/>
  <c r="AC268" i="17"/>
  <c r="U268" i="17" s="1"/>
  <c r="AC269" i="17"/>
  <c r="U269" i="17" s="1"/>
  <c r="AC270" i="17"/>
  <c r="U270" i="17" s="1"/>
  <c r="AC271" i="17"/>
  <c r="U271" i="17" s="1"/>
  <c r="AC272" i="17"/>
  <c r="U272" i="17" s="1"/>
  <c r="AC273" i="17"/>
  <c r="U273" i="17" s="1"/>
  <c r="AC274" i="17"/>
  <c r="U274" i="17" s="1"/>
  <c r="AC275" i="17"/>
  <c r="U275" i="17" s="1"/>
  <c r="AC276" i="17"/>
  <c r="U276" i="17" s="1"/>
  <c r="AC277" i="17"/>
  <c r="U277" i="17" s="1"/>
  <c r="AC278" i="17"/>
  <c r="U278" i="17" s="1"/>
  <c r="AC279" i="17"/>
  <c r="U279" i="17" s="1"/>
  <c r="AC280" i="17"/>
  <c r="U280" i="17" s="1"/>
  <c r="AC281" i="17"/>
  <c r="U281" i="17" s="1"/>
  <c r="AC282" i="17"/>
  <c r="U282" i="17" s="1"/>
  <c r="AC283" i="17"/>
  <c r="U283" i="17" s="1"/>
  <c r="AC284" i="17"/>
  <c r="U284" i="17" s="1"/>
  <c r="AC285" i="17"/>
  <c r="U285" i="17" s="1"/>
  <c r="AC286" i="17"/>
  <c r="U286" i="17" s="1"/>
  <c r="AC287" i="17"/>
  <c r="U287" i="17" s="1"/>
  <c r="AC288" i="17"/>
  <c r="U288" i="17" s="1"/>
  <c r="AC289" i="17"/>
  <c r="U289" i="17" s="1"/>
  <c r="AC290" i="17"/>
  <c r="U290" i="17" s="1"/>
  <c r="AC291" i="17"/>
  <c r="U291" i="17" s="1"/>
  <c r="AC292" i="17"/>
  <c r="U292" i="17" s="1"/>
  <c r="AC293" i="17"/>
  <c r="U293" i="17" s="1"/>
  <c r="AC294" i="17"/>
  <c r="U294" i="17" s="1"/>
  <c r="AC295" i="17"/>
  <c r="U295" i="17" s="1"/>
  <c r="AC296" i="17"/>
  <c r="U296" i="17" s="1"/>
  <c r="AC297" i="17"/>
  <c r="U297" i="17" s="1"/>
  <c r="AC298" i="17"/>
  <c r="U298" i="17" s="1"/>
  <c r="AC299" i="17"/>
  <c r="U299" i="17" s="1"/>
  <c r="AC300" i="17"/>
  <c r="U300" i="17" s="1"/>
  <c r="AC301" i="17"/>
  <c r="U301" i="17" s="1"/>
  <c r="AC302" i="17"/>
  <c r="U302" i="17" s="1"/>
  <c r="AC303" i="17"/>
  <c r="U303" i="17" s="1"/>
  <c r="AC304" i="17"/>
  <c r="U304" i="17" s="1"/>
  <c r="AC305" i="17"/>
  <c r="U305" i="17" s="1"/>
  <c r="AC306" i="17"/>
  <c r="U306" i="17" s="1"/>
  <c r="AC307" i="17"/>
  <c r="U307" i="17" s="1"/>
  <c r="AC308" i="17"/>
  <c r="U308" i="17" s="1"/>
  <c r="AC309" i="17"/>
  <c r="U309" i="17" s="1"/>
  <c r="AC310" i="17"/>
  <c r="U310" i="17" s="1"/>
  <c r="AC311" i="17"/>
  <c r="U311" i="17" s="1"/>
  <c r="AC312" i="17"/>
  <c r="U312" i="17" s="1"/>
  <c r="AC313" i="17"/>
  <c r="U313" i="17" s="1"/>
  <c r="AC314" i="17"/>
  <c r="U314" i="17" s="1"/>
  <c r="AC315" i="17"/>
  <c r="U315" i="17" s="1"/>
  <c r="AC316" i="17"/>
  <c r="U316" i="17" s="1"/>
  <c r="AC317" i="17"/>
  <c r="U317" i="17" s="1"/>
  <c r="AC318" i="17"/>
  <c r="U318" i="17" s="1"/>
  <c r="AC319" i="17"/>
  <c r="U319" i="17" s="1"/>
  <c r="AC320" i="17"/>
  <c r="U320" i="17" s="1"/>
  <c r="AC321" i="17"/>
  <c r="U321" i="17" s="1"/>
  <c r="AC322" i="17"/>
  <c r="U322" i="17" s="1"/>
  <c r="AC323" i="17"/>
  <c r="U323" i="17" s="1"/>
  <c r="AC324" i="17"/>
  <c r="U324" i="17" s="1"/>
  <c r="AC325" i="17"/>
  <c r="U325" i="17" s="1"/>
  <c r="AC326" i="17"/>
  <c r="U326" i="17" s="1"/>
  <c r="AC327" i="17"/>
  <c r="U327" i="17" s="1"/>
  <c r="AC328" i="17"/>
  <c r="U328" i="17" s="1"/>
  <c r="AC329" i="17"/>
  <c r="U329" i="17" s="1"/>
  <c r="AC330" i="17"/>
  <c r="U330" i="17" s="1"/>
  <c r="AC331" i="17"/>
  <c r="U331" i="17" s="1"/>
  <c r="AC332" i="17"/>
  <c r="U332" i="17" s="1"/>
  <c r="AC333" i="17"/>
  <c r="U333" i="17" s="1"/>
  <c r="AC334" i="17"/>
  <c r="U334" i="17" s="1"/>
  <c r="Z2" i="17"/>
  <c r="Z3" i="17"/>
  <c r="Z4" i="17"/>
  <c r="Z5" i="17"/>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Z42" i="17"/>
  <c r="Z43" i="17"/>
  <c r="Z44" i="17"/>
  <c r="Z45" i="17"/>
  <c r="Z46" i="17"/>
  <c r="Z47" i="17"/>
  <c r="Z48" i="17"/>
  <c r="Z49" i="17"/>
  <c r="Z50" i="17"/>
  <c r="Z51" i="17"/>
  <c r="Z52" i="17"/>
  <c r="Z53" i="17"/>
  <c r="Z54" i="17"/>
  <c r="Z55" i="17"/>
  <c r="Z56" i="17"/>
  <c r="Z57" i="17"/>
  <c r="Z58" i="17"/>
  <c r="Z59" i="17"/>
  <c r="Z60" i="17"/>
  <c r="Z61" i="17"/>
  <c r="Z62" i="17"/>
  <c r="Z63" i="17"/>
  <c r="Z64" i="17"/>
  <c r="Z65" i="17"/>
  <c r="Z66" i="17"/>
  <c r="Z67" i="17"/>
  <c r="Z68" i="17"/>
  <c r="Z69" i="17"/>
  <c r="Z70" i="17"/>
  <c r="Z71" i="17"/>
  <c r="Z72" i="17"/>
  <c r="Z73" i="17"/>
  <c r="Z74" i="17"/>
  <c r="Z75" i="17"/>
  <c r="Z76" i="17"/>
  <c r="Z77" i="17"/>
  <c r="Z78" i="17"/>
  <c r="Z79" i="17"/>
  <c r="Z80" i="17"/>
  <c r="Z81" i="17"/>
  <c r="Z82" i="17"/>
  <c r="Z83" i="17"/>
  <c r="Z84" i="17"/>
  <c r="Z85" i="17"/>
  <c r="Z86" i="17"/>
  <c r="Z87" i="17"/>
  <c r="Z88" i="17"/>
  <c r="Z89" i="17"/>
  <c r="Z90" i="17"/>
  <c r="Z91" i="17"/>
  <c r="Z92" i="17"/>
  <c r="Z93" i="17"/>
  <c r="Z94" i="17"/>
  <c r="Z95" i="17"/>
  <c r="Z96" i="17"/>
  <c r="Z97" i="17"/>
  <c r="Z98" i="17"/>
  <c r="Z99" i="17"/>
  <c r="Z100" i="17"/>
  <c r="Z101" i="17"/>
  <c r="Z102" i="17"/>
  <c r="Z103" i="17"/>
  <c r="Z104" i="17"/>
  <c r="Z105" i="17"/>
  <c r="Z106" i="17"/>
  <c r="Z107" i="17"/>
  <c r="Z108" i="17"/>
  <c r="Z109" i="17"/>
  <c r="Z110" i="17"/>
  <c r="Z111" i="17"/>
  <c r="Z112" i="17"/>
  <c r="Z113" i="17"/>
  <c r="Z114" i="17"/>
  <c r="Z115" i="17"/>
  <c r="Z116" i="17"/>
  <c r="Z117" i="17"/>
  <c r="Z118" i="17"/>
  <c r="Z119" i="17"/>
  <c r="Z120" i="17"/>
  <c r="Z121" i="17"/>
  <c r="Z122" i="17"/>
  <c r="Z123" i="17"/>
  <c r="Z124" i="17"/>
  <c r="Z125" i="17"/>
  <c r="Z126" i="17"/>
  <c r="Z127" i="17"/>
  <c r="Z128" i="17"/>
  <c r="Z129" i="17"/>
  <c r="Z130" i="17"/>
  <c r="Z131" i="17"/>
  <c r="Z132" i="17"/>
  <c r="Z133" i="17"/>
  <c r="Z134" i="17"/>
  <c r="Z135" i="17"/>
  <c r="Z136" i="17"/>
  <c r="Z137" i="17"/>
  <c r="Z138" i="17"/>
  <c r="Z139" i="17"/>
  <c r="Z140" i="17"/>
  <c r="Z141" i="17"/>
  <c r="Z142" i="17"/>
  <c r="Z143" i="17"/>
  <c r="Z144" i="17"/>
  <c r="Z145" i="17"/>
  <c r="Z146" i="17"/>
  <c r="Z147" i="17"/>
  <c r="Z148" i="17"/>
  <c r="Z149" i="17"/>
  <c r="Z150" i="17"/>
  <c r="Z151" i="17"/>
  <c r="Z152" i="17"/>
  <c r="Z153" i="17"/>
  <c r="Z154" i="17"/>
  <c r="Z155" i="17"/>
  <c r="Z156" i="17"/>
  <c r="Z157" i="17"/>
  <c r="Z158" i="17"/>
  <c r="Z159" i="17"/>
  <c r="Z160" i="17"/>
  <c r="Z161" i="17"/>
  <c r="Z162" i="17"/>
  <c r="Z163" i="17"/>
  <c r="Z164" i="17"/>
  <c r="Z165" i="17"/>
  <c r="Z166" i="17"/>
  <c r="Z167" i="17"/>
  <c r="Z168" i="17"/>
  <c r="Z169" i="17"/>
  <c r="Z170" i="17"/>
  <c r="Z171" i="17"/>
  <c r="Z172" i="17"/>
  <c r="Z173" i="17"/>
  <c r="Z174" i="17"/>
  <c r="Z175" i="17"/>
  <c r="Z176" i="17"/>
  <c r="Z177" i="17"/>
  <c r="Z178" i="17"/>
  <c r="Z179" i="17"/>
  <c r="Z180" i="17"/>
  <c r="Z181" i="17"/>
  <c r="Z182" i="17"/>
  <c r="Z183" i="17"/>
  <c r="Z184" i="17"/>
  <c r="Z185" i="17"/>
  <c r="Z186" i="17"/>
  <c r="Z187" i="17"/>
  <c r="Z188" i="17"/>
  <c r="Z189" i="17"/>
  <c r="Z190" i="17"/>
  <c r="Z191" i="17"/>
  <c r="Z192" i="17"/>
  <c r="Z193" i="17"/>
  <c r="Z194" i="17"/>
  <c r="Z195" i="17"/>
  <c r="Z196" i="17"/>
  <c r="Z197" i="17"/>
  <c r="Z198" i="17"/>
  <c r="Z199" i="17"/>
  <c r="Z200" i="17"/>
  <c r="Z201" i="17"/>
  <c r="Z202" i="17"/>
  <c r="Z203" i="17"/>
  <c r="Z204" i="17"/>
  <c r="Z205" i="17"/>
  <c r="Z206" i="17"/>
  <c r="Z207" i="17"/>
  <c r="Z208" i="17"/>
  <c r="Z209" i="17"/>
  <c r="Z210" i="17"/>
  <c r="Z211" i="17"/>
  <c r="Z212" i="17"/>
  <c r="Z213" i="17"/>
  <c r="Z214" i="17"/>
  <c r="Z215" i="17"/>
  <c r="Z216" i="17"/>
  <c r="Z217" i="17"/>
  <c r="Z218" i="17"/>
  <c r="Z219" i="17"/>
  <c r="Z220" i="17"/>
  <c r="Z221" i="17"/>
  <c r="Z222" i="17"/>
  <c r="Z223" i="17"/>
  <c r="Z224" i="17"/>
  <c r="Z225" i="17"/>
  <c r="Z226" i="17"/>
  <c r="Z227" i="17"/>
  <c r="Z228" i="17"/>
  <c r="Z229" i="17"/>
  <c r="Z230" i="17"/>
  <c r="Z231" i="17"/>
  <c r="Z232" i="17"/>
  <c r="Z233" i="17"/>
  <c r="Z234" i="17"/>
  <c r="Z235" i="17"/>
  <c r="Z236" i="17"/>
  <c r="Z237" i="17"/>
  <c r="Z238" i="17"/>
  <c r="Z239" i="17"/>
  <c r="Z240" i="17"/>
  <c r="Z241" i="17"/>
  <c r="Z242" i="17"/>
  <c r="Z243" i="17"/>
  <c r="Z244" i="17"/>
  <c r="Z245" i="17"/>
  <c r="Z246" i="17"/>
  <c r="Z247" i="17"/>
  <c r="Z248" i="17"/>
  <c r="Z249" i="17"/>
  <c r="Z250" i="17"/>
  <c r="Z251" i="17"/>
  <c r="Z252" i="17"/>
  <c r="Z253" i="17"/>
  <c r="Z254" i="17"/>
  <c r="Z255" i="17"/>
  <c r="Z256" i="17"/>
  <c r="Z257" i="17"/>
  <c r="Z258" i="17"/>
  <c r="Z259" i="17"/>
  <c r="Z260" i="17"/>
  <c r="Z261" i="17"/>
  <c r="Z262" i="17"/>
  <c r="Z263" i="17"/>
  <c r="Z264" i="17"/>
  <c r="Z265" i="17"/>
  <c r="Z266" i="17"/>
  <c r="Z267" i="17"/>
  <c r="Z268" i="17"/>
  <c r="Z269" i="17"/>
  <c r="Z270" i="17"/>
  <c r="Z271" i="17"/>
  <c r="Z272" i="17"/>
  <c r="Z273" i="17"/>
  <c r="Z274" i="17"/>
  <c r="Z275" i="17"/>
  <c r="Z276" i="17"/>
  <c r="Z277" i="17"/>
  <c r="Z278" i="17"/>
  <c r="Z279" i="17"/>
  <c r="Z280" i="17"/>
  <c r="Z281" i="17"/>
  <c r="Z282" i="17"/>
  <c r="Z283" i="17"/>
  <c r="Z284" i="17"/>
  <c r="Z285" i="17"/>
  <c r="Z286" i="17"/>
  <c r="Z287" i="17"/>
  <c r="Z288" i="17"/>
  <c r="Z289" i="17"/>
  <c r="Z290" i="17"/>
  <c r="Z291" i="17"/>
  <c r="Z292" i="17"/>
  <c r="Z293" i="17"/>
  <c r="Z294" i="17"/>
  <c r="Z295" i="17"/>
  <c r="Z296" i="17"/>
  <c r="Z297" i="17"/>
  <c r="Z298" i="17"/>
  <c r="Z299" i="17"/>
  <c r="Z300" i="17"/>
  <c r="Z301" i="17"/>
  <c r="Z302" i="17"/>
  <c r="Z303" i="17"/>
  <c r="Z304" i="17"/>
  <c r="Z305" i="17"/>
  <c r="Z306" i="17"/>
  <c r="Z307" i="17"/>
  <c r="Z308" i="17"/>
  <c r="Z309" i="17"/>
  <c r="Z310" i="17"/>
  <c r="Z311" i="17"/>
  <c r="Z312" i="17"/>
  <c r="Z313" i="17"/>
  <c r="Z314" i="17"/>
  <c r="Z315" i="17"/>
  <c r="Z316" i="17"/>
  <c r="Z317" i="17"/>
  <c r="Z318" i="17"/>
  <c r="Z319" i="17"/>
  <c r="Z320" i="17"/>
  <c r="Z321" i="17"/>
  <c r="Z322" i="17"/>
  <c r="Z323" i="17"/>
  <c r="Z324" i="17"/>
  <c r="Z325" i="17"/>
  <c r="Z326" i="17"/>
  <c r="Z327" i="17"/>
  <c r="Z328" i="17"/>
  <c r="Z329" i="17"/>
  <c r="Z330" i="17"/>
  <c r="Z331" i="17"/>
  <c r="Z332" i="17"/>
  <c r="Z333" i="17"/>
  <c r="Z334" i="17"/>
  <c r="V3" i="17"/>
  <c r="V4" i="17"/>
  <c r="V5" i="17"/>
  <c r="V6" i="17"/>
  <c r="V7" i="17"/>
  <c r="V8" i="17"/>
  <c r="V9" i="17"/>
  <c r="V10" i="17"/>
  <c r="V11" i="17"/>
  <c r="V12" i="17"/>
  <c r="V13" i="17"/>
  <c r="V14" i="17"/>
  <c r="V15" i="17"/>
  <c r="V16" i="17"/>
  <c r="V17" i="17"/>
  <c r="V18" i="17"/>
  <c r="V19" i="17"/>
  <c r="V20" i="17"/>
  <c r="V21" i="17"/>
  <c r="V22" i="17"/>
  <c r="V23" i="17"/>
  <c r="V24" i="17"/>
  <c r="V25" i="17"/>
  <c r="V26" i="17"/>
  <c r="V27" i="17"/>
  <c r="V28" i="17"/>
  <c r="V29" i="17"/>
  <c r="V30" i="17"/>
  <c r="V31" i="17"/>
  <c r="V32" i="17"/>
  <c r="V33" i="17"/>
  <c r="V34" i="17"/>
  <c r="V35" i="17"/>
  <c r="V36" i="17"/>
  <c r="V37" i="17"/>
  <c r="V38" i="17"/>
  <c r="V39" i="17"/>
  <c r="V40" i="17"/>
  <c r="V41" i="17"/>
  <c r="V42" i="17"/>
  <c r="V43" i="17"/>
  <c r="V44" i="17"/>
  <c r="V45" i="17"/>
  <c r="V46" i="17"/>
  <c r="V47" i="17"/>
  <c r="V48" i="17"/>
  <c r="V49" i="17"/>
  <c r="V50" i="17"/>
  <c r="V51" i="17"/>
  <c r="V52" i="17"/>
  <c r="V53" i="17"/>
  <c r="V54" i="17"/>
  <c r="V55" i="17"/>
  <c r="V56" i="17"/>
  <c r="V57" i="17"/>
  <c r="V58" i="17"/>
  <c r="V59" i="17"/>
  <c r="V60" i="17"/>
  <c r="V61" i="17"/>
  <c r="V62" i="17"/>
  <c r="V63" i="17"/>
  <c r="V64" i="17"/>
  <c r="V65" i="17"/>
  <c r="V66" i="17"/>
  <c r="V67" i="17"/>
  <c r="V68" i="17"/>
  <c r="V69" i="17"/>
  <c r="V70" i="17"/>
  <c r="V71" i="17"/>
  <c r="V72" i="17"/>
  <c r="V73" i="17"/>
  <c r="V74" i="17"/>
  <c r="V75" i="17"/>
  <c r="V76" i="17"/>
  <c r="V77" i="17"/>
  <c r="V78" i="17"/>
  <c r="V79" i="17"/>
  <c r="V80" i="17"/>
  <c r="V81" i="17"/>
  <c r="V82" i="17"/>
  <c r="V83" i="17"/>
  <c r="V84" i="17"/>
  <c r="V85" i="17"/>
  <c r="V86" i="17"/>
  <c r="V87" i="17"/>
  <c r="V88" i="17"/>
  <c r="V89" i="17"/>
  <c r="V90" i="17"/>
  <c r="V91" i="17"/>
  <c r="V92" i="17"/>
  <c r="V93" i="17"/>
  <c r="V94" i="17"/>
  <c r="V95" i="17"/>
  <c r="V96" i="17"/>
  <c r="V97" i="17"/>
  <c r="V98" i="17"/>
  <c r="V99" i="17"/>
  <c r="V100" i="17"/>
  <c r="V101" i="17"/>
  <c r="V102" i="17"/>
  <c r="V103" i="17"/>
  <c r="V104" i="17"/>
  <c r="V105" i="17"/>
  <c r="V106" i="17"/>
  <c r="V107" i="17"/>
  <c r="V108" i="17"/>
  <c r="V109" i="17"/>
  <c r="V110" i="17"/>
  <c r="V111" i="17"/>
  <c r="V112" i="17"/>
  <c r="V113" i="17"/>
  <c r="V114" i="17"/>
  <c r="V115" i="17"/>
  <c r="V116" i="17"/>
  <c r="V117" i="17"/>
  <c r="V118" i="17"/>
  <c r="V119" i="17"/>
  <c r="V120" i="17"/>
  <c r="V121" i="17"/>
  <c r="V122" i="17"/>
  <c r="V123" i="17"/>
  <c r="V124" i="17"/>
  <c r="V125" i="17"/>
  <c r="V126" i="17"/>
  <c r="V127" i="17"/>
  <c r="V128" i="17"/>
  <c r="V129" i="17"/>
  <c r="V130" i="17"/>
  <c r="V131" i="17"/>
  <c r="V132" i="17"/>
  <c r="V133" i="17"/>
  <c r="V134" i="17"/>
  <c r="V135" i="17"/>
  <c r="V136" i="17"/>
  <c r="V137" i="17"/>
  <c r="V138" i="17"/>
  <c r="V139" i="17"/>
  <c r="V140" i="17"/>
  <c r="V141" i="17"/>
  <c r="V142" i="17"/>
  <c r="V143" i="17"/>
  <c r="V144" i="17"/>
  <c r="V145" i="17"/>
  <c r="V146" i="17"/>
  <c r="V147" i="17"/>
  <c r="V148" i="17"/>
  <c r="V149" i="17"/>
  <c r="V150" i="17"/>
  <c r="V151" i="17"/>
  <c r="V152" i="17"/>
  <c r="V153" i="17"/>
  <c r="V154" i="17"/>
  <c r="V155" i="17"/>
  <c r="V156" i="17"/>
  <c r="V157" i="17"/>
  <c r="V158" i="17"/>
  <c r="V159" i="17"/>
  <c r="V160" i="17"/>
  <c r="V161" i="17"/>
  <c r="V162" i="17"/>
  <c r="V163" i="17"/>
  <c r="V164" i="17"/>
  <c r="V165" i="17"/>
  <c r="V166" i="17"/>
  <c r="V167" i="17"/>
  <c r="V168" i="17"/>
  <c r="V169" i="17"/>
  <c r="V170" i="17"/>
  <c r="V171" i="17"/>
  <c r="V172" i="17"/>
  <c r="V173" i="17"/>
  <c r="V174" i="17"/>
  <c r="V175" i="17"/>
  <c r="V176" i="17"/>
  <c r="V177" i="17"/>
  <c r="V178" i="17"/>
  <c r="V179" i="17"/>
  <c r="V180" i="17"/>
  <c r="V181" i="17"/>
  <c r="V182" i="17"/>
  <c r="V183" i="17"/>
  <c r="V184" i="17"/>
  <c r="V185" i="17"/>
  <c r="V186" i="17"/>
  <c r="V187" i="17"/>
  <c r="V188" i="17"/>
  <c r="V189" i="17"/>
  <c r="V190" i="17"/>
  <c r="V191" i="17"/>
  <c r="V192" i="17"/>
  <c r="V193" i="17"/>
  <c r="V194" i="17"/>
  <c r="V195" i="17"/>
  <c r="V196" i="17"/>
  <c r="V197" i="17"/>
  <c r="V198" i="17"/>
  <c r="V199" i="17"/>
  <c r="V200" i="17"/>
  <c r="V201" i="17"/>
  <c r="V202" i="17"/>
  <c r="V203" i="17"/>
  <c r="V204" i="17"/>
  <c r="V205" i="17"/>
  <c r="V206" i="17"/>
  <c r="V207" i="17"/>
  <c r="V208" i="17"/>
  <c r="V209" i="17"/>
  <c r="V210" i="17"/>
  <c r="V211" i="17"/>
  <c r="V212" i="17"/>
  <c r="V213" i="17"/>
  <c r="V214" i="17"/>
  <c r="V215" i="17"/>
  <c r="V216" i="17"/>
  <c r="V217" i="17"/>
  <c r="V218" i="17"/>
  <c r="V219" i="17"/>
  <c r="V220" i="17"/>
  <c r="V221" i="17"/>
  <c r="V222" i="17"/>
  <c r="V223" i="17"/>
  <c r="V224" i="17"/>
  <c r="V225" i="17"/>
  <c r="V226" i="17"/>
  <c r="V227" i="17"/>
  <c r="V228" i="17"/>
  <c r="V229" i="17"/>
  <c r="V230" i="17"/>
  <c r="V231" i="17"/>
  <c r="V232" i="17"/>
  <c r="V233" i="17"/>
  <c r="V234" i="17"/>
  <c r="V235" i="17"/>
  <c r="V236" i="17"/>
  <c r="V237" i="17"/>
  <c r="V238" i="17"/>
  <c r="V239" i="17"/>
  <c r="V240" i="17"/>
  <c r="V241" i="17"/>
  <c r="V242" i="17"/>
  <c r="V243" i="17"/>
  <c r="V244" i="17"/>
  <c r="V245" i="17"/>
  <c r="V246" i="17"/>
  <c r="V247" i="17"/>
  <c r="V248" i="17"/>
  <c r="V249" i="17"/>
  <c r="V250" i="17"/>
  <c r="V251" i="17"/>
  <c r="V252" i="17"/>
  <c r="V253" i="17"/>
  <c r="V254" i="17"/>
  <c r="V255" i="17"/>
  <c r="V256" i="17"/>
  <c r="V257" i="17"/>
  <c r="V258" i="17"/>
  <c r="V259" i="17"/>
  <c r="V260" i="17"/>
  <c r="V261" i="17"/>
  <c r="V262" i="17"/>
  <c r="V263" i="17"/>
  <c r="V264" i="17"/>
  <c r="V265" i="17"/>
  <c r="V266" i="17"/>
  <c r="V267" i="17"/>
  <c r="V268" i="17"/>
  <c r="V269" i="17"/>
  <c r="V270" i="17"/>
  <c r="V271" i="17"/>
  <c r="V272" i="17"/>
  <c r="V273" i="17"/>
  <c r="V274" i="17"/>
  <c r="V275" i="17"/>
  <c r="V276" i="17"/>
  <c r="V277" i="17"/>
  <c r="V278" i="17"/>
  <c r="V279" i="17"/>
  <c r="V280" i="17"/>
  <c r="V281" i="17"/>
  <c r="V282" i="17"/>
  <c r="V283" i="17"/>
  <c r="V284" i="17"/>
  <c r="V285" i="17"/>
  <c r="V286" i="17"/>
  <c r="V287" i="17"/>
  <c r="V288" i="17"/>
  <c r="V289" i="17"/>
  <c r="V290" i="17"/>
  <c r="V291" i="17"/>
  <c r="V292" i="17"/>
  <c r="V293" i="17"/>
  <c r="V294" i="17"/>
  <c r="V295" i="17"/>
  <c r="V296" i="17"/>
  <c r="V297" i="17"/>
  <c r="V298" i="17"/>
  <c r="V299" i="17"/>
  <c r="V300" i="17"/>
  <c r="V301" i="17"/>
  <c r="V302" i="17"/>
  <c r="V303" i="17"/>
  <c r="V304" i="17"/>
  <c r="V305" i="17"/>
  <c r="V306" i="17"/>
  <c r="V307" i="17"/>
  <c r="V308" i="17"/>
  <c r="V309" i="17"/>
  <c r="V310" i="17"/>
  <c r="V311" i="17"/>
  <c r="V312" i="17"/>
  <c r="V313" i="17"/>
  <c r="V314" i="17"/>
  <c r="V315" i="17"/>
  <c r="V316" i="17"/>
  <c r="V317" i="17"/>
  <c r="V318" i="17"/>
  <c r="V319" i="17"/>
  <c r="V320" i="17"/>
  <c r="V321" i="17"/>
  <c r="V322" i="17"/>
  <c r="V323" i="17"/>
  <c r="V324" i="17"/>
  <c r="V325" i="17"/>
  <c r="V326" i="17"/>
  <c r="V327" i="17"/>
  <c r="V328" i="17"/>
  <c r="V329" i="17"/>
  <c r="V330" i="17"/>
  <c r="V331" i="17"/>
  <c r="V332" i="17"/>
  <c r="V333" i="17"/>
  <c r="V334" i="17"/>
  <c r="V2" i="17"/>
  <c r="C27" i="15"/>
  <c r="D27" i="15" s="1"/>
  <c r="D29" i="15" s="1"/>
  <c r="C38" i="15"/>
  <c r="C4" i="15"/>
  <c r="C22" i="15"/>
  <c r="F3" i="16"/>
  <c r="E27" i="15"/>
  <c r="S9" i="9" l="1" a="1"/>
  <c r="S9" i="9" s="1"/>
  <c r="U9" i="9" s="1"/>
  <c r="S8" i="9" a="1"/>
  <c r="S8" i="9" s="1"/>
  <c r="U8" i="9" s="1"/>
  <c r="S7" i="9" a="1"/>
  <c r="S7" i="9" s="1"/>
  <c r="V7" i="9" s="1"/>
  <c r="S6" i="9" a="1"/>
  <c r="S6" i="9" s="1"/>
  <c r="V6" i="9" s="1"/>
  <c r="S5" i="9" a="1"/>
  <c r="S5" i="9" s="1"/>
  <c r="U5" i="9" s="1"/>
  <c r="S4" i="9" a="1"/>
  <c r="S4" i="9" s="1"/>
  <c r="V4" i="9" s="1"/>
  <c r="S3" i="9" a="1"/>
  <c r="S3" i="9" s="1"/>
  <c r="V3" i="9" s="1"/>
  <c r="S2" i="9" a="1"/>
  <c r="S2" i="9" s="1"/>
  <c r="U2" i="9" s="1"/>
  <c r="AG350" i="17"/>
  <c r="AB281" i="17"/>
  <c r="AB221" i="17"/>
  <c r="AB161" i="17"/>
  <c r="AB89" i="17"/>
  <c r="AB41" i="17"/>
  <c r="AB5" i="17"/>
  <c r="AB293" i="17"/>
  <c r="AB233" i="17"/>
  <c r="AB173" i="17"/>
  <c r="AB113" i="17"/>
  <c r="AB65" i="17"/>
  <c r="AB17" i="17"/>
  <c r="AB329" i="17"/>
  <c r="AB269" i="17"/>
  <c r="AB209" i="17"/>
  <c r="AB149" i="17"/>
  <c r="AB101" i="17"/>
  <c r="AB53" i="17"/>
  <c r="AB29" i="17"/>
  <c r="AB305" i="17"/>
  <c r="AB245" i="17"/>
  <c r="AB185" i="17"/>
  <c r="AB125" i="17"/>
  <c r="AB317" i="17"/>
  <c r="AB257" i="17"/>
  <c r="AB197" i="17"/>
  <c r="AB137" i="17"/>
  <c r="AB77" i="17"/>
  <c r="AB87" i="17"/>
  <c r="AB51" i="17"/>
  <c r="AB3" i="17"/>
  <c r="AB99" i="17"/>
  <c r="AB39" i="17"/>
  <c r="AB75" i="17"/>
  <c r="AB27" i="17"/>
  <c r="AA2" i="17"/>
  <c r="AB111" i="17"/>
  <c r="AB63" i="17"/>
  <c r="AB15" i="17"/>
  <c r="AB322" i="17"/>
  <c r="AB226" i="17"/>
  <c r="AB286" i="17"/>
  <c r="AB190" i="17"/>
  <c r="AB250" i="17"/>
  <c r="AB334" i="17"/>
  <c r="AB238" i="17"/>
  <c r="AB262" i="17"/>
  <c r="AB178" i="17"/>
  <c r="AB323" i="17"/>
  <c r="AB311" i="17"/>
  <c r="AB299" i="17"/>
  <c r="AB287" i="17"/>
  <c r="AB275" i="17"/>
  <c r="AB263" i="17"/>
  <c r="AB251" i="17"/>
  <c r="AB239" i="17"/>
  <c r="AB227" i="17"/>
  <c r="AB215" i="17"/>
  <c r="AB203" i="17"/>
  <c r="AB191" i="17"/>
  <c r="AB179" i="17"/>
  <c r="AB167" i="17"/>
  <c r="AB155" i="17"/>
  <c r="AB143" i="17"/>
  <c r="AB131" i="17"/>
  <c r="AB119" i="17"/>
  <c r="AB107" i="17"/>
  <c r="AB95" i="17"/>
  <c r="AB83" i="17"/>
  <c r="AB71" i="17"/>
  <c r="AB59" i="17"/>
  <c r="AB47" i="17"/>
  <c r="AB35" i="17"/>
  <c r="AB23" i="17"/>
  <c r="AB11" i="17"/>
  <c r="AB298" i="17"/>
  <c r="AB202" i="17"/>
  <c r="AB154" i="17"/>
  <c r="AB142" i="17"/>
  <c r="AB130" i="17"/>
  <c r="AB118" i="17"/>
  <c r="AB106" i="17"/>
  <c r="AB94" i="17"/>
  <c r="AB82" i="17"/>
  <c r="AB70" i="17"/>
  <c r="AB58" i="17"/>
  <c r="AB46" i="17"/>
  <c r="AB34" i="17"/>
  <c r="AB22" i="17"/>
  <c r="AB10" i="17"/>
  <c r="AA53" i="17"/>
  <c r="AA41" i="17"/>
  <c r="AA29" i="17"/>
  <c r="AA17" i="17"/>
  <c r="AA5" i="17"/>
  <c r="AB274" i="17"/>
  <c r="AB166" i="17"/>
  <c r="AB310" i="17"/>
  <c r="AB214" i="17"/>
  <c r="AB218" i="17"/>
  <c r="AB290" i="17"/>
  <c r="AB278" i="17"/>
  <c r="AB2" i="17"/>
  <c r="AB302" i="17"/>
  <c r="AB194" i="17"/>
  <c r="AB266" i="17"/>
  <c r="AB242" i="17"/>
  <c r="AB182" i="17"/>
  <c r="AB170" i="17"/>
  <c r="AB158" i="17"/>
  <c r="AB146" i="17"/>
  <c r="AB134" i="17"/>
  <c r="AB122" i="17"/>
  <c r="AB110" i="17"/>
  <c r="AB98" i="17"/>
  <c r="AB86" i="17"/>
  <c r="AB74" i="17"/>
  <c r="AB62" i="17"/>
  <c r="AB50" i="17"/>
  <c r="AB38" i="17"/>
  <c r="AB26" i="17"/>
  <c r="AB14" i="17"/>
  <c r="AB314" i="17"/>
  <c r="AA80" i="17"/>
  <c r="AA20" i="17"/>
  <c r="AB254" i="17"/>
  <c r="AB230" i="17"/>
  <c r="AB326" i="17"/>
  <c r="AB206" i="17"/>
  <c r="AB327" i="17"/>
  <c r="AB315" i="17"/>
  <c r="AB303" i="17"/>
  <c r="AB291" i="17"/>
  <c r="AB279" i="17"/>
  <c r="AB267" i="17"/>
  <c r="AB255" i="17"/>
  <c r="AB243" i="17"/>
  <c r="AB231" i="17"/>
  <c r="AB219" i="17"/>
  <c r="AB207" i="17"/>
  <c r="AB195" i="17"/>
  <c r="AB183" i="17"/>
  <c r="AB171" i="17"/>
  <c r="AB159" i="17"/>
  <c r="AB147" i="17"/>
  <c r="AB135" i="17"/>
  <c r="AB123" i="17"/>
  <c r="AB331" i="17"/>
  <c r="AB333" i="17"/>
  <c r="AB321" i="17"/>
  <c r="AB309" i="17"/>
  <c r="AB297" i="17"/>
  <c r="AB285" i="17"/>
  <c r="AB273" i="17"/>
  <c r="AB261" i="17"/>
  <c r="AB249" i="17"/>
  <c r="AB237" i="17"/>
  <c r="AB225" i="17"/>
  <c r="AB213" i="17"/>
  <c r="AB201" i="17"/>
  <c r="AB189" i="17"/>
  <c r="AB177" i="17"/>
  <c r="AB165" i="17"/>
  <c r="AB153" i="17"/>
  <c r="AB141" i="17"/>
  <c r="AB129" i="17"/>
  <c r="AB117" i="17"/>
  <c r="AB105" i="17"/>
  <c r="AB93" i="17"/>
  <c r="AB81" i="17"/>
  <c r="AB69" i="17"/>
  <c r="AB330" i="17"/>
  <c r="AB57" i="17"/>
  <c r="AB45" i="17"/>
  <c r="AB33" i="17"/>
  <c r="AB21" i="17"/>
  <c r="AB9" i="17"/>
  <c r="AB319" i="17"/>
  <c r="AB307" i="17"/>
  <c r="AB295" i="17"/>
  <c r="AB283" i="17"/>
  <c r="AB271" i="17"/>
  <c r="AB259" i="17"/>
  <c r="AB247" i="17"/>
  <c r="AB235" i="17"/>
  <c r="AB223" i="17"/>
  <c r="AB211" i="17"/>
  <c r="AB199" i="17"/>
  <c r="AB187" i="17"/>
  <c r="AB175" i="17"/>
  <c r="AB163" i="17"/>
  <c r="AB151" i="17"/>
  <c r="AB139" i="17"/>
  <c r="AB127" i="17"/>
  <c r="AB115" i="17"/>
  <c r="AB103" i="17"/>
  <c r="AB91" i="17"/>
  <c r="AB79" i="17"/>
  <c r="AB67" i="17"/>
  <c r="AB55" i="17"/>
  <c r="AB43" i="17"/>
  <c r="AB31" i="17"/>
  <c r="AB19" i="17"/>
  <c r="AB7" i="17"/>
  <c r="AB318" i="17"/>
  <c r="AB306" i="17"/>
  <c r="AB294" i="17"/>
  <c r="AB282" i="17"/>
  <c r="AB270" i="17"/>
  <c r="AB258" i="17"/>
  <c r="AB246" i="17"/>
  <c r="AB234" i="17"/>
  <c r="AB222" i="17"/>
  <c r="AB210" i="17"/>
  <c r="AB198" i="17"/>
  <c r="AB186" i="17"/>
  <c r="AB174" i="17"/>
  <c r="AB162" i="17"/>
  <c r="AB150" i="17"/>
  <c r="AB138" i="17"/>
  <c r="AB126" i="17"/>
  <c r="AB114" i="17"/>
  <c r="AB102" i="17"/>
  <c r="AB90" i="17"/>
  <c r="AB78" i="17"/>
  <c r="AB66" i="17"/>
  <c r="AB54" i="17"/>
  <c r="AB42" i="17"/>
  <c r="AB30" i="17"/>
  <c r="AB18" i="17"/>
  <c r="AB6" i="17"/>
  <c r="AA325" i="17"/>
  <c r="AA313" i="17"/>
  <c r="AA301" i="17"/>
  <c r="AA289" i="17"/>
  <c r="AA277" i="17"/>
  <c r="AA265" i="17"/>
  <c r="AA253" i="17"/>
  <c r="AA241" i="17"/>
  <c r="AA229" i="17"/>
  <c r="AA217" i="17"/>
  <c r="AA205" i="17"/>
  <c r="AA193" i="17"/>
  <c r="AA181" i="17"/>
  <c r="AA169" i="17"/>
  <c r="AA157" i="17"/>
  <c r="AA145" i="17"/>
  <c r="AA133" i="17"/>
  <c r="AA121" i="17"/>
  <c r="AA109" i="17"/>
  <c r="AA97" i="17"/>
  <c r="AA85" i="17"/>
  <c r="AA73" i="17"/>
  <c r="AA61" i="17"/>
  <c r="AA49" i="17"/>
  <c r="AA156" i="17"/>
  <c r="AA144" i="17"/>
  <c r="AA132" i="17"/>
  <c r="AA120" i="17"/>
  <c r="AA108" i="17"/>
  <c r="AA96" i="17"/>
  <c r="AA84" i="17"/>
  <c r="AA72" i="17"/>
  <c r="AA60" i="17"/>
  <c r="AA48" i="17"/>
  <c r="AA36" i="17"/>
  <c r="AA13" i="17"/>
  <c r="AA24" i="17"/>
  <c r="AA12" i="17"/>
  <c r="AB308" i="17"/>
  <c r="AB260" i="17"/>
  <c r="AB248" i="17"/>
  <c r="AB236" i="17"/>
  <c r="AB224" i="17"/>
  <c r="AB212" i="17"/>
  <c r="AB200" i="17"/>
  <c r="AB188" i="17"/>
  <c r="AB176" i="17"/>
  <c r="AB164" i="17"/>
  <c r="AB152" i="17"/>
  <c r="AB140" i="17"/>
  <c r="AB128" i="17"/>
  <c r="AB116" i="17"/>
  <c r="AB104" i="17"/>
  <c r="AB92" i="17"/>
  <c r="AB80" i="17"/>
  <c r="AB68" i="17"/>
  <c r="AB56" i="17"/>
  <c r="AB44" i="17"/>
  <c r="AB32" i="17"/>
  <c r="AB20" i="17"/>
  <c r="AB8" i="17"/>
  <c r="AB296" i="17"/>
  <c r="AB332" i="17"/>
  <c r="AB272" i="17"/>
  <c r="AB320" i="17"/>
  <c r="AB328" i="17"/>
  <c r="AB316" i="17"/>
  <c r="AB304" i="17"/>
  <c r="AB292" i="17"/>
  <c r="AB280" i="17"/>
  <c r="AB268" i="17"/>
  <c r="AB256" i="17"/>
  <c r="AB244" i="17"/>
  <c r="AB232" i="17"/>
  <c r="AB220" i="17"/>
  <c r="AB208" i="17"/>
  <c r="AB196" i="17"/>
  <c r="AB184" i="17"/>
  <c r="AB172" i="17"/>
  <c r="AB160" i="17"/>
  <c r="AB148" i="17"/>
  <c r="AB136" i="17"/>
  <c r="AB124" i="17"/>
  <c r="AB112" i="17"/>
  <c r="AB100" i="17"/>
  <c r="AB88" i="17"/>
  <c r="AB76" i="17"/>
  <c r="AB64" i="17"/>
  <c r="AB52" i="17"/>
  <c r="AB40" i="17"/>
  <c r="AB28" i="17"/>
  <c r="AB16" i="17"/>
  <c r="AB4" i="17"/>
  <c r="AB284" i="17"/>
  <c r="AB325" i="17"/>
  <c r="AB313" i="17"/>
  <c r="AB301" i="17"/>
  <c r="AB289" i="17"/>
  <c r="AB277" i="17"/>
  <c r="AB265" i="17"/>
  <c r="AB253" i="17"/>
  <c r="AB241" i="17"/>
  <c r="AB229" i="17"/>
  <c r="AB217" i="17"/>
  <c r="AB205" i="17"/>
  <c r="AB193" i="17"/>
  <c r="AB181" i="17"/>
  <c r="AB169" i="17"/>
  <c r="AB157" i="17"/>
  <c r="AB145" i="17"/>
  <c r="AB133" i="17"/>
  <c r="AB121" i="17"/>
  <c r="AB109" i="17"/>
  <c r="AB97" i="17"/>
  <c r="AB85" i="17"/>
  <c r="AB73" i="17"/>
  <c r="AB61" i="17"/>
  <c r="AB49" i="17"/>
  <c r="AB37" i="17"/>
  <c r="AB25" i="17"/>
  <c r="AB13" i="17"/>
  <c r="AA324" i="17"/>
  <c r="AA312" i="17"/>
  <c r="AA300" i="17"/>
  <c r="AA288" i="17"/>
  <c r="AA276" i="17"/>
  <c r="AA264" i="17"/>
  <c r="AA252" i="17"/>
  <c r="AA240" i="17"/>
  <c r="AA228" i="17"/>
  <c r="AA216" i="17"/>
  <c r="AA204" i="17"/>
  <c r="AA192" i="17"/>
  <c r="AA180" i="17"/>
  <c r="AA168" i="17"/>
  <c r="AA323" i="17"/>
  <c r="AA311" i="17"/>
  <c r="AA299" i="17"/>
  <c r="AA287" i="17"/>
  <c r="AA275" i="17"/>
  <c r="AA263" i="17"/>
  <c r="AA251" i="17"/>
  <c r="AA239" i="17"/>
  <c r="AA227" i="17"/>
  <c r="AA215" i="17"/>
  <c r="AA203" i="17"/>
  <c r="AA191" i="17"/>
  <c r="AA179" i="17"/>
  <c r="AA167" i="17"/>
  <c r="AA155" i="17"/>
  <c r="AA334" i="17"/>
  <c r="AA322" i="17"/>
  <c r="AA310" i="17"/>
  <c r="AA298" i="17"/>
  <c r="AA286" i="17"/>
  <c r="AA274" i="17"/>
  <c r="AA262" i="17"/>
  <c r="AA250" i="17"/>
  <c r="AA238" i="17"/>
  <c r="AA226" i="17"/>
  <c r="AA214" i="17"/>
  <c r="AA202" i="17"/>
  <c r="AA190" i="17"/>
  <c r="AA178" i="17"/>
  <c r="AA166" i="17"/>
  <c r="AA154" i="17"/>
  <c r="AA142" i="17"/>
  <c r="AA130" i="17"/>
  <c r="AA118" i="17"/>
  <c r="AA106" i="17"/>
  <c r="AA333" i="17"/>
  <c r="AA321" i="17"/>
  <c r="AA309" i="17"/>
  <c r="AA297" i="17"/>
  <c r="AA285" i="17"/>
  <c r="AA273" i="17"/>
  <c r="AA261" i="17"/>
  <c r="AA249" i="17"/>
  <c r="AA237" i="17"/>
  <c r="AA225" i="17"/>
  <c r="AA213" i="17"/>
  <c r="AA201" i="17"/>
  <c r="AA189" i="17"/>
  <c r="AA177" i="17"/>
  <c r="AA165" i="17"/>
  <c r="AA153" i="17"/>
  <c r="AA332" i="17"/>
  <c r="AA320" i="17"/>
  <c r="AA308" i="17"/>
  <c r="AA296" i="17"/>
  <c r="AA284" i="17"/>
  <c r="AA272" i="17"/>
  <c r="AA260" i="17"/>
  <c r="AA248" i="17"/>
  <c r="AA236" i="17"/>
  <c r="AA224" i="17"/>
  <c r="AA212" i="17"/>
  <c r="AA200" i="17"/>
  <c r="AA188" i="17"/>
  <c r="AA176" i="17"/>
  <c r="AA164" i="17"/>
  <c r="AA152" i="17"/>
  <c r="AA140" i="17"/>
  <c r="AA128" i="17"/>
  <c r="AA116" i="17"/>
  <c r="AA104" i="17"/>
  <c r="AA92" i="17"/>
  <c r="AA68" i="17"/>
  <c r="AA56" i="17"/>
  <c r="AA44" i="17"/>
  <c r="AA32" i="17"/>
  <c r="AA8" i="17"/>
  <c r="AA331" i="17"/>
  <c r="AA319" i="17"/>
  <c r="AA307" i="17"/>
  <c r="AA295" i="17"/>
  <c r="AA283" i="17"/>
  <c r="AA271" i="17"/>
  <c r="AA259" i="17"/>
  <c r="AA247" i="17"/>
  <c r="AA235" i="17"/>
  <c r="AA223" i="17"/>
  <c r="AA211" i="17"/>
  <c r="AA199" i="17"/>
  <c r="AA187" i="17"/>
  <c r="AA175" i="17"/>
  <c r="AA163" i="17"/>
  <c r="AA151" i="17"/>
  <c r="AA330" i="17"/>
  <c r="AA318" i="17"/>
  <c r="AA306" i="17"/>
  <c r="AA294" i="17"/>
  <c r="AA282" i="17"/>
  <c r="AA270" i="17"/>
  <c r="AA258" i="17"/>
  <c r="AA246" i="17"/>
  <c r="AA234" i="17"/>
  <c r="AA222" i="17"/>
  <c r="AA210" i="17"/>
  <c r="AA198" i="17"/>
  <c r="AA186" i="17"/>
  <c r="AA174" i="17"/>
  <c r="AA162" i="17"/>
  <c r="AA150" i="17"/>
  <c r="AA329" i="17"/>
  <c r="AA317" i="17"/>
  <c r="AA305" i="17"/>
  <c r="AA293" i="17"/>
  <c r="AA281" i="17"/>
  <c r="AA269" i="17"/>
  <c r="AA257" i="17"/>
  <c r="AA245" i="17"/>
  <c r="AA233" i="17"/>
  <c r="AA221" i="17"/>
  <c r="AA209" i="17"/>
  <c r="AA197" i="17"/>
  <c r="AA185" i="17"/>
  <c r="AA173" i="17"/>
  <c r="AA161" i="17"/>
  <c r="AA149" i="17"/>
  <c r="AA137" i="17"/>
  <c r="AA125" i="17"/>
  <c r="AA113" i="17"/>
  <c r="AA101" i="17"/>
  <c r="AA89" i="17"/>
  <c r="AA77" i="17"/>
  <c r="AA65" i="17"/>
  <c r="AA328" i="17"/>
  <c r="AA316" i="17"/>
  <c r="AA304" i="17"/>
  <c r="AA292" i="17"/>
  <c r="AA280" i="17"/>
  <c r="AA268" i="17"/>
  <c r="AA256" i="17"/>
  <c r="AA244" i="17"/>
  <c r="AA232" i="17"/>
  <c r="AA220" i="17"/>
  <c r="AA208" i="17"/>
  <c r="AA196" i="17"/>
  <c r="AA184" i="17"/>
  <c r="AA172" i="17"/>
  <c r="AA160" i="17"/>
  <c r="AA148" i="17"/>
  <c r="AA136" i="17"/>
  <c r="AA124" i="17"/>
  <c r="AA112" i="17"/>
  <c r="AA100" i="17"/>
  <c r="AA327" i="17"/>
  <c r="AA315" i="17"/>
  <c r="AA303" i="17"/>
  <c r="AA291" i="17"/>
  <c r="AA279" i="17"/>
  <c r="AA267" i="17"/>
  <c r="AA255" i="17"/>
  <c r="AA243" i="17"/>
  <c r="AA231" i="17"/>
  <c r="AA219" i="17"/>
  <c r="AA207" i="17"/>
  <c r="AA195" i="17"/>
  <c r="AA183" i="17"/>
  <c r="AA171" i="17"/>
  <c r="AA159" i="17"/>
  <c r="AA147" i="17"/>
  <c r="AA135" i="17"/>
  <c r="AA123" i="17"/>
  <c r="AA326" i="17"/>
  <c r="AA314" i="17"/>
  <c r="AA302" i="17"/>
  <c r="AA290" i="17"/>
  <c r="AA278" i="17"/>
  <c r="AA266" i="17"/>
  <c r="AA254" i="17"/>
  <c r="AA242" i="17"/>
  <c r="AA230" i="17"/>
  <c r="AA218" i="17"/>
  <c r="AA206" i="17"/>
  <c r="AA194" i="17"/>
  <c r="AA182" i="17"/>
  <c r="AA170" i="17"/>
  <c r="AA158" i="17"/>
  <c r="AA146" i="17"/>
  <c r="AA134" i="17"/>
  <c r="AA122" i="17"/>
  <c r="AA110" i="17"/>
  <c r="AB324" i="17"/>
  <c r="AB312" i="17"/>
  <c r="AB300" i="17"/>
  <c r="AB288" i="17"/>
  <c r="AB276" i="17"/>
  <c r="AB264" i="17"/>
  <c r="AB252" i="17"/>
  <c r="AB240" i="17"/>
  <c r="AB228" i="17"/>
  <c r="AB216" i="17"/>
  <c r="AB204" i="17"/>
  <c r="AB192" i="17"/>
  <c r="AB180" i="17"/>
  <c r="AB168" i="17"/>
  <c r="AB156" i="17"/>
  <c r="AB144" i="17"/>
  <c r="AB132" i="17"/>
  <c r="AB120" i="17"/>
  <c r="AB108" i="17"/>
  <c r="AB96" i="17"/>
  <c r="AB84" i="17"/>
  <c r="AB72" i="17"/>
  <c r="AB60" i="17"/>
  <c r="AB48" i="17"/>
  <c r="AB36" i="17"/>
  <c r="AB24" i="17"/>
  <c r="AB12" i="17"/>
  <c r="AA37" i="17"/>
  <c r="AA25" i="17"/>
  <c r="AA94" i="17"/>
  <c r="AA82" i="17"/>
  <c r="AA70" i="17"/>
  <c r="AA58" i="17"/>
  <c r="AA46" i="17"/>
  <c r="AA34" i="17"/>
  <c r="AA22" i="17"/>
  <c r="AA10" i="17"/>
  <c r="AA141" i="17"/>
  <c r="AA129" i="17"/>
  <c r="AA117" i="17"/>
  <c r="AA105" i="17"/>
  <c r="AA93" i="17"/>
  <c r="AA81" i="17"/>
  <c r="AA69" i="17"/>
  <c r="AA57" i="17"/>
  <c r="AA45" i="17"/>
  <c r="AA33" i="17"/>
  <c r="AA21" i="17"/>
  <c r="AA9" i="17"/>
  <c r="AA139" i="17"/>
  <c r="AA127" i="17"/>
  <c r="AA115" i="17"/>
  <c r="AA103" i="17"/>
  <c r="AA91" i="17"/>
  <c r="AA79" i="17"/>
  <c r="AA67" i="17"/>
  <c r="AA55" i="17"/>
  <c r="AA43" i="17"/>
  <c r="AA31" i="17"/>
  <c r="AA19" i="17"/>
  <c r="AA7" i="17"/>
  <c r="AA138" i="17"/>
  <c r="AA126" i="17"/>
  <c r="AA114" i="17"/>
  <c r="AA102" i="17"/>
  <c r="AA90" i="17"/>
  <c r="AA78" i="17"/>
  <c r="AA66" i="17"/>
  <c r="AA54" i="17"/>
  <c r="AA42" i="17"/>
  <c r="AA30" i="17"/>
  <c r="AA18" i="17"/>
  <c r="AA6" i="17"/>
  <c r="AA88" i="17"/>
  <c r="AA76" i="17"/>
  <c r="AA64" i="17"/>
  <c r="AA52" i="17"/>
  <c r="AA40" i="17"/>
  <c r="AA28" i="17"/>
  <c r="W28" i="17" s="1"/>
  <c r="X28" i="17" s="1"/>
  <c r="Y28" i="17" s="1"/>
  <c r="AA16" i="17"/>
  <c r="AA4" i="17"/>
  <c r="AA111" i="17"/>
  <c r="AA99" i="17"/>
  <c r="AA87" i="17"/>
  <c r="AA75" i="17"/>
  <c r="AA63" i="17"/>
  <c r="AA51" i="17"/>
  <c r="AA39" i="17"/>
  <c r="AA27" i="17"/>
  <c r="AA15" i="17"/>
  <c r="AA3" i="17"/>
  <c r="AA98" i="17"/>
  <c r="AA86" i="17"/>
  <c r="AA74" i="17"/>
  <c r="AA62" i="17"/>
  <c r="AA50" i="17"/>
  <c r="AA38" i="17"/>
  <c r="AA26" i="17"/>
  <c r="AA14" i="17"/>
  <c r="AA143" i="17"/>
  <c r="AA131" i="17"/>
  <c r="AA119" i="17"/>
  <c r="AA107" i="17"/>
  <c r="AA95" i="17"/>
  <c r="AA83" i="17"/>
  <c r="AA71" i="17"/>
  <c r="AA59" i="17"/>
  <c r="AA47" i="17"/>
  <c r="AA35" i="17"/>
  <c r="AA23" i="17"/>
  <c r="AA11" i="17"/>
  <c r="AG498" i="17"/>
  <c r="AG44" i="17"/>
  <c r="AG418" i="17"/>
  <c r="AG366" i="17"/>
  <c r="AG174" i="17"/>
  <c r="AG42" i="17"/>
  <c r="AG326" i="17"/>
  <c r="AG211" i="17"/>
  <c r="AF235" i="17"/>
  <c r="AG33" i="17"/>
  <c r="AG105" i="17"/>
  <c r="AG330" i="17"/>
  <c r="AG130" i="17"/>
  <c r="AG379" i="17"/>
  <c r="AG322" i="17"/>
  <c r="AG369" i="17"/>
  <c r="AG142" i="17"/>
  <c r="AG202" i="17"/>
  <c r="AG494" i="17"/>
  <c r="AG357" i="17"/>
  <c r="AG129" i="17"/>
  <c r="AG367" i="17"/>
  <c r="AG489" i="17"/>
  <c r="AG298" i="17"/>
  <c r="AG286" i="17"/>
  <c r="AG81" i="17"/>
  <c r="AG451" i="17"/>
  <c r="AG278" i="17"/>
  <c r="AG198" i="17"/>
  <c r="AG190" i="17"/>
  <c r="AG46" i="17"/>
  <c r="AG62" i="17"/>
  <c r="AG500" i="17"/>
  <c r="AG320" i="17"/>
  <c r="AG224" i="17"/>
  <c r="AG452" i="17"/>
  <c r="AG32" i="17"/>
  <c r="AG284" i="17"/>
  <c r="AG20" i="17"/>
  <c r="AG128" i="17"/>
  <c r="AG236" i="17"/>
  <c r="AG9" i="17"/>
  <c r="AG470" i="17"/>
  <c r="AG302" i="17"/>
  <c r="AG206" i="17"/>
  <c r="AG134" i="17"/>
  <c r="AG122" i="17"/>
  <c r="AG14" i="17"/>
  <c r="AG164" i="17"/>
  <c r="AG19" i="17"/>
  <c r="AG308" i="17"/>
  <c r="AG222" i="17"/>
  <c r="AG499" i="17"/>
  <c r="AG392" i="17"/>
  <c r="AG261" i="17"/>
  <c r="AG282" i="17"/>
  <c r="AG476" i="17"/>
  <c r="AG307" i="17"/>
  <c r="AG406" i="17"/>
  <c r="AG382" i="17"/>
  <c r="AG346" i="17"/>
  <c r="AG82" i="17"/>
  <c r="AG210" i="17"/>
  <c r="AG321" i="17"/>
  <c r="AG343" i="17"/>
  <c r="AG462" i="17"/>
  <c r="AG114" i="17"/>
  <c r="AG94" i="17"/>
  <c r="AG405" i="17"/>
  <c r="AG223" i="17"/>
  <c r="AG45" i="17"/>
  <c r="AG426" i="17"/>
  <c r="AG358" i="17"/>
  <c r="AG189" i="17"/>
  <c r="AG104" i="17"/>
  <c r="AG55" i="17"/>
  <c r="AG310" i="17"/>
  <c r="AG285" i="17"/>
  <c r="AG30" i="17"/>
  <c r="AG417" i="17"/>
  <c r="AG187" i="17"/>
  <c r="AG103" i="17"/>
  <c r="AG416" i="17"/>
  <c r="AG93" i="17"/>
  <c r="AG154" i="17"/>
  <c r="AG102" i="17"/>
  <c r="AG477" i="17"/>
  <c r="AG393" i="17"/>
  <c r="AG333" i="17"/>
  <c r="AG248" i="17"/>
  <c r="AG163" i="17"/>
  <c r="AG79" i="17"/>
  <c r="AG355" i="17"/>
  <c r="AG6" i="17"/>
  <c r="AG262" i="17"/>
  <c r="AG68" i="17"/>
  <c r="AG297" i="17"/>
  <c r="AG368" i="17"/>
  <c r="AG178" i="17"/>
  <c r="AG212" i="17"/>
  <c r="AG440" i="17"/>
  <c r="AG56" i="17"/>
  <c r="AG428" i="17"/>
  <c r="AG332" i="17"/>
  <c r="AG247" i="17"/>
  <c r="AG150" i="17"/>
  <c r="AG78" i="17"/>
  <c r="AG249" i="17"/>
  <c r="AG464" i="17"/>
  <c r="AG391" i="17"/>
  <c r="AG70" i="17"/>
  <c r="AG478" i="17"/>
  <c r="AG334" i="17"/>
  <c r="AG442" i="17"/>
  <c r="AG463" i="17"/>
  <c r="AG138" i="17"/>
  <c r="AG58" i="17"/>
  <c r="AG18" i="17"/>
  <c r="AG501" i="17"/>
  <c r="AG390" i="17"/>
  <c r="AG331" i="17"/>
  <c r="AG246" i="17"/>
  <c r="AG69" i="17"/>
  <c r="AG43" i="17"/>
  <c r="AG434" i="17"/>
  <c r="AG410" i="17"/>
  <c r="AG266" i="17"/>
  <c r="AG182" i="17"/>
  <c r="AG158" i="17"/>
  <c r="AG146" i="17"/>
  <c r="AG98" i="17"/>
  <c r="AG38" i="17"/>
  <c r="AG474" i="17"/>
  <c r="AG441" i="17"/>
  <c r="AG415" i="17"/>
  <c r="AG356" i="17"/>
  <c r="AG271" i="17"/>
  <c r="AG238" i="17"/>
  <c r="AG186" i="17"/>
  <c r="AG153" i="17"/>
  <c r="AG127" i="17"/>
  <c r="AG8" i="17"/>
  <c r="AG475" i="17"/>
  <c r="AG272" i="17"/>
  <c r="AG213" i="17"/>
  <c r="AG446" i="17"/>
  <c r="AG422" i="17"/>
  <c r="AG386" i="17"/>
  <c r="AG362" i="17"/>
  <c r="AG290" i="17"/>
  <c r="AG242" i="17"/>
  <c r="AG218" i="17"/>
  <c r="AG74" i="17"/>
  <c r="AG466" i="17"/>
  <c r="AG414" i="17"/>
  <c r="AG381" i="17"/>
  <c r="AG296" i="17"/>
  <c r="AG270" i="17"/>
  <c r="AG237" i="17"/>
  <c r="AG152" i="17"/>
  <c r="AG126" i="17"/>
  <c r="AG67" i="17"/>
  <c r="AG34" i="17"/>
  <c r="AG7" i="17"/>
  <c r="AG465" i="17"/>
  <c r="AG439" i="17"/>
  <c r="AG380" i="17"/>
  <c r="AG354" i="17"/>
  <c r="AG295" i="17"/>
  <c r="AG177" i="17"/>
  <c r="AG151" i="17"/>
  <c r="AG118" i="17"/>
  <c r="AG92" i="17"/>
  <c r="AG66" i="17"/>
  <c r="AG188" i="17"/>
  <c r="AG294" i="17"/>
  <c r="AG235" i="17"/>
  <c r="AG117" i="17"/>
  <c r="AG430" i="17"/>
  <c r="AG404" i="17"/>
  <c r="AG378" i="17"/>
  <c r="AG345" i="17"/>
  <c r="AG319" i="17"/>
  <c r="AG260" i="17"/>
  <c r="AG234" i="17"/>
  <c r="AG201" i="17"/>
  <c r="AG175" i="17"/>
  <c r="AG116" i="17"/>
  <c r="AG90" i="17"/>
  <c r="AG57" i="17"/>
  <c r="AG31" i="17"/>
  <c r="AG306" i="17"/>
  <c r="AG490" i="17"/>
  <c r="AG488" i="17"/>
  <c r="AG429" i="17"/>
  <c r="AG403" i="17"/>
  <c r="AG370" i="17"/>
  <c r="AG344" i="17"/>
  <c r="AG318" i="17"/>
  <c r="AG259" i="17"/>
  <c r="AG226" i="17"/>
  <c r="AG200" i="17"/>
  <c r="AG141" i="17"/>
  <c r="AG115" i="17"/>
  <c r="AG274" i="17"/>
  <c r="AG162" i="17"/>
  <c r="AG438" i="17"/>
  <c r="AG91" i="17"/>
  <c r="AG487" i="17"/>
  <c r="AG454" i="17"/>
  <c r="AG402" i="17"/>
  <c r="AG258" i="17"/>
  <c r="AG225" i="17"/>
  <c r="AG199" i="17"/>
  <c r="AG166" i="17"/>
  <c r="AG140" i="17"/>
  <c r="AG22" i="17"/>
  <c r="AG273" i="17"/>
  <c r="AG214" i="17"/>
  <c r="AG176" i="17"/>
  <c r="AF487" i="17"/>
  <c r="AG486" i="17"/>
  <c r="AG453" i="17"/>
  <c r="AG427" i="17"/>
  <c r="AG394" i="17"/>
  <c r="AG342" i="17"/>
  <c r="AG309" i="17"/>
  <c r="AG283" i="17"/>
  <c r="AG250" i="17"/>
  <c r="AG165" i="17"/>
  <c r="AG139" i="17"/>
  <c r="AG106" i="17"/>
  <c r="AG80" i="17"/>
  <c r="AG54" i="17"/>
  <c r="AG21" i="17"/>
  <c r="AG12" i="17"/>
  <c r="AG4" i="17"/>
  <c r="AG497" i="17"/>
  <c r="AG485" i="17"/>
  <c r="AG473" i="17"/>
  <c r="AG461" i="17"/>
  <c r="AG449" i="17"/>
  <c r="AG437" i="17"/>
  <c r="AG425" i="17"/>
  <c r="AG413" i="17"/>
  <c r="AG401" i="17"/>
  <c r="AG389" i="17"/>
  <c r="AG377" i="17"/>
  <c r="AG365" i="17"/>
  <c r="AG353" i="17"/>
  <c r="AG341" i="17"/>
  <c r="AG329" i="17"/>
  <c r="AG317" i="17"/>
  <c r="AG305" i="17"/>
  <c r="AG293" i="17"/>
  <c r="AG281" i="17"/>
  <c r="AG269" i="17"/>
  <c r="AG257" i="17"/>
  <c r="AG245" i="17"/>
  <c r="AG233" i="17"/>
  <c r="AG221" i="17"/>
  <c r="AG209" i="17"/>
  <c r="AG197" i="17"/>
  <c r="AG185" i="17"/>
  <c r="AG173" i="17"/>
  <c r="AG161" i="17"/>
  <c r="AG149" i="17"/>
  <c r="AG137" i="17"/>
  <c r="AG125" i="17"/>
  <c r="AG113" i="17"/>
  <c r="AG101" i="17"/>
  <c r="AG89" i="17"/>
  <c r="AG77" i="17"/>
  <c r="AG65" i="17"/>
  <c r="AG53" i="17"/>
  <c r="AG41" i="17"/>
  <c r="AG29" i="17"/>
  <c r="AG17" i="17"/>
  <c r="AG3" i="17"/>
  <c r="AG496" i="17"/>
  <c r="AG484" i="17"/>
  <c r="AG472" i="17"/>
  <c r="AG460" i="17"/>
  <c r="AG448" i="17"/>
  <c r="AG436" i="17"/>
  <c r="AG424" i="17"/>
  <c r="AG412" i="17"/>
  <c r="AG400" i="17"/>
  <c r="AG388" i="17"/>
  <c r="AG376" i="17"/>
  <c r="AG364" i="17"/>
  <c r="AG352" i="17"/>
  <c r="AG340" i="17"/>
  <c r="AG328" i="17"/>
  <c r="AG316" i="17"/>
  <c r="AG304" i="17"/>
  <c r="AG292" i="17"/>
  <c r="AG280" i="17"/>
  <c r="AG268" i="17"/>
  <c r="AG256" i="17"/>
  <c r="AG244" i="17"/>
  <c r="AG232" i="17"/>
  <c r="AG220" i="17"/>
  <c r="AG208" i="17"/>
  <c r="AG196" i="17"/>
  <c r="AG184" i="17"/>
  <c r="AG172" i="17"/>
  <c r="AG160" i="17"/>
  <c r="AG148" i="17"/>
  <c r="AG136" i="17"/>
  <c r="AG124" i="17"/>
  <c r="AG112" i="17"/>
  <c r="AG100" i="17"/>
  <c r="AG88" i="17"/>
  <c r="AG76" i="17"/>
  <c r="AG64" i="17"/>
  <c r="AG52" i="17"/>
  <c r="AG40" i="17"/>
  <c r="AG28" i="17"/>
  <c r="AG16" i="17"/>
  <c r="AG2" i="17"/>
  <c r="AG13" i="17"/>
  <c r="AF107" i="17"/>
  <c r="AG495" i="17"/>
  <c r="AG483" i="17"/>
  <c r="AG471" i="17"/>
  <c r="AG459" i="17"/>
  <c r="AG447" i="17"/>
  <c r="AG435" i="17"/>
  <c r="AG423" i="17"/>
  <c r="AG411" i="17"/>
  <c r="AG399" i="17"/>
  <c r="AG387" i="17"/>
  <c r="AG375" i="17"/>
  <c r="AG363" i="17"/>
  <c r="AG351" i="17"/>
  <c r="AG339" i="17"/>
  <c r="AG327" i="17"/>
  <c r="AG315" i="17"/>
  <c r="AG303" i="17"/>
  <c r="AG291" i="17"/>
  <c r="AG279" i="17"/>
  <c r="AG267" i="17"/>
  <c r="AG255" i="17"/>
  <c r="AG243" i="17"/>
  <c r="AG231" i="17"/>
  <c r="AG219" i="17"/>
  <c r="AG207" i="17"/>
  <c r="AG195" i="17"/>
  <c r="AG183" i="17"/>
  <c r="AG171" i="17"/>
  <c r="AG159" i="17"/>
  <c r="AG147" i="17"/>
  <c r="AG135" i="17"/>
  <c r="AG123" i="17"/>
  <c r="AG111" i="17"/>
  <c r="AG99" i="17"/>
  <c r="AG87" i="17"/>
  <c r="AG75" i="17"/>
  <c r="AG63" i="17"/>
  <c r="AG51" i="17"/>
  <c r="AG39" i="17"/>
  <c r="AG27" i="17"/>
  <c r="AG15" i="17"/>
  <c r="AG5" i="17"/>
  <c r="AG482" i="17"/>
  <c r="AG458" i="17"/>
  <c r="AG398" i="17"/>
  <c r="AG374" i="17"/>
  <c r="AG338" i="17"/>
  <c r="AG314" i="17"/>
  <c r="AG254" i="17"/>
  <c r="AG230" i="17"/>
  <c r="AG194" i="17"/>
  <c r="AG170" i="17"/>
  <c r="AG110" i="17"/>
  <c r="AG86" i="17"/>
  <c r="AG50" i="17"/>
  <c r="AG26" i="17"/>
  <c r="AG493" i="17"/>
  <c r="AG481" i="17"/>
  <c r="AG469" i="17"/>
  <c r="AG457" i="17"/>
  <c r="AG445" i="17"/>
  <c r="AG433" i="17"/>
  <c r="AG421" i="17"/>
  <c r="AG409" i="17"/>
  <c r="AG397" i="17"/>
  <c r="AG385" i="17"/>
  <c r="AG373" i="17"/>
  <c r="AG361" i="17"/>
  <c r="AG349" i="17"/>
  <c r="AG337" i="17"/>
  <c r="AG325" i="17"/>
  <c r="AG313" i="17"/>
  <c r="AG301" i="17"/>
  <c r="AG289" i="17"/>
  <c r="AG277" i="17"/>
  <c r="AG265" i="17"/>
  <c r="AG253" i="17"/>
  <c r="AG241" i="17"/>
  <c r="AG229" i="17"/>
  <c r="AG217" i="17"/>
  <c r="AG205" i="17"/>
  <c r="AG193" i="17"/>
  <c r="AG181" i="17"/>
  <c r="AG169" i="17"/>
  <c r="AG157" i="17"/>
  <c r="AG145" i="17"/>
  <c r="AG133" i="17"/>
  <c r="AG121" i="17"/>
  <c r="AG109" i="17"/>
  <c r="AG97" i="17"/>
  <c r="AG85" i="17"/>
  <c r="AG73" i="17"/>
  <c r="AG61" i="17"/>
  <c r="AG49" i="17"/>
  <c r="AG37" i="17"/>
  <c r="AG25" i="17"/>
  <c r="AG11" i="17"/>
  <c r="AF500" i="17"/>
  <c r="AG492" i="17"/>
  <c r="AG480" i="17"/>
  <c r="AG468" i="17"/>
  <c r="AG456" i="17"/>
  <c r="AG444" i="17"/>
  <c r="AG432" i="17"/>
  <c r="AG420" i="17"/>
  <c r="AG408" i="17"/>
  <c r="AG396" i="17"/>
  <c r="AG384" i="17"/>
  <c r="AG372" i="17"/>
  <c r="AG360" i="17"/>
  <c r="AG348" i="17"/>
  <c r="AG336" i="17"/>
  <c r="AG324" i="17"/>
  <c r="AG312" i="17"/>
  <c r="AG300" i="17"/>
  <c r="AG288" i="17"/>
  <c r="AG276" i="17"/>
  <c r="AG264" i="17"/>
  <c r="AG252" i="17"/>
  <c r="AG240" i="17"/>
  <c r="AG228" i="17"/>
  <c r="AG216" i="17"/>
  <c r="AG204" i="17"/>
  <c r="AG192" i="17"/>
  <c r="AG180" i="17"/>
  <c r="AG168" i="17"/>
  <c r="AG156" i="17"/>
  <c r="AG144" i="17"/>
  <c r="AG132" i="17"/>
  <c r="AG120" i="17"/>
  <c r="AG108" i="17"/>
  <c r="AG96" i="17"/>
  <c r="AG84" i="17"/>
  <c r="AG72" i="17"/>
  <c r="AG60" i="17"/>
  <c r="AG48" i="17"/>
  <c r="AG36" i="17"/>
  <c r="AG24" i="17"/>
  <c r="AG10" i="17"/>
  <c r="AG491" i="17"/>
  <c r="AG479" i="17"/>
  <c r="AG467" i="17"/>
  <c r="AG455" i="17"/>
  <c r="AG443" i="17"/>
  <c r="AG431" i="17"/>
  <c r="AG419" i="17"/>
  <c r="AG407" i="17"/>
  <c r="AG395" i="17"/>
  <c r="AG383" i="17"/>
  <c r="AG371" i="17"/>
  <c r="AG359" i="17"/>
  <c r="AG347" i="17"/>
  <c r="AG335" i="17"/>
  <c r="AG323" i="17"/>
  <c r="AG311" i="17"/>
  <c r="AG299" i="17"/>
  <c r="AG287" i="17"/>
  <c r="AG275" i="17"/>
  <c r="AG263" i="17"/>
  <c r="AG251" i="17"/>
  <c r="AG239" i="17"/>
  <c r="AG227" i="17"/>
  <c r="AG215" i="17"/>
  <c r="AG203" i="17"/>
  <c r="AG191" i="17"/>
  <c r="AG179" i="17"/>
  <c r="AG167" i="17"/>
  <c r="AG155" i="17"/>
  <c r="AG143" i="17"/>
  <c r="AG131" i="17"/>
  <c r="AG119" i="17"/>
  <c r="AG107" i="17"/>
  <c r="AG95" i="17"/>
  <c r="AG83" i="17"/>
  <c r="AG71" i="17"/>
  <c r="AG59" i="17"/>
  <c r="AG47" i="17"/>
  <c r="AG35" i="17"/>
  <c r="AG23" i="17"/>
  <c r="AF355" i="17"/>
  <c r="AF43" i="17"/>
  <c r="AF162" i="17"/>
  <c r="AF127" i="17"/>
  <c r="AF393" i="17"/>
  <c r="AF306" i="17"/>
  <c r="AF352" i="17"/>
  <c r="AF339" i="17"/>
  <c r="AF390" i="17"/>
  <c r="AF488" i="17"/>
  <c r="AF422" i="17"/>
  <c r="AF153" i="17"/>
  <c r="AF32" i="17"/>
  <c r="AF163" i="17"/>
  <c r="AF460" i="17"/>
  <c r="AF152" i="17"/>
  <c r="AF497" i="17"/>
  <c r="AF123" i="17"/>
  <c r="AF376" i="17"/>
  <c r="AF418" i="17"/>
  <c r="AF295" i="17"/>
  <c r="AF54" i="17"/>
  <c r="AF484" i="17"/>
  <c r="AF437" i="17"/>
  <c r="AF137" i="17"/>
  <c r="AF496" i="17"/>
  <c r="AF195" i="17"/>
  <c r="AF258" i="17"/>
  <c r="AF211" i="17"/>
  <c r="AF324" i="17"/>
  <c r="AF36" i="17"/>
  <c r="AF399" i="17"/>
  <c r="AF428" i="17"/>
  <c r="W75" i="17" l="1"/>
  <c r="X75" i="17" s="1"/>
  <c r="Y75" i="17" s="1"/>
  <c r="W17" i="17"/>
  <c r="X17" i="17" s="1"/>
  <c r="Y17" i="17" s="1"/>
  <c r="W65" i="17"/>
  <c r="X65" i="17" s="1"/>
  <c r="Y65" i="17" s="1"/>
  <c r="W242" i="17"/>
  <c r="X242" i="17" s="1"/>
  <c r="Y242" i="17" s="1"/>
  <c r="W171" i="17"/>
  <c r="X171" i="17" s="1"/>
  <c r="Y171" i="17" s="1"/>
  <c r="W315" i="17"/>
  <c r="X315" i="17" s="1"/>
  <c r="Y315" i="17" s="1"/>
  <c r="V8" i="9"/>
  <c r="W8" i="9" s="1"/>
  <c r="V9" i="9"/>
  <c r="W9" i="9" s="1"/>
  <c r="U7" i="9"/>
  <c r="V2" i="9"/>
  <c r="U3" i="9"/>
  <c r="V5" i="9"/>
  <c r="U4" i="9"/>
  <c r="U6" i="9"/>
  <c r="W7" i="9"/>
  <c r="W6" i="9"/>
  <c r="W3" i="9"/>
  <c r="W4" i="9"/>
  <c r="W322" i="17"/>
  <c r="X322" i="17" s="1"/>
  <c r="Y322" i="17" s="1"/>
  <c r="W34" i="17"/>
  <c r="X34" i="17" s="1"/>
  <c r="Y34" i="17" s="1"/>
  <c r="W287" i="17"/>
  <c r="X287" i="17" s="1"/>
  <c r="Y287" i="17" s="1"/>
  <c r="W329" i="17"/>
  <c r="X329" i="17" s="1"/>
  <c r="Y329" i="17" s="1"/>
  <c r="W143" i="17"/>
  <c r="X143" i="17" s="1"/>
  <c r="Y143" i="17" s="1"/>
  <c r="W197" i="17"/>
  <c r="X197" i="17" s="1"/>
  <c r="Y197" i="17" s="1"/>
  <c r="W209" i="17"/>
  <c r="X209" i="17" s="1"/>
  <c r="Y209" i="17" s="1"/>
  <c r="W53" i="17"/>
  <c r="X53" i="17" s="1"/>
  <c r="Y53" i="17" s="1"/>
  <c r="W221" i="17"/>
  <c r="X221" i="17" s="1"/>
  <c r="Y221" i="17" s="1"/>
  <c r="W41" i="17"/>
  <c r="X41" i="17" s="1"/>
  <c r="Y41" i="17" s="1"/>
  <c r="W101" i="17"/>
  <c r="X101" i="17" s="1"/>
  <c r="Y101" i="17" s="1"/>
  <c r="W245" i="17"/>
  <c r="X245" i="17" s="1"/>
  <c r="Y245" i="17" s="1"/>
  <c r="W233" i="17"/>
  <c r="X233" i="17" s="1"/>
  <c r="Y233" i="17" s="1"/>
  <c r="W60" i="17"/>
  <c r="X60" i="17" s="1"/>
  <c r="Y60" i="17" s="1"/>
  <c r="W39" i="17"/>
  <c r="X39" i="17" s="1"/>
  <c r="Y39" i="17" s="1"/>
  <c r="W122" i="17"/>
  <c r="X122" i="17" s="1"/>
  <c r="Y122" i="17" s="1"/>
  <c r="W72" i="17"/>
  <c r="X72" i="17" s="1"/>
  <c r="Y72" i="17" s="1"/>
  <c r="W134" i="17"/>
  <c r="X134" i="17" s="1"/>
  <c r="Y134" i="17" s="1"/>
  <c r="W298" i="17"/>
  <c r="X298" i="17" s="1"/>
  <c r="Y298" i="17" s="1"/>
  <c r="W83" i="17"/>
  <c r="X83" i="17" s="1"/>
  <c r="Y83" i="17" s="1"/>
  <c r="W29" i="17"/>
  <c r="X29" i="17" s="1"/>
  <c r="Y29" i="17" s="1"/>
  <c r="W119" i="17"/>
  <c r="X119" i="17" s="1"/>
  <c r="Y119" i="17" s="1"/>
  <c r="W182" i="17"/>
  <c r="X182" i="17" s="1"/>
  <c r="Y182" i="17" s="1"/>
  <c r="W173" i="17"/>
  <c r="X173" i="17" s="1"/>
  <c r="Y173" i="17" s="1"/>
  <c r="W202" i="17"/>
  <c r="X202" i="17" s="1"/>
  <c r="Y202" i="17" s="1"/>
  <c r="W89" i="17"/>
  <c r="X89" i="17" s="1"/>
  <c r="Y89" i="17" s="1"/>
  <c r="AF361" i="17"/>
  <c r="AF350" i="17"/>
  <c r="AF191" i="17"/>
  <c r="AF385" i="17"/>
  <c r="W49" i="17"/>
  <c r="X49" i="17" s="1"/>
  <c r="Y49" i="17" s="1"/>
  <c r="W193" i="17"/>
  <c r="X193" i="17" s="1"/>
  <c r="Y193" i="17" s="1"/>
  <c r="AF387" i="17"/>
  <c r="W161" i="17"/>
  <c r="X161" i="17" s="1"/>
  <c r="Y161" i="17" s="1"/>
  <c r="AF50" i="17"/>
  <c r="W35" i="17"/>
  <c r="X35" i="17" s="1"/>
  <c r="Y35" i="17" s="1"/>
  <c r="AF446" i="17"/>
  <c r="AF362" i="17"/>
  <c r="W50" i="17"/>
  <c r="X50" i="17" s="1"/>
  <c r="Y50" i="17" s="1"/>
  <c r="W5" i="17"/>
  <c r="X5" i="17" s="1"/>
  <c r="Y5" i="17" s="1"/>
  <c r="AF304" i="17"/>
  <c r="W99" i="17"/>
  <c r="X99" i="17" s="1"/>
  <c r="Y99" i="17" s="1"/>
  <c r="W113" i="17"/>
  <c r="X113" i="17" s="1"/>
  <c r="Y113" i="17" s="1"/>
  <c r="W239" i="17"/>
  <c r="X239" i="17" s="1"/>
  <c r="Y239" i="17" s="1"/>
  <c r="AF492" i="17"/>
  <c r="AF13" i="17"/>
  <c r="W146" i="17"/>
  <c r="X146" i="17" s="1"/>
  <c r="Y146" i="17" s="1"/>
  <c r="W137" i="17"/>
  <c r="X137" i="17" s="1"/>
  <c r="Y137" i="17" s="1"/>
  <c r="W281" i="17"/>
  <c r="X281" i="17" s="1"/>
  <c r="Y281" i="17" s="1"/>
  <c r="AF323" i="17"/>
  <c r="AF243" i="17"/>
  <c r="W95" i="17"/>
  <c r="X95" i="17" s="1"/>
  <c r="Y95" i="17" s="1"/>
  <c r="AF124" i="17"/>
  <c r="AF244" i="17"/>
  <c r="W305" i="17"/>
  <c r="X305" i="17" s="1"/>
  <c r="Y305" i="17" s="1"/>
  <c r="W63" i="17"/>
  <c r="X63" i="17" s="1"/>
  <c r="Y63" i="17" s="1"/>
  <c r="AF276" i="17"/>
  <c r="AF413" i="17"/>
  <c r="W120" i="17"/>
  <c r="X120" i="17" s="1"/>
  <c r="Y120" i="17" s="1"/>
  <c r="W47" i="17"/>
  <c r="X47" i="17" s="1"/>
  <c r="Y47" i="17" s="1"/>
  <c r="W257" i="17"/>
  <c r="X257" i="17" s="1"/>
  <c r="Y257" i="17" s="1"/>
  <c r="W71" i="17"/>
  <c r="X71" i="17" s="1"/>
  <c r="Y71" i="17" s="1"/>
  <c r="W125" i="17"/>
  <c r="X125" i="17" s="1"/>
  <c r="Y125" i="17" s="1"/>
  <c r="W269" i="17"/>
  <c r="X269" i="17" s="1"/>
  <c r="Y269" i="17" s="1"/>
  <c r="W59" i="17"/>
  <c r="X59" i="17" s="1"/>
  <c r="Y59" i="17" s="1"/>
  <c r="W111" i="17"/>
  <c r="X111" i="17" s="1"/>
  <c r="Y111" i="17" s="1"/>
  <c r="AF417" i="17"/>
  <c r="AF61" i="17"/>
  <c r="W149" i="17"/>
  <c r="X149" i="17" s="1"/>
  <c r="Y149" i="17" s="1"/>
  <c r="W293" i="17"/>
  <c r="X293" i="17" s="1"/>
  <c r="Y293" i="17" s="1"/>
  <c r="AF231" i="17"/>
  <c r="W317" i="17"/>
  <c r="X317" i="17" s="1"/>
  <c r="Y317" i="17" s="1"/>
  <c r="W131" i="17"/>
  <c r="X131" i="17" s="1"/>
  <c r="Y131" i="17" s="1"/>
  <c r="W185" i="17"/>
  <c r="X185" i="17" s="1"/>
  <c r="Y185" i="17" s="1"/>
  <c r="W87" i="17"/>
  <c r="X87" i="17" s="1"/>
  <c r="Y87" i="17" s="1"/>
  <c r="W274" i="17"/>
  <c r="X274" i="17" s="1"/>
  <c r="Y274" i="17" s="1"/>
  <c r="AF491" i="17"/>
  <c r="W77" i="17"/>
  <c r="X77" i="17" s="1"/>
  <c r="Y77" i="17" s="1"/>
  <c r="AF160" i="17"/>
  <c r="AF39" i="17"/>
  <c r="AF480" i="17"/>
  <c r="AF445" i="17"/>
  <c r="AF183" i="17"/>
  <c r="AF12" i="17"/>
  <c r="AF353" i="17"/>
  <c r="AF20" i="17"/>
  <c r="AF408" i="17"/>
  <c r="AF463" i="17"/>
  <c r="AF143" i="17"/>
  <c r="AF476" i="17"/>
  <c r="W57" i="17"/>
  <c r="X57" i="17" s="1"/>
  <c r="Y57" i="17" s="1"/>
  <c r="W290" i="17"/>
  <c r="X290" i="17" s="1"/>
  <c r="Y290" i="17" s="1"/>
  <c r="W3" i="17"/>
  <c r="X3" i="17" s="1"/>
  <c r="Y3" i="17" s="1"/>
  <c r="W314" i="17"/>
  <c r="X314" i="17" s="1"/>
  <c r="Y314" i="17" s="1"/>
  <c r="W243" i="17"/>
  <c r="X243" i="17" s="1"/>
  <c r="Y243" i="17" s="1"/>
  <c r="W334" i="17"/>
  <c r="X334" i="17" s="1"/>
  <c r="Y334" i="17" s="1"/>
  <c r="W80" i="17"/>
  <c r="X80" i="17" s="1"/>
  <c r="Y80" i="17" s="1"/>
  <c r="W15" i="17"/>
  <c r="X15" i="17" s="1"/>
  <c r="Y15" i="17" s="1"/>
  <c r="W91" i="17"/>
  <c r="X91" i="17" s="1"/>
  <c r="Y91" i="17" s="1"/>
  <c r="W27" i="17"/>
  <c r="X27" i="17" s="1"/>
  <c r="Y27" i="17" s="1"/>
  <c r="W103" i="17"/>
  <c r="X103" i="17" s="1"/>
  <c r="Y103" i="17" s="1"/>
  <c r="W123" i="17"/>
  <c r="X123" i="17" s="1"/>
  <c r="Y123" i="17" s="1"/>
  <c r="W267" i="17"/>
  <c r="X267" i="17" s="1"/>
  <c r="Y267" i="17" s="1"/>
  <c r="W172" i="17"/>
  <c r="X172" i="17" s="1"/>
  <c r="Y172" i="17" s="1"/>
  <c r="W316" i="17"/>
  <c r="X316" i="17" s="1"/>
  <c r="Y316" i="17" s="1"/>
  <c r="W235" i="17"/>
  <c r="X235" i="17" s="1"/>
  <c r="Y235" i="17" s="1"/>
  <c r="AF157" i="17"/>
  <c r="W115" i="17"/>
  <c r="X115" i="17" s="1"/>
  <c r="Y115" i="17" s="1"/>
  <c r="W150" i="17"/>
  <c r="X150" i="17" s="1"/>
  <c r="Y150" i="17" s="1"/>
  <c r="W294" i="17"/>
  <c r="X294" i="17" s="1"/>
  <c r="Y294" i="17" s="1"/>
  <c r="W224" i="17"/>
  <c r="X224" i="17" s="1"/>
  <c r="Y224" i="17" s="1"/>
  <c r="W226" i="17"/>
  <c r="X226" i="17" s="1"/>
  <c r="Y226" i="17" s="1"/>
  <c r="W51" i="17"/>
  <c r="X51" i="17" s="1"/>
  <c r="Y51" i="17" s="1"/>
  <c r="W126" i="17"/>
  <c r="X126" i="17" s="1"/>
  <c r="Y126" i="17" s="1"/>
  <c r="W218" i="17"/>
  <c r="X218" i="17" s="1"/>
  <c r="Y218" i="17" s="1"/>
  <c r="W259" i="17"/>
  <c r="X259" i="17" s="1"/>
  <c r="Y259" i="17" s="1"/>
  <c r="W238" i="17"/>
  <c r="X238" i="17" s="1"/>
  <c r="Y238" i="17" s="1"/>
  <c r="W278" i="17"/>
  <c r="X278" i="17" s="1"/>
  <c r="Y278" i="17" s="1"/>
  <c r="W106" i="17"/>
  <c r="X106" i="17" s="1"/>
  <c r="Y106" i="17" s="1"/>
  <c r="W250" i="17"/>
  <c r="X250" i="17" s="1"/>
  <c r="Y250" i="17" s="1"/>
  <c r="W6" i="17"/>
  <c r="X6" i="17" s="1"/>
  <c r="Y6" i="17" s="1"/>
  <c r="W118" i="17"/>
  <c r="X118" i="17" s="1"/>
  <c r="Y118" i="17" s="1"/>
  <c r="W262" i="17"/>
  <c r="X262" i="17" s="1"/>
  <c r="Y262" i="17" s="1"/>
  <c r="W215" i="17"/>
  <c r="X215" i="17" s="1"/>
  <c r="Y215" i="17" s="1"/>
  <c r="W110" i="17"/>
  <c r="X110" i="17" s="1"/>
  <c r="Y110" i="17" s="1"/>
  <c r="W254" i="17"/>
  <c r="X254" i="17" s="1"/>
  <c r="Y254" i="17" s="1"/>
  <c r="W130" i="17"/>
  <c r="X130" i="17" s="1"/>
  <c r="Y130" i="17" s="1"/>
  <c r="W227" i="17"/>
  <c r="X227" i="17" s="1"/>
  <c r="Y227" i="17" s="1"/>
  <c r="W20" i="17"/>
  <c r="X20" i="17" s="1"/>
  <c r="Y20" i="17" s="1"/>
  <c r="W2" i="17"/>
  <c r="X2" i="17" s="1"/>
  <c r="Y2" i="17" s="1"/>
  <c r="AF471" i="17"/>
  <c r="AF430" i="17"/>
  <c r="AF423" i="17"/>
  <c r="W84" i="17"/>
  <c r="X84" i="17" s="1"/>
  <c r="Y84" i="17" s="1"/>
  <c r="W240" i="17"/>
  <c r="X240" i="17" s="1"/>
  <c r="Y240" i="17" s="1"/>
  <c r="W279" i="17"/>
  <c r="X279" i="17" s="1"/>
  <c r="Y279" i="17" s="1"/>
  <c r="W14" i="17"/>
  <c r="X14" i="17" s="1"/>
  <c r="Y14" i="17" s="1"/>
  <c r="W147" i="17"/>
  <c r="X147" i="17" s="1"/>
  <c r="Y147" i="17" s="1"/>
  <c r="W291" i="17"/>
  <c r="X291" i="17" s="1"/>
  <c r="Y291" i="17" s="1"/>
  <c r="W26" i="17"/>
  <c r="X26" i="17" s="1"/>
  <c r="Y26" i="17" s="1"/>
  <c r="W159" i="17"/>
  <c r="X159" i="17" s="1"/>
  <c r="Y159" i="17" s="1"/>
  <c r="W303" i="17"/>
  <c r="X303" i="17" s="1"/>
  <c r="Y303" i="17" s="1"/>
  <c r="W174" i="17"/>
  <c r="X174" i="17" s="1"/>
  <c r="Y174" i="17" s="1"/>
  <c r="W318" i="17"/>
  <c r="X318" i="17" s="1"/>
  <c r="Y318" i="17" s="1"/>
  <c r="W104" i="17"/>
  <c r="X104" i="17" s="1"/>
  <c r="Y104" i="17" s="1"/>
  <c r="W248" i="17"/>
  <c r="X248" i="17" s="1"/>
  <c r="Y248" i="17" s="1"/>
  <c r="W38" i="17"/>
  <c r="X38" i="17" s="1"/>
  <c r="Y38" i="17" s="1"/>
  <c r="W10" i="17"/>
  <c r="X10" i="17" s="1"/>
  <c r="Y10" i="17" s="1"/>
  <c r="W22" i="17"/>
  <c r="X22" i="17" s="1"/>
  <c r="Y22" i="17" s="1"/>
  <c r="W30" i="17"/>
  <c r="X30" i="17" s="1"/>
  <c r="Y30" i="17" s="1"/>
  <c r="W142" i="17"/>
  <c r="X142" i="17" s="1"/>
  <c r="Y142" i="17" s="1"/>
  <c r="W286" i="17"/>
  <c r="X286" i="17" s="1"/>
  <c r="Y286" i="17" s="1"/>
  <c r="W154" i="17"/>
  <c r="X154" i="17" s="1"/>
  <c r="Y154" i="17" s="1"/>
  <c r="W251" i="17"/>
  <c r="X251" i="17" s="1"/>
  <c r="Y251" i="17" s="1"/>
  <c r="W135" i="17"/>
  <c r="X135" i="17" s="1"/>
  <c r="Y135" i="17" s="1"/>
  <c r="AF431" i="17"/>
  <c r="W263" i="17"/>
  <c r="X263" i="17" s="1"/>
  <c r="Y263" i="17" s="1"/>
  <c r="AF246" i="17"/>
  <c r="AF489" i="17"/>
  <c r="W158" i="17"/>
  <c r="X158" i="17" s="1"/>
  <c r="Y158" i="17" s="1"/>
  <c r="W275" i="17"/>
  <c r="X275" i="17" s="1"/>
  <c r="Y275" i="17" s="1"/>
  <c r="W107" i="17"/>
  <c r="X107" i="17" s="1"/>
  <c r="Y107" i="17" s="1"/>
  <c r="W170" i="17"/>
  <c r="X170" i="17" s="1"/>
  <c r="Y170" i="17" s="1"/>
  <c r="W190" i="17"/>
  <c r="X190" i="17" s="1"/>
  <c r="Y190" i="17" s="1"/>
  <c r="AF377" i="17"/>
  <c r="W94" i="17"/>
  <c r="X94" i="17" s="1"/>
  <c r="Y94" i="17" s="1"/>
  <c r="W326" i="17"/>
  <c r="X326" i="17" s="1"/>
  <c r="Y326" i="17" s="1"/>
  <c r="AF80" i="17"/>
  <c r="W194" i="17"/>
  <c r="X194" i="17" s="1"/>
  <c r="Y194" i="17" s="1"/>
  <c r="W167" i="17"/>
  <c r="X167" i="17" s="1"/>
  <c r="Y167" i="17" s="1"/>
  <c r="W311" i="17"/>
  <c r="X311" i="17" s="1"/>
  <c r="Y311" i="17" s="1"/>
  <c r="W206" i="17"/>
  <c r="X206" i="17" s="1"/>
  <c r="Y206" i="17" s="1"/>
  <c r="W177" i="17"/>
  <c r="X177" i="17" s="1"/>
  <c r="Y177" i="17" s="1"/>
  <c r="W321" i="17"/>
  <c r="X321" i="17" s="1"/>
  <c r="Y321" i="17" s="1"/>
  <c r="W179" i="17"/>
  <c r="X179" i="17" s="1"/>
  <c r="Y179" i="17" s="1"/>
  <c r="W323" i="17"/>
  <c r="X323" i="17" s="1"/>
  <c r="Y323" i="17" s="1"/>
  <c r="W191" i="17"/>
  <c r="X191" i="17" s="1"/>
  <c r="Y191" i="17" s="1"/>
  <c r="W23" i="17"/>
  <c r="X23" i="17" s="1"/>
  <c r="Y23" i="17" s="1"/>
  <c r="W230" i="17"/>
  <c r="X230" i="17" s="1"/>
  <c r="Y230" i="17" s="1"/>
  <c r="W203" i="17"/>
  <c r="X203" i="17" s="1"/>
  <c r="Y203" i="17" s="1"/>
  <c r="W74" i="17"/>
  <c r="X74" i="17" s="1"/>
  <c r="Y74" i="17" s="1"/>
  <c r="W86" i="17"/>
  <c r="X86" i="17" s="1"/>
  <c r="Y86" i="17" s="1"/>
  <c r="W58" i="17"/>
  <c r="X58" i="17" s="1"/>
  <c r="Y58" i="17" s="1"/>
  <c r="W219" i="17"/>
  <c r="X219" i="17" s="1"/>
  <c r="Y219" i="17" s="1"/>
  <c r="W166" i="17"/>
  <c r="X166" i="17" s="1"/>
  <c r="Y166" i="17" s="1"/>
  <c r="W310" i="17"/>
  <c r="X310" i="17" s="1"/>
  <c r="Y310" i="17" s="1"/>
  <c r="W98" i="17"/>
  <c r="X98" i="17" s="1"/>
  <c r="Y98" i="17" s="1"/>
  <c r="W70" i="17"/>
  <c r="X70" i="17" s="1"/>
  <c r="Y70" i="17" s="1"/>
  <c r="W302" i="17"/>
  <c r="X302" i="17" s="1"/>
  <c r="Y302" i="17" s="1"/>
  <c r="W231" i="17"/>
  <c r="X231" i="17" s="1"/>
  <c r="Y231" i="17" s="1"/>
  <c r="W178" i="17"/>
  <c r="X178" i="17" s="1"/>
  <c r="Y178" i="17" s="1"/>
  <c r="W79" i="17"/>
  <c r="X79" i="17" s="1"/>
  <c r="Y79" i="17" s="1"/>
  <c r="W82" i="17"/>
  <c r="X82" i="17" s="1"/>
  <c r="Y82" i="17" s="1"/>
  <c r="W183" i="17"/>
  <c r="X183" i="17" s="1"/>
  <c r="Y183" i="17" s="1"/>
  <c r="W327" i="17"/>
  <c r="X327" i="17" s="1"/>
  <c r="Y327" i="17" s="1"/>
  <c r="W46" i="17"/>
  <c r="X46" i="17" s="1"/>
  <c r="Y46" i="17" s="1"/>
  <c r="W266" i="17"/>
  <c r="X266" i="17" s="1"/>
  <c r="Y266" i="17" s="1"/>
  <c r="W155" i="17"/>
  <c r="X155" i="17" s="1"/>
  <c r="Y155" i="17" s="1"/>
  <c r="W299" i="17"/>
  <c r="X299" i="17" s="1"/>
  <c r="Y299" i="17" s="1"/>
  <c r="W214" i="17"/>
  <c r="X214" i="17" s="1"/>
  <c r="Y214" i="17" s="1"/>
  <c r="W11" i="17"/>
  <c r="X11" i="17" s="1"/>
  <c r="Y11" i="17" s="1"/>
  <c r="W62" i="17"/>
  <c r="X62" i="17" s="1"/>
  <c r="Y62" i="17" s="1"/>
  <c r="W207" i="17"/>
  <c r="X207" i="17" s="1"/>
  <c r="Y207" i="17" s="1"/>
  <c r="AF434" i="17"/>
  <c r="W199" i="17"/>
  <c r="X199" i="17" s="1"/>
  <c r="Y199" i="17" s="1"/>
  <c r="W160" i="17"/>
  <c r="X160" i="17" s="1"/>
  <c r="Y160" i="17" s="1"/>
  <c r="AF196" i="17"/>
  <c r="W25" i="17"/>
  <c r="X25" i="17" s="1"/>
  <c r="Y25" i="17" s="1"/>
  <c r="W16" i="17"/>
  <c r="X16" i="17" s="1"/>
  <c r="Y16" i="17" s="1"/>
  <c r="W195" i="17"/>
  <c r="X195" i="17" s="1"/>
  <c r="Y195" i="17" s="1"/>
  <c r="W100" i="17"/>
  <c r="X100" i="17" s="1"/>
  <c r="Y100" i="17" s="1"/>
  <c r="W244" i="17"/>
  <c r="X244" i="17" s="1"/>
  <c r="Y244" i="17" s="1"/>
  <c r="W181" i="17"/>
  <c r="X181" i="17" s="1"/>
  <c r="Y181" i="17" s="1"/>
  <c r="W325" i="17"/>
  <c r="X325" i="17" s="1"/>
  <c r="Y325" i="17" s="1"/>
  <c r="W252" i="17"/>
  <c r="X252" i="17" s="1"/>
  <c r="Y252" i="17" s="1"/>
  <c r="W331" i="17"/>
  <c r="X331" i="17" s="1"/>
  <c r="Y331" i="17" s="1"/>
  <c r="W285" i="17"/>
  <c r="X285" i="17" s="1"/>
  <c r="Y285" i="17" s="1"/>
  <c r="W156" i="17"/>
  <c r="X156" i="17" s="1"/>
  <c r="Y156" i="17" s="1"/>
  <c r="W255" i="17"/>
  <c r="X255" i="17" s="1"/>
  <c r="Y255" i="17" s="1"/>
  <c r="W304" i="17"/>
  <c r="X304" i="17" s="1"/>
  <c r="Y304" i="17" s="1"/>
  <c r="W153" i="17"/>
  <c r="X153" i="17" s="1"/>
  <c r="Y153" i="17" s="1"/>
  <c r="W297" i="17"/>
  <c r="X297" i="17" s="1"/>
  <c r="Y297" i="17" s="1"/>
  <c r="W138" i="17"/>
  <c r="X138" i="17" s="1"/>
  <c r="Y138" i="17" s="1"/>
  <c r="W141" i="17"/>
  <c r="X141" i="17" s="1"/>
  <c r="Y141" i="17" s="1"/>
  <c r="W24" i="17"/>
  <c r="X24" i="17" s="1"/>
  <c r="Y24" i="17" s="1"/>
  <c r="W282" i="17"/>
  <c r="X282" i="17" s="1"/>
  <c r="Y282" i="17" s="1"/>
  <c r="W212" i="17"/>
  <c r="X212" i="17" s="1"/>
  <c r="Y212" i="17" s="1"/>
  <c r="W247" i="17"/>
  <c r="X247" i="17" s="1"/>
  <c r="Y247" i="17" s="1"/>
  <c r="W68" i="17"/>
  <c r="X68" i="17" s="1"/>
  <c r="Y68" i="17" s="1"/>
  <c r="W144" i="17"/>
  <c r="X144" i="17" s="1"/>
  <c r="Y144" i="17" s="1"/>
  <c r="W129" i="17"/>
  <c r="X129" i="17" s="1"/>
  <c r="Y129" i="17" s="1"/>
  <c r="W12" i="17"/>
  <c r="X12" i="17" s="1"/>
  <c r="Y12" i="17" s="1"/>
  <c r="W180" i="17"/>
  <c r="X180" i="17" s="1"/>
  <c r="Y180" i="17" s="1"/>
  <c r="W324" i="17"/>
  <c r="X324" i="17" s="1"/>
  <c r="Y324" i="17" s="1"/>
  <c r="W273" i="17"/>
  <c r="X273" i="17" s="1"/>
  <c r="Y273" i="17" s="1"/>
  <c r="W48" i="17"/>
  <c r="X48" i="17" s="1"/>
  <c r="Y48" i="17" s="1"/>
  <c r="W268" i="17"/>
  <c r="X268" i="17" s="1"/>
  <c r="Y268" i="17" s="1"/>
  <c r="W33" i="17"/>
  <c r="X33" i="17" s="1"/>
  <c r="Y33" i="17" s="1"/>
  <c r="W208" i="17"/>
  <c r="X208" i="17" s="1"/>
  <c r="Y208" i="17" s="1"/>
  <c r="W271" i="17"/>
  <c r="X271" i="17" s="1"/>
  <c r="Y271" i="17" s="1"/>
  <c r="W189" i="17"/>
  <c r="X189" i="17" s="1"/>
  <c r="Y189" i="17" s="1"/>
  <c r="W333" i="17"/>
  <c r="X333" i="17" s="1"/>
  <c r="Y333" i="17" s="1"/>
  <c r="W42" i="17"/>
  <c r="X42" i="17" s="1"/>
  <c r="Y42" i="17" s="1"/>
  <c r="W45" i="17"/>
  <c r="X45" i="17" s="1"/>
  <c r="Y45" i="17" s="1"/>
  <c r="W186" i="17"/>
  <c r="X186" i="17" s="1"/>
  <c r="Y186" i="17" s="1"/>
  <c r="W116" i="17"/>
  <c r="X116" i="17" s="1"/>
  <c r="Y116" i="17" s="1"/>
  <c r="W260" i="17"/>
  <c r="X260" i="17" s="1"/>
  <c r="Y260" i="17" s="1"/>
  <c r="AF454" i="17"/>
  <c r="AF148" i="17"/>
  <c r="W151" i="17"/>
  <c r="X151" i="17" s="1"/>
  <c r="Y151" i="17" s="1"/>
  <c r="W295" i="17"/>
  <c r="X295" i="17" s="1"/>
  <c r="Y295" i="17" s="1"/>
  <c r="W272" i="17"/>
  <c r="X272" i="17" s="1"/>
  <c r="Y272" i="17" s="1"/>
  <c r="W67" i="17"/>
  <c r="X67" i="17" s="1"/>
  <c r="Y67" i="17" s="1"/>
  <c r="W249" i="17"/>
  <c r="X249" i="17" s="1"/>
  <c r="Y249" i="17" s="1"/>
  <c r="AF458" i="17"/>
  <c r="W102" i="17"/>
  <c r="X102" i="17" s="1"/>
  <c r="Y102" i="17" s="1"/>
  <c r="W105" i="17"/>
  <c r="X105" i="17" s="1"/>
  <c r="Y105" i="17" s="1"/>
  <c r="W276" i="17"/>
  <c r="X276" i="17" s="1"/>
  <c r="Y276" i="17" s="1"/>
  <c r="W136" i="17"/>
  <c r="X136" i="17" s="1"/>
  <c r="Y136" i="17" s="1"/>
  <c r="W280" i="17"/>
  <c r="X280" i="17" s="1"/>
  <c r="Y280" i="17" s="1"/>
  <c r="W246" i="17"/>
  <c r="X246" i="17" s="1"/>
  <c r="Y246" i="17" s="1"/>
  <c r="W261" i="17"/>
  <c r="X261" i="17" s="1"/>
  <c r="Y261" i="17" s="1"/>
  <c r="W64" i="17"/>
  <c r="X64" i="17" s="1"/>
  <c r="Y64" i="17" s="1"/>
  <c r="W114" i="17"/>
  <c r="X114" i="17" s="1"/>
  <c r="Y114" i="17" s="1"/>
  <c r="W117" i="17"/>
  <c r="X117" i="17" s="1"/>
  <c r="Y117" i="17" s="1"/>
  <c r="W37" i="17"/>
  <c r="X37" i="17" s="1"/>
  <c r="Y37" i="17" s="1"/>
  <c r="W258" i="17"/>
  <c r="X258" i="17" s="1"/>
  <c r="Y258" i="17" s="1"/>
  <c r="AF128" i="17"/>
  <c r="AF414" i="17"/>
  <c r="W223" i="17"/>
  <c r="X223" i="17" s="1"/>
  <c r="Y223" i="17" s="1"/>
  <c r="W44" i="17"/>
  <c r="X44" i="17" s="1"/>
  <c r="Y44" i="17" s="1"/>
  <c r="W85" i="17"/>
  <c r="X85" i="17" s="1"/>
  <c r="Y85" i="17" s="1"/>
  <c r="W229" i="17"/>
  <c r="X229" i="17" s="1"/>
  <c r="Y229" i="17" s="1"/>
  <c r="AF475" i="17"/>
  <c r="AF452" i="17"/>
  <c r="AF424" i="17"/>
  <c r="W7" i="17"/>
  <c r="X7" i="17" s="1"/>
  <c r="Y7" i="17" s="1"/>
  <c r="W36" i="17"/>
  <c r="X36" i="17" s="1"/>
  <c r="Y36" i="17" s="1"/>
  <c r="W283" i="17"/>
  <c r="X283" i="17" s="1"/>
  <c r="Y283" i="17" s="1"/>
  <c r="W124" i="17"/>
  <c r="X124" i="17" s="1"/>
  <c r="Y124" i="17" s="1"/>
  <c r="W127" i="17"/>
  <c r="X127" i="17" s="1"/>
  <c r="Y127" i="17" s="1"/>
  <c r="AF257" i="17"/>
  <c r="W139" i="17"/>
  <c r="X139" i="17" s="1"/>
  <c r="Y139" i="17" s="1"/>
  <c r="W168" i="17"/>
  <c r="X168" i="17" s="1"/>
  <c r="Y168" i="17" s="1"/>
  <c r="W312" i="17"/>
  <c r="X312" i="17" s="1"/>
  <c r="Y312" i="17" s="1"/>
  <c r="W61" i="17"/>
  <c r="X61" i="17" s="1"/>
  <c r="Y61" i="17" s="1"/>
  <c r="W205" i="17"/>
  <c r="X205" i="17" s="1"/>
  <c r="Y205" i="17" s="1"/>
  <c r="AF402" i="17"/>
  <c r="W184" i="17"/>
  <c r="X184" i="17" s="1"/>
  <c r="Y184" i="17" s="1"/>
  <c r="W328" i="17"/>
  <c r="X328" i="17" s="1"/>
  <c r="Y328" i="17" s="1"/>
  <c r="W73" i="17"/>
  <c r="X73" i="17" s="1"/>
  <c r="Y73" i="17" s="1"/>
  <c r="W217" i="17"/>
  <c r="X217" i="17" s="1"/>
  <c r="Y217" i="17" s="1"/>
  <c r="W18" i="17"/>
  <c r="X18" i="17" s="1"/>
  <c r="Y18" i="17" s="1"/>
  <c r="W21" i="17"/>
  <c r="X21" i="17" s="1"/>
  <c r="Y21" i="17" s="1"/>
  <c r="W196" i="17"/>
  <c r="X196" i="17" s="1"/>
  <c r="Y196" i="17" s="1"/>
  <c r="W162" i="17"/>
  <c r="X162" i="17" s="1"/>
  <c r="Y162" i="17" s="1"/>
  <c r="W306" i="17"/>
  <c r="X306" i="17" s="1"/>
  <c r="Y306" i="17" s="1"/>
  <c r="W92" i="17"/>
  <c r="X92" i="17" s="1"/>
  <c r="Y92" i="17" s="1"/>
  <c r="W236" i="17"/>
  <c r="X236" i="17" s="1"/>
  <c r="Y236" i="17" s="1"/>
  <c r="W165" i="17"/>
  <c r="X165" i="17" s="1"/>
  <c r="Y165" i="17" s="1"/>
  <c r="W309" i="17"/>
  <c r="X309" i="17" s="1"/>
  <c r="Y309" i="17" s="1"/>
  <c r="AF213" i="17"/>
  <c r="W55" i="17"/>
  <c r="X55" i="17" s="1"/>
  <c r="Y55" i="17" s="1"/>
  <c r="W96" i="17"/>
  <c r="X96" i="17" s="1"/>
  <c r="Y96" i="17" s="1"/>
  <c r="W284" i="17"/>
  <c r="X284" i="17" s="1"/>
  <c r="Y284" i="17" s="1"/>
  <c r="W133" i="17"/>
  <c r="X133" i="17" s="1"/>
  <c r="Y133" i="17" s="1"/>
  <c r="W277" i="17"/>
  <c r="X277" i="17" s="1"/>
  <c r="Y277" i="17" s="1"/>
  <c r="W128" i="17"/>
  <c r="X128" i="17" s="1"/>
  <c r="Y128" i="17" s="1"/>
  <c r="W308" i="17"/>
  <c r="X308" i="17" s="1"/>
  <c r="Y308" i="17" s="1"/>
  <c r="W198" i="17"/>
  <c r="X198" i="17" s="1"/>
  <c r="Y198" i="17" s="1"/>
  <c r="W330" i="17"/>
  <c r="X330" i="17" s="1"/>
  <c r="Y330" i="17" s="1"/>
  <c r="W201" i="17"/>
  <c r="X201" i="17" s="1"/>
  <c r="Y201" i="17" s="1"/>
  <c r="W108" i="17"/>
  <c r="X108" i="17" s="1"/>
  <c r="Y108" i="17" s="1"/>
  <c r="W112" i="17"/>
  <c r="X112" i="17" s="1"/>
  <c r="Y112" i="17" s="1"/>
  <c r="W256" i="17"/>
  <c r="X256" i="17" s="1"/>
  <c r="Y256" i="17" s="1"/>
  <c r="W145" i="17"/>
  <c r="X145" i="17" s="1"/>
  <c r="Y145" i="17" s="1"/>
  <c r="W289" i="17"/>
  <c r="X289" i="17" s="1"/>
  <c r="Y289" i="17" s="1"/>
  <c r="W40" i="17"/>
  <c r="X40" i="17" s="1"/>
  <c r="Y40" i="17" s="1"/>
  <c r="W90" i="17"/>
  <c r="X90" i="17" s="1"/>
  <c r="Y90" i="17" s="1"/>
  <c r="W93" i="17"/>
  <c r="X93" i="17" s="1"/>
  <c r="Y93" i="17" s="1"/>
  <c r="W234" i="17"/>
  <c r="X234" i="17" s="1"/>
  <c r="Y234" i="17" s="1"/>
  <c r="W164" i="17"/>
  <c r="X164" i="17" s="1"/>
  <c r="Y164" i="17" s="1"/>
  <c r="W237" i="17"/>
  <c r="X237" i="17" s="1"/>
  <c r="Y237" i="17" s="1"/>
  <c r="W13" i="17"/>
  <c r="X13" i="17" s="1"/>
  <c r="Y13" i="17" s="1"/>
  <c r="W157" i="17"/>
  <c r="X157" i="17" s="1"/>
  <c r="Y157" i="17" s="1"/>
  <c r="W301" i="17"/>
  <c r="X301" i="17" s="1"/>
  <c r="Y301" i="17" s="1"/>
  <c r="W52" i="17"/>
  <c r="X52" i="17" s="1"/>
  <c r="Y52" i="17" s="1"/>
  <c r="W320" i="17"/>
  <c r="X320" i="17" s="1"/>
  <c r="Y320" i="17" s="1"/>
  <c r="W76" i="17"/>
  <c r="X76" i="17" s="1"/>
  <c r="Y76" i="17" s="1"/>
  <c r="W88" i="17"/>
  <c r="X88" i="17" s="1"/>
  <c r="Y88" i="17" s="1"/>
  <c r="W9" i="17"/>
  <c r="X9" i="17" s="1"/>
  <c r="Y9" i="17" s="1"/>
  <c r="W169" i="17"/>
  <c r="X169" i="17" s="1"/>
  <c r="Y169" i="17" s="1"/>
  <c r="W313" i="17"/>
  <c r="X313" i="17" s="1"/>
  <c r="Y313" i="17" s="1"/>
  <c r="W19" i="17"/>
  <c r="X19" i="17" s="1"/>
  <c r="Y19" i="17" s="1"/>
  <c r="W210" i="17"/>
  <c r="X210" i="17" s="1"/>
  <c r="Y210" i="17" s="1"/>
  <c r="W163" i="17"/>
  <c r="X163" i="17" s="1"/>
  <c r="Y163" i="17" s="1"/>
  <c r="W307" i="17"/>
  <c r="X307" i="17" s="1"/>
  <c r="Y307" i="17" s="1"/>
  <c r="W31" i="17"/>
  <c r="X31" i="17" s="1"/>
  <c r="Y31" i="17" s="1"/>
  <c r="W222" i="17"/>
  <c r="X222" i="17" s="1"/>
  <c r="Y222" i="17" s="1"/>
  <c r="W175" i="17"/>
  <c r="X175" i="17" s="1"/>
  <c r="Y175" i="17" s="1"/>
  <c r="W319" i="17"/>
  <c r="X319" i="17" s="1"/>
  <c r="Y319" i="17" s="1"/>
  <c r="AF216" i="17"/>
  <c r="W43" i="17"/>
  <c r="X43" i="17" s="1"/>
  <c r="Y43" i="17" s="1"/>
  <c r="W187" i="17"/>
  <c r="X187" i="17" s="1"/>
  <c r="Y187" i="17" s="1"/>
  <c r="W54" i="17"/>
  <c r="X54" i="17" s="1"/>
  <c r="Y54" i="17" s="1"/>
  <c r="W140" i="17"/>
  <c r="X140" i="17" s="1"/>
  <c r="Y140" i="17" s="1"/>
  <c r="W213" i="17"/>
  <c r="X213" i="17" s="1"/>
  <c r="Y213" i="17" s="1"/>
  <c r="AF360" i="17"/>
  <c r="W66" i="17"/>
  <c r="X66" i="17" s="1"/>
  <c r="Y66" i="17" s="1"/>
  <c r="W69" i="17"/>
  <c r="X69" i="17" s="1"/>
  <c r="Y69" i="17" s="1"/>
  <c r="W211" i="17"/>
  <c r="X211" i="17" s="1"/>
  <c r="Y211" i="17" s="1"/>
  <c r="W152" i="17"/>
  <c r="X152" i="17" s="1"/>
  <c r="Y152" i="17" s="1"/>
  <c r="W296" i="17"/>
  <c r="X296" i="17" s="1"/>
  <c r="Y296" i="17" s="1"/>
  <c r="W225" i="17"/>
  <c r="X225" i="17" s="1"/>
  <c r="Y225" i="17" s="1"/>
  <c r="W78" i="17"/>
  <c r="X78" i="17" s="1"/>
  <c r="Y78" i="17" s="1"/>
  <c r="W81" i="17"/>
  <c r="X81" i="17" s="1"/>
  <c r="Y81" i="17" s="1"/>
  <c r="W270" i="17"/>
  <c r="X270" i="17" s="1"/>
  <c r="Y270" i="17" s="1"/>
  <c r="W97" i="17"/>
  <c r="X97" i="17" s="1"/>
  <c r="Y97" i="17" s="1"/>
  <c r="W241" i="17"/>
  <c r="X241" i="17" s="1"/>
  <c r="Y241" i="17" s="1"/>
  <c r="W220" i="17"/>
  <c r="X220" i="17" s="1"/>
  <c r="Y220" i="17" s="1"/>
  <c r="W8" i="17"/>
  <c r="X8" i="17" s="1"/>
  <c r="Y8" i="17" s="1"/>
  <c r="W176" i="17"/>
  <c r="X176" i="17" s="1"/>
  <c r="Y176" i="17" s="1"/>
  <c r="W109" i="17"/>
  <c r="X109" i="17" s="1"/>
  <c r="Y109" i="17" s="1"/>
  <c r="W253" i="17"/>
  <c r="X253" i="17" s="1"/>
  <c r="Y253" i="17" s="1"/>
  <c r="W132" i="17"/>
  <c r="X132" i="17" s="1"/>
  <c r="Y132" i="17" s="1"/>
  <c r="W232" i="17"/>
  <c r="X232" i="17" s="1"/>
  <c r="Y232" i="17" s="1"/>
  <c r="W32" i="17"/>
  <c r="X32" i="17" s="1"/>
  <c r="Y32" i="17" s="1"/>
  <c r="W188" i="17"/>
  <c r="X188" i="17" s="1"/>
  <c r="Y188" i="17" s="1"/>
  <c r="W121" i="17"/>
  <c r="X121" i="17" s="1"/>
  <c r="Y121" i="17" s="1"/>
  <c r="W265" i="17"/>
  <c r="X265" i="17" s="1"/>
  <c r="Y265" i="17" s="1"/>
  <c r="W264" i="17"/>
  <c r="X264" i="17" s="1"/>
  <c r="Y264" i="17" s="1"/>
  <c r="W192" i="17"/>
  <c r="X192" i="17" s="1"/>
  <c r="Y192" i="17" s="1"/>
  <c r="W204" i="17"/>
  <c r="X204" i="17" s="1"/>
  <c r="Y204" i="17" s="1"/>
  <c r="W332" i="17"/>
  <c r="X332" i="17" s="1"/>
  <c r="Y332" i="17" s="1"/>
  <c r="W4" i="17"/>
  <c r="X4" i="17" s="1"/>
  <c r="Y4" i="17" s="1"/>
  <c r="W148" i="17"/>
  <c r="X148" i="17" s="1"/>
  <c r="Y148" i="17" s="1"/>
  <c r="W292" i="17"/>
  <c r="X292" i="17" s="1"/>
  <c r="Y292" i="17" s="1"/>
  <c r="W200" i="17"/>
  <c r="X200" i="17" s="1"/>
  <c r="Y200" i="17" s="1"/>
  <c r="W56" i="17"/>
  <c r="X56" i="17" s="1"/>
  <c r="Y56" i="17" s="1"/>
  <c r="W288" i="17"/>
  <c r="X288" i="17" s="1"/>
  <c r="Y288" i="17" s="1"/>
  <c r="W300" i="17"/>
  <c r="X300" i="17" s="1"/>
  <c r="Y300" i="17" s="1"/>
  <c r="W216" i="17"/>
  <c r="X216" i="17" s="1"/>
  <c r="Y216" i="17" s="1"/>
  <c r="W228" i="17"/>
  <c r="X228" i="17" s="1"/>
  <c r="Y228" i="17" s="1"/>
  <c r="AF368" i="17"/>
  <c r="AF111" i="17"/>
  <c r="AF477" i="17"/>
  <c r="AF67" i="17"/>
  <c r="AF230" i="17"/>
  <c r="AF292" i="17"/>
  <c r="AF264" i="17"/>
  <c r="AF474" i="17"/>
  <c r="AF338" i="17"/>
  <c r="AF303" i="17"/>
  <c r="AF37" i="17"/>
  <c r="AF165" i="17"/>
  <c r="AF200" i="17"/>
  <c r="AF115" i="17"/>
  <c r="AF369" i="17"/>
  <c r="AF65" i="17"/>
  <c r="AF170" i="17"/>
  <c r="AF117" i="17"/>
  <c r="AF158" i="17"/>
  <c r="AF52" i="17"/>
  <c r="AF267" i="17"/>
  <c r="AF325" i="17"/>
  <c r="AF174" i="17"/>
  <c r="AF439" i="17"/>
  <c r="AF266" i="17"/>
  <c r="AF340" i="17"/>
  <c r="AF343" i="17"/>
  <c r="AF465" i="17"/>
  <c r="AF495" i="17"/>
  <c r="AF139" i="17"/>
  <c r="AF336" i="17"/>
  <c r="AF38" i="17"/>
  <c r="AF318" i="17"/>
  <c r="AF224" i="17"/>
  <c r="AF99" i="17"/>
  <c r="AF396" i="17"/>
  <c r="AF68" i="17"/>
  <c r="AF145" i="17"/>
  <c r="AF100" i="17"/>
  <c r="AF427" i="17"/>
  <c r="AF90" i="17"/>
  <c r="AF444" i="17"/>
  <c r="AF432" i="17"/>
  <c r="AF472" i="17"/>
  <c r="AF259" i="17"/>
  <c r="AF207" i="17"/>
  <c r="AF184" i="17"/>
  <c r="AF363" i="17"/>
  <c r="AF91" i="17"/>
  <c r="AF464" i="17"/>
  <c r="AF134" i="17"/>
  <c r="AF375" i="17"/>
  <c r="AF98" i="17"/>
  <c r="AF241" i="17"/>
  <c r="AF297" i="17"/>
  <c r="AF314" i="17"/>
  <c r="AF15" i="17"/>
  <c r="AF308" i="17"/>
  <c r="AF270" i="17"/>
  <c r="AF11" i="17"/>
  <c r="AF237" i="17"/>
  <c r="AF307" i="17"/>
  <c r="AF77" i="17"/>
  <c r="AF316" i="17"/>
  <c r="AF156" i="17"/>
  <c r="AF192" i="17"/>
  <c r="AF3" i="17"/>
  <c r="AF138" i="17"/>
  <c r="AF206" i="17"/>
  <c r="AF188" i="17"/>
  <c r="AF87" i="17"/>
  <c r="AF210" i="17"/>
  <c r="AF179" i="17"/>
  <c r="AF222" i="17"/>
  <c r="AF272" i="17"/>
  <c r="AF88" i="17"/>
  <c r="AF35" i="17"/>
  <c r="AF63" i="17"/>
  <c r="AF23" i="17"/>
  <c r="AF225" i="17"/>
  <c r="AF254" i="17"/>
  <c r="AF176" i="17"/>
  <c r="AF313" i="17"/>
  <c r="AF291" i="17"/>
  <c r="AF212" i="17"/>
  <c r="AF280" i="17"/>
  <c r="AF239" i="17"/>
  <c r="AF215" i="17"/>
  <c r="AF7" i="17"/>
  <c r="AF28" i="17"/>
  <c r="AF114" i="17"/>
  <c r="AF167" i="17"/>
  <c r="AF97" i="17"/>
  <c r="AF102" i="17"/>
  <c r="AF301" i="17"/>
  <c r="AF147" i="17"/>
  <c r="AF287" i="17"/>
  <c r="AF119" i="17"/>
  <c r="AF277" i="17"/>
  <c r="AF16" i="17"/>
  <c r="AF120" i="17"/>
  <c r="AF240" i="17"/>
  <c r="AF278" i="17"/>
  <c r="AF205" i="17"/>
  <c r="AF86" i="17"/>
  <c r="AF60" i="17"/>
  <c r="AF309" i="17"/>
  <c r="AF9" i="17"/>
  <c r="AF273" i="17"/>
  <c r="AF288" i="17"/>
  <c r="AF199" i="17"/>
  <c r="AF108" i="17"/>
  <c r="AF227" i="17"/>
  <c r="AF194" i="17"/>
  <c r="AF229" i="17"/>
  <c r="AF51" i="17"/>
  <c r="AF151" i="17"/>
  <c r="AF498" i="17"/>
  <c r="AF374" i="17"/>
  <c r="AF132" i="17"/>
  <c r="AF335" i="17"/>
  <c r="AF221" i="17"/>
  <c r="AF485" i="17"/>
  <c r="AF242" i="17"/>
  <c r="AF365" i="17"/>
  <c r="AF333" i="17"/>
  <c r="AF359" i="17"/>
  <c r="AF49" i="17"/>
  <c r="AF459" i="17"/>
  <c r="AF27" i="17"/>
  <c r="AF18" i="17"/>
  <c r="AF482" i="17"/>
  <c r="AF180" i="17"/>
  <c r="AF84" i="17"/>
  <c r="AF159" i="17"/>
  <c r="AF73" i="17"/>
  <c r="AF405" i="17"/>
  <c r="AF330" i="17"/>
  <c r="AF409" i="17"/>
  <c r="AF453" i="17"/>
  <c r="AF319" i="17"/>
  <c r="AF110" i="17"/>
  <c r="AF351" i="17"/>
  <c r="AF371" i="17"/>
  <c r="AF33" i="17"/>
  <c r="AF112" i="17"/>
  <c r="AF494" i="17"/>
  <c r="AF201" i="17"/>
  <c r="AF461" i="17"/>
  <c r="AF26" i="17"/>
  <c r="AF81" i="17"/>
  <c r="AF294" i="17"/>
  <c r="AF168" i="17"/>
  <c r="AF381" i="17"/>
  <c r="AF193" i="17"/>
  <c r="AF208" i="17"/>
  <c r="AF203" i="17"/>
  <c r="AF429" i="17"/>
  <c r="AF223" i="17"/>
  <c r="AF133" i="17"/>
  <c r="AF348" i="17"/>
  <c r="AF198" i="17"/>
  <c r="AF109" i="17"/>
  <c r="AF164" i="17"/>
  <c r="AF321" i="17"/>
  <c r="AF455" i="17"/>
  <c r="AF47" i="17"/>
  <c r="AF173" i="17"/>
  <c r="AF40" i="17"/>
  <c r="AF281" i="17"/>
  <c r="AF247" i="17"/>
  <c r="AF136" i="17"/>
  <c r="AF155" i="17"/>
  <c r="AF263" i="17"/>
  <c r="AF78" i="17"/>
  <c r="AF419" i="17"/>
  <c r="AF253" i="17"/>
  <c r="AF265" i="17"/>
  <c r="AF234" i="17"/>
  <c r="AF48" i="17"/>
  <c r="AF441" i="17"/>
  <c r="AF96" i="17"/>
  <c r="AF357" i="17"/>
  <c r="AF366" i="17"/>
  <c r="AF315" i="17"/>
  <c r="AF271" i="17"/>
  <c r="AF83" i="17"/>
  <c r="AF44" i="17"/>
  <c r="AF24" i="17"/>
  <c r="AF8" i="17"/>
  <c r="AF59" i="17"/>
  <c r="AF300" i="17"/>
  <c r="AF228" i="17"/>
  <c r="AF4" i="17"/>
  <c r="AF411" i="17"/>
  <c r="AF252" i="17"/>
  <c r="AF410" i="17"/>
  <c r="AF388" i="17"/>
  <c r="AF186" i="17"/>
  <c r="AF220" i="17"/>
  <c r="AF30" i="17"/>
  <c r="AF416" i="17"/>
  <c r="AF6" i="17"/>
  <c r="AF62" i="17"/>
  <c r="AF129" i="17"/>
  <c r="AF121" i="17"/>
  <c r="AF103" i="17"/>
  <c r="AF400" i="17"/>
  <c r="AF218" i="17"/>
  <c r="AF275" i="17"/>
  <c r="AF85" i="17"/>
  <c r="AF462" i="17"/>
  <c r="AF105" i="17"/>
  <c r="AF2" i="17"/>
  <c r="AF187" i="17"/>
  <c r="AF74" i="17"/>
  <c r="AF379" i="17"/>
  <c r="AF175" i="17"/>
  <c r="AF344" i="17"/>
  <c r="AF279" i="17"/>
  <c r="AF104" i="17"/>
  <c r="AF236" i="17"/>
  <c r="AF451" i="17"/>
  <c r="AF327" i="17"/>
  <c r="AF420" i="17"/>
  <c r="AF269" i="17"/>
  <c r="AF312" i="17"/>
  <c r="AF232" i="17"/>
  <c r="AF347" i="17"/>
  <c r="AF449" i="17"/>
  <c r="AF386" i="17"/>
  <c r="AF45" i="17"/>
  <c r="AF19" i="17"/>
  <c r="AF283" i="17"/>
  <c r="AF299" i="17"/>
  <c r="AF320" i="17"/>
  <c r="AF177" i="17"/>
  <c r="AF204" i="17"/>
  <c r="AF113" i="17"/>
  <c r="AF116" i="17"/>
  <c r="AF326" i="17"/>
  <c r="AF182" i="17"/>
  <c r="AF470" i="17"/>
  <c r="AF72" i="17"/>
  <c r="AF79" i="17"/>
  <c r="AF141" i="17"/>
  <c r="AF415" i="17"/>
  <c r="AF438" i="17"/>
  <c r="AF53" i="17"/>
  <c r="AF29" i="17"/>
  <c r="AF450" i="17"/>
  <c r="AF392" i="17"/>
  <c r="AF75" i="17"/>
  <c r="AF342" i="17"/>
  <c r="AF372" i="17"/>
  <c r="AF42" i="17"/>
  <c r="AF397" i="17"/>
  <c r="AF331" i="17"/>
  <c r="AF412" i="17"/>
  <c r="AF56" i="17"/>
  <c r="AF256" i="17"/>
  <c r="AF217" i="17"/>
  <c r="AF92" i="17"/>
  <c r="AF311" i="17"/>
  <c r="AF425" i="17"/>
  <c r="AF354" i="17"/>
  <c r="AF490" i="17"/>
  <c r="AF469" i="17"/>
  <c r="AF131" i="17"/>
  <c r="AF249" i="17"/>
  <c r="AF383" i="17"/>
  <c r="AF89" i="17"/>
  <c r="AF69" i="17"/>
  <c r="AF440" i="17"/>
  <c r="AF317" i="17"/>
  <c r="AF401" i="17"/>
  <c r="AF426" i="17"/>
  <c r="AF25" i="17"/>
  <c r="AF435" i="17"/>
  <c r="AF407" i="17"/>
  <c r="AF255" i="17"/>
  <c r="AF456" i="17"/>
  <c r="AF140" i="17"/>
  <c r="AF421" i="17"/>
  <c r="AF341" i="17"/>
  <c r="AF169" i="17"/>
  <c r="AF501" i="17"/>
  <c r="AF473" i="17"/>
  <c r="AF378" i="17"/>
  <c r="AF403" i="17"/>
  <c r="AF289" i="17"/>
  <c r="AF64" i="17"/>
  <c r="AF146" i="17"/>
  <c r="AF135" i="17"/>
  <c r="AF448" i="17"/>
  <c r="AF233" i="17"/>
  <c r="AF481" i="17"/>
  <c r="AF457" i="17"/>
  <c r="AF260" i="17"/>
  <c r="AF95" i="17"/>
  <c r="AF172" i="17"/>
  <c r="AF395" i="17"/>
  <c r="AF66" i="17"/>
  <c r="AF364" i="17"/>
  <c r="AF31" i="17"/>
  <c r="AF248" i="17"/>
  <c r="AF479" i="17"/>
  <c r="AF290" i="17"/>
  <c r="AF349" i="17"/>
  <c r="AF14" i="17"/>
  <c r="AF197" i="17"/>
  <c r="AF251" i="17"/>
  <c r="AF71" i="17"/>
  <c r="AF209" i="17"/>
  <c r="AF466" i="17"/>
  <c r="AF171" i="17"/>
  <c r="AF486" i="17"/>
  <c r="AF181" i="17"/>
  <c r="AF337" i="17"/>
  <c r="AF436" i="17"/>
  <c r="AF93" i="17"/>
  <c r="AF328" i="17"/>
  <c r="AF144" i="17"/>
  <c r="AF122" i="17"/>
  <c r="AF126" i="17"/>
  <c r="AF268" i="17"/>
  <c r="AF219" i="17"/>
  <c r="AF150" i="17"/>
  <c r="AF483" i="17"/>
  <c r="AF443" i="17"/>
  <c r="AF467" i="17"/>
  <c r="AF380" i="17"/>
  <c r="AF76" i="17"/>
  <c r="AF189" i="17"/>
  <c r="AF356" i="17"/>
  <c r="AF391" i="17"/>
  <c r="AF302" i="17"/>
  <c r="AF284" i="17"/>
  <c r="AF433" i="17"/>
  <c r="AF398" i="17"/>
  <c r="AF55" i="17"/>
  <c r="AF57" i="17"/>
  <c r="AF332" i="17"/>
  <c r="AF384" i="17"/>
  <c r="AF282" i="17"/>
  <c r="AF499" i="17"/>
  <c r="AF21" i="17"/>
  <c r="AF285" i="17"/>
  <c r="AF125" i="17"/>
  <c r="AF345" i="17"/>
  <c r="AF261" i="17"/>
  <c r="AF367" i="17"/>
  <c r="AF447" i="17"/>
  <c r="AF404" i="17"/>
  <c r="AF493" i="17"/>
  <c r="AF296" i="17"/>
  <c r="AF468" i="17"/>
  <c r="AF373" i="17"/>
  <c r="AF58" i="17"/>
  <c r="AF214" i="17"/>
  <c r="AF161" i="17"/>
  <c r="AF82" i="17"/>
  <c r="AF226" i="17"/>
  <c r="AF370" i="17"/>
  <c r="AF346" i="17"/>
  <c r="AF149" i="17"/>
  <c r="AF70" i="17"/>
  <c r="AF185" i="17"/>
  <c r="AF94" i="17"/>
  <c r="AF238" i="17"/>
  <c r="AF382" i="17"/>
  <c r="AF41" i="17"/>
  <c r="AF202" i="17"/>
  <c r="AF245" i="17"/>
  <c r="AF106" i="17"/>
  <c r="AF250" i="17"/>
  <c r="AF394" i="17"/>
  <c r="AF358" i="17"/>
  <c r="AF293" i="17"/>
  <c r="AF118" i="17"/>
  <c r="AF262" i="17"/>
  <c r="AF406" i="17"/>
  <c r="AF130" i="17"/>
  <c r="AF329" i="17"/>
  <c r="AF142" i="17"/>
  <c r="AF286" i="17"/>
  <c r="AF478" i="17"/>
  <c r="AF46" i="17"/>
  <c r="AF305" i="17"/>
  <c r="AF442" i="17"/>
  <c r="AF389" i="17"/>
  <c r="AF10" i="17"/>
  <c r="AF154" i="17"/>
  <c r="AF298" i="17"/>
  <c r="AF334" i="17"/>
  <c r="AF274" i="17"/>
  <c r="AF5" i="17"/>
  <c r="AF22" i="17"/>
  <c r="AF166" i="17"/>
  <c r="AF310" i="17"/>
  <c r="AF190" i="17"/>
  <c r="AF101" i="17"/>
  <c r="AF17" i="17"/>
  <c r="AF34" i="17"/>
  <c r="AF178" i="17"/>
  <c r="AF322" i="17"/>
  <c r="X4" i="9" l="1"/>
  <c r="Y4" i="9" s="1"/>
  <c r="X6" i="9"/>
  <c r="Y6" i="9" s="1"/>
  <c r="X3" i="9"/>
  <c r="Y3" i="9" s="1"/>
  <c r="W2" i="9"/>
  <c r="X5" i="9"/>
  <c r="X8" i="9"/>
  <c r="Y8" i="9" s="1"/>
  <c r="X2" i="9"/>
  <c r="W14" i="9" s="1"/>
  <c r="W5" i="9"/>
  <c r="Y5" i="9" s="1"/>
  <c r="X9" i="9"/>
  <c r="Y9" i="9" s="1"/>
  <c r="X7" i="9"/>
  <c r="Y7" i="9" s="1"/>
  <c r="Y2" i="9"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8EBF28-2706-4B39-A023-27CDC54F56BF}" keepAlive="1" name="Query - dim_calendar" description="Connection to the 'dim_calendar' query in the workbook." type="5" refreshedVersion="8" background="1" saveData="1">
    <dbPr connection="Provider=Microsoft.Mashup.OleDb.1;Data Source=$Workbook$;Location=dim_calendar;Extended Properties=&quot;&quot;" command="SELECT * FROM [dim_calendar]"/>
  </connection>
  <connection id="2" xr16:uid="{32D4085E-99C8-4EBF-A20F-23B86719698E}" keepAlive="1" name="Query - dim_company" description="Connection to the 'dim_company' query in the workbook." type="5" refreshedVersion="8" background="1" saveData="1">
    <dbPr connection="Provider=Microsoft.Mashup.OleDb.1;Data Source=$Workbook$;Location=dim_company;Extended Properties=&quot;&quot;" command="SELECT * FROM [dim_company]"/>
  </connection>
  <connection id="3" xr16:uid="{A724CC13-90AB-4DDA-9E54-BC7E21E0D716}" keepAlive="1" name="Query - dim_exchange" description="Connection to the 'dim_exchange' query in the workbook." type="5" refreshedVersion="8" background="1" saveData="1">
    <dbPr connection="Provider=Microsoft.Mashup.OleDb.1;Data Source=$Workbook$;Location=dim_exchange;Extended Properties=&quot;&quot;" command="SELECT * FROM [dim_exchange]"/>
  </connection>
  <connection id="4" xr16:uid="{1920579B-213B-46F7-9B9D-AEFABD59F63D}" keepAlive="1" name="Query - dim_portfolio" description="Connection to the 'dim_portfolio' query in the workbook." type="5" refreshedVersion="8" background="1" saveData="1">
    <dbPr connection="Provider=Microsoft.Mashup.OleDb.1;Data Source=$Workbook$;Location=dim_portfolio;Extended Properties=&quot;&quot;" command="SELECT * FROM [dim_portfolio]"/>
  </connection>
  <connection id="5" xr16:uid="{8502E7DA-B0E4-4B83-8507-C6B63C5BB272}" keepAlive="1" name="Query - dim_sector" description="Connection to the 'dim_sector' query in the workbook." type="5" refreshedVersion="8" background="1" saveData="1">
    <dbPr connection="Provider=Microsoft.Mashup.OleDb.1;Data Source=$Workbook$;Location=dim_sector;Extended Properties=&quot;&quot;" command="SELECT * FROM [dim_sector]"/>
  </connection>
  <connection id="6" xr16:uid="{9E1BFB5C-6011-471B-AC04-13EAA7F17597}" keepAlive="1" name="Query - dim_trader" description="Connection to the 'dim_trader' query in the workbook." type="5" refreshedVersion="8" background="1" saveData="1">
    <dbPr connection="Provider=Microsoft.Mashup.OleDb.1;Data Source=$Workbook$;Location=dim_trader;Extended Properties=&quot;&quot;" command="SELECT * FROM [dim_trader]"/>
  </connection>
  <connection id="7" xr16:uid="{11F1FC40-623A-464C-8D39-F7B61EC48D8E}" keepAlive="1" name="Query - fact_daily_prices" description="Connection to the 'fact_daily_prices' query in the workbook." type="5" refreshedVersion="8" background="1" saveData="1">
    <dbPr connection="Provider=Microsoft.Mashup.OleDb.1;Data Source=$Workbook$;Location=fact_daily_prices;Extended Properties=&quot;&quot;" command="SELECT * FROM [fact_daily_prices]"/>
  </connection>
  <connection id="8" xr16:uid="{0B2E8DCE-6923-404E-B258-B25C029F743B}" keepAlive="1" name="Query - fact_dividends" description="Connection to the 'fact_dividends' query in the workbook." type="5" refreshedVersion="8" background="1" saveData="1">
    <dbPr connection="Provider=Microsoft.Mashup.OleDb.1;Data Source=$Workbook$;Location=fact_dividends;Extended Properties=&quot;&quot;" command="SELECT * FROM [fact_dividends]"/>
  </connection>
  <connection id="9" xr16:uid="{BCE91C10-A6E3-48F7-92D4-6585FB65693A}" keepAlive="1" name="Query - fact_orders" description="Connection to the 'fact_orders' query in the workbook." type="5" refreshedVersion="8" background="1" saveData="1">
    <dbPr connection="Provider=Microsoft.Mashup.OleDb.1;Data Source=$Workbook$;Location=fact_orders;Extended Properties=&quot;&quot;" command="SELECT * FROM [fact_orders]"/>
  </connection>
  <connection id="10" xr16:uid="{AB06C424-9B66-4124-9A7C-BC15116379D5}" keepAlive="1" name="Query - fact_positions_snapshot" description="Connection to the 'fact_positions_snapshot' query in the workbook." type="5" refreshedVersion="8" background="1" saveData="1">
    <dbPr connection="Provider=Microsoft.Mashup.OleDb.1;Data Source=$Workbook$;Location=fact_positions_snapshot;Extended Properties=&quot;&quot;" command="SELECT * FROM [fact_positions_snapshot]"/>
  </connection>
  <connection id="11" xr16:uid="{863202A6-A34B-40C4-9EDF-4D3243D58223}" keepAlive="1" name="Query - fact_splits" description="Connection to the 'fact_splits' query in the workbook." type="5" refreshedVersion="8" background="1" saveData="1">
    <dbPr connection="Provider=Microsoft.Mashup.OleDb.1;Data Source=$Workbook$;Location=fact_splits;Extended Properties=&quot;&quot;" command="SELECT * FROM [fact_splits]"/>
  </connection>
  <connection id="12" xr16:uid="{12E7BFC6-F896-43F7-94A8-1C6450F0C978}" keepAlive="1" name="Query - fact_trades" description="Connection to the 'fact_trades' query in the workbook." type="5" refreshedVersion="8" background="1" saveData="1">
    <dbPr connection="Provider=Microsoft.Mashup.OleDb.1;Data Source=$Workbook$;Location=fact_trades;Extended Properties=&quot;&quot;" command="SELECT * FROM [fact_trades]"/>
  </connection>
  <connection id="13" xr16:uid="{D67FE34C-C351-4319-A5F1-7D49AB583DE7}" keepAlive="1" name="Query - fact_trades (2)" description="Connection to the 'fact_trades (2)' query in the workbook." type="5" refreshedVersion="8" background="1" saveData="1">
    <dbPr connection="Provider=Microsoft.Mashup.OleDb.1;Data Source=$Workbook$;Location=&quot;fact_trades (2)&quot;;Extended Properties=&quot;&quot;" command="SELECT * FROM [fact_trades (2)]"/>
  </connection>
  <connection id="14" xr16:uid="{4AC483FB-46B1-4A7F-9303-CF707E62C536}" keepAlive="1" name="Query - fact_trades (3)" description="Connection to the 'fact_trades (3)' query in the workbook." type="5" refreshedVersion="8" background="1" saveData="1">
    <dbPr connection="Provider=Microsoft.Mashup.OleDb.1;Data Source=$Workbook$;Location=&quot;fact_trades (3)&quot;;Extended Properties=&quot;&quot;" command="SELECT * FROM [fact_trades (3)]"/>
  </connection>
  <connection id="15" xr16:uid="{B936A1E6-B87C-4E3E-8A24-2A92E3323494}"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16" xr16:uid="{96F68277-1776-4B66-9FB0-FB1F6AD7B36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7" xr16:uid="{C42A72F7-3E1C-4A38-8ED8-3966B980B725}" name="WorksheetConnection_stock_market_dashboard.xlsx!fact_trades" type="102" refreshedVersion="8" minRefreshableVersion="5">
    <extLst>
      <ext xmlns:x15="http://schemas.microsoft.com/office/spreadsheetml/2010/11/main" uri="{DE250136-89BD-433C-8126-D09CA5730AF9}">
        <x15:connection id="fact_trades" autoDelete="1">
          <x15:rangePr sourceName="_xlcn.WorksheetConnection_stock_market_dashboard.xlsxfact_trades1"/>
        </x15:connection>
      </ext>
    </extLst>
  </connection>
  <connection id="18" xr16:uid="{3C6C2FBD-DCC2-427C-BC75-4E5A3ABA7E98}" name="WorksheetConnection_stock_market_dashboard.xlsx!Table15" type="102" refreshedVersion="8" minRefreshableVersion="5">
    <extLst>
      <ext xmlns:x15="http://schemas.microsoft.com/office/spreadsheetml/2010/11/main" uri="{DE250136-89BD-433C-8126-D09CA5730AF9}">
        <x15:connection id="Table15">
          <x15:rangePr sourceName="_xlcn.WorksheetConnection_stock_market_dashboard.xlsxTable15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fact_trades].[side].&amp;[SE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<sst xmlns="http://schemas.openxmlformats.org/spreadsheetml/2006/main" count="9496" uniqueCount="1228">
  <si>
    <t>date</t>
  </si>
  <si>
    <t>company_id</t>
  </si>
  <si>
    <t>ticker</t>
  </si>
  <si>
    <t>company_name</t>
  </si>
  <si>
    <t>sector_id</t>
  </si>
  <si>
    <t>exchange_id</t>
  </si>
  <si>
    <t>COMP001</t>
  </si>
  <si>
    <t>TCS</t>
  </si>
  <si>
    <t>Tata Consultancy Services</t>
  </si>
  <si>
    <t>SEC01</t>
  </si>
  <si>
    <t>EXCH01</t>
  </si>
  <si>
    <t>COMP002</t>
  </si>
  <si>
    <t>INFY</t>
  </si>
  <si>
    <t>Infosys</t>
  </si>
  <si>
    <t>COMP003</t>
  </si>
  <si>
    <t>HDFCBANK</t>
  </si>
  <si>
    <t>HDFC Bank</t>
  </si>
  <si>
    <t>SEC02</t>
  </si>
  <si>
    <t>COMP004</t>
  </si>
  <si>
    <t>RELIANCE</t>
  </si>
  <si>
    <t>Reliance Industries</t>
  </si>
  <si>
    <t>SEC04</t>
  </si>
  <si>
    <t>COMP005</t>
  </si>
  <si>
    <t>AAPL</t>
  </si>
  <si>
    <t>Apple Inc.</t>
  </si>
  <si>
    <t>EXCH02</t>
  </si>
  <si>
    <t>COMP006</t>
  </si>
  <si>
    <t>MSFT</t>
  </si>
  <si>
    <t>Microsoft Corp.</t>
  </si>
  <si>
    <t>COMP007</t>
  </si>
  <si>
    <t>AMZN</t>
  </si>
  <si>
    <t>Amazon.com Inc.</t>
  </si>
  <si>
    <t>SEC05</t>
  </si>
  <si>
    <t>COMP008</t>
  </si>
  <si>
    <t>PFE</t>
  </si>
  <si>
    <t>Pfizer Inc.</t>
  </si>
  <si>
    <t>SEC03</t>
  </si>
  <si>
    <t>exchange_name</t>
  </si>
  <si>
    <t>country</t>
  </si>
  <si>
    <t>currency</t>
  </si>
  <si>
    <t>NSE</t>
  </si>
  <si>
    <t>India</t>
  </si>
  <si>
    <t>INR</t>
  </si>
  <si>
    <t>NASDAQ</t>
  </si>
  <si>
    <t>USA</t>
  </si>
  <si>
    <t>USD</t>
  </si>
  <si>
    <t>portfolio_id</t>
  </si>
  <si>
    <t>portfolio_name</t>
  </si>
  <si>
    <t>manager</t>
  </si>
  <si>
    <t>PF000001</t>
  </si>
  <si>
    <t>Portfolio 1</t>
  </si>
  <si>
    <t>Skyler Wilson</t>
  </si>
  <si>
    <t>PF000002</t>
  </si>
  <si>
    <t>Portfolio 2</t>
  </si>
  <si>
    <t>Rowan Garcia</t>
  </si>
  <si>
    <t>PF000003</t>
  </si>
  <si>
    <t>Portfolio 3</t>
  </si>
  <si>
    <t>Drew Garcia</t>
  </si>
  <si>
    <t>PF000004</t>
  </si>
  <si>
    <t>Portfolio 4</t>
  </si>
  <si>
    <t>Avery Harris</t>
  </si>
  <si>
    <t>PF000005</t>
  </si>
  <si>
    <t>Portfolio 5</t>
  </si>
  <si>
    <t>Kai Brown</t>
  </si>
  <si>
    <t>PF000006</t>
  </si>
  <si>
    <t>Portfolio 6</t>
  </si>
  <si>
    <t>Kendall Anderson</t>
  </si>
  <si>
    <t>PF000007</t>
  </si>
  <si>
    <t>Portfolio 7</t>
  </si>
  <si>
    <t>Kendall Wilson</t>
  </si>
  <si>
    <t>PF000008</t>
  </si>
  <si>
    <t>Portfolio 8</t>
  </si>
  <si>
    <t>Elliot Williams</t>
  </si>
  <si>
    <t>PF000009</t>
  </si>
  <si>
    <t>Portfolio 9</t>
  </si>
  <si>
    <t>Casey White</t>
  </si>
  <si>
    <t>PF000010</t>
  </si>
  <si>
    <t>Portfolio 10</t>
  </si>
  <si>
    <t>Skyler Lee</t>
  </si>
  <si>
    <t>sector_name</t>
  </si>
  <si>
    <t>Information Technology</t>
  </si>
  <si>
    <t>Financials</t>
  </si>
  <si>
    <t>Healthcare</t>
  </si>
  <si>
    <t>Energy</t>
  </si>
  <si>
    <t>Consumer Discretionary</t>
  </si>
  <si>
    <t>trader_id</t>
  </si>
  <si>
    <t>trader_name</t>
  </si>
  <si>
    <t>desk</t>
  </si>
  <si>
    <t>TRD000001</t>
  </si>
  <si>
    <t>Taylor Shah</t>
  </si>
  <si>
    <t>Momentum</t>
  </si>
  <si>
    <t>TRD000002</t>
  </si>
  <si>
    <t>Drew Williams</t>
  </si>
  <si>
    <t>Alpha</t>
  </si>
  <si>
    <t>TRD000003</t>
  </si>
  <si>
    <t>Avery Garcia</t>
  </si>
  <si>
    <t>Discretionary</t>
  </si>
  <si>
    <t>TRD000004</t>
  </si>
  <si>
    <t>Taylor Harris</t>
  </si>
  <si>
    <t>Quant</t>
  </si>
  <si>
    <t>TRD000005</t>
  </si>
  <si>
    <t>Jordan Clark</t>
  </si>
  <si>
    <t>TRD000006</t>
  </si>
  <si>
    <t>Reese Patel</t>
  </si>
  <si>
    <t>TRD000007</t>
  </si>
  <si>
    <t>Alex Lee</t>
  </si>
  <si>
    <t>TRD000008</t>
  </si>
  <si>
    <t>Morgan Williams</t>
  </si>
  <si>
    <t>TRD000009</t>
  </si>
  <si>
    <t>Robin Lewis</t>
  </si>
  <si>
    <t>TRD000010</t>
  </si>
  <si>
    <t>Alex Harris</t>
  </si>
  <si>
    <t>TRD000011</t>
  </si>
  <si>
    <t>Morgan Harris</t>
  </si>
  <si>
    <t>TRD000012</t>
  </si>
  <si>
    <t>Reese Williams</t>
  </si>
  <si>
    <t>TRD000013</t>
  </si>
  <si>
    <t>Rowan Clark</t>
  </si>
  <si>
    <t>TRD000014</t>
  </si>
  <si>
    <t>Drew Shah</t>
  </si>
  <si>
    <t>TRD000015</t>
  </si>
  <si>
    <t>Jamie Anderson</t>
  </si>
  <si>
    <t>TRD000016</t>
  </si>
  <si>
    <t>Hayden Brown</t>
  </si>
  <si>
    <t>TRD000017</t>
  </si>
  <si>
    <t>Casey Khan</t>
  </si>
  <si>
    <t>TRD000018</t>
  </si>
  <si>
    <t>Hayden Nguyen</t>
  </si>
  <si>
    <t>TRD000019</t>
  </si>
  <si>
    <t>Jordan Wilson</t>
  </si>
  <si>
    <t>TRD000020</t>
  </si>
  <si>
    <t>Taylor Miller</t>
  </si>
  <si>
    <t>TRD000021</t>
  </si>
  <si>
    <t>Elliot Lewis</t>
  </si>
  <si>
    <t>TRD000022</t>
  </si>
  <si>
    <t>Drew Patel</t>
  </si>
  <si>
    <t>TRD000023</t>
  </si>
  <si>
    <t>Rowan Harris</t>
  </si>
  <si>
    <t>TRD000024</t>
  </si>
  <si>
    <t>Taylor Wilson</t>
  </si>
  <si>
    <t>TRD000025</t>
  </si>
  <si>
    <t>Jordan Harris</t>
  </si>
  <si>
    <t>TRD000026</t>
  </si>
  <si>
    <t>Riley Lewis</t>
  </si>
  <si>
    <t>TRD000027</t>
  </si>
  <si>
    <t>Elliot Clark</t>
  </si>
  <si>
    <t>TRD000028</t>
  </si>
  <si>
    <t>Morgan Lee</t>
  </si>
  <si>
    <t>TRD000029</t>
  </si>
  <si>
    <t>Sam Williams</t>
  </si>
  <si>
    <t>TRD000030</t>
  </si>
  <si>
    <t>Riley Lee</t>
  </si>
  <si>
    <t>dividend_per_share</t>
  </si>
  <si>
    <t>open</t>
  </si>
  <si>
    <t>high</t>
  </si>
  <si>
    <t>low</t>
  </si>
  <si>
    <t>close</t>
  </si>
  <si>
    <t>volume</t>
  </si>
  <si>
    <t>order_id</t>
  </si>
  <si>
    <t>order_ts</t>
  </si>
  <si>
    <t>side</t>
  </si>
  <si>
    <t>quantity</t>
  </si>
  <si>
    <t>status</t>
  </si>
  <si>
    <t>order_type</t>
  </si>
  <si>
    <t>limit_price</t>
  </si>
  <si>
    <t>ORD00001</t>
  </si>
  <si>
    <t>BUY</t>
  </si>
  <si>
    <t>FILLED</t>
  </si>
  <si>
    <t>MARKET</t>
  </si>
  <si>
    <t>ORD00002</t>
  </si>
  <si>
    <t>ORD00003</t>
  </si>
  <si>
    <t>SELL</t>
  </si>
  <si>
    <t>ORD00004</t>
  </si>
  <si>
    <t>ORD00005</t>
  </si>
  <si>
    <t>ORD00006</t>
  </si>
  <si>
    <t>ORD00007</t>
  </si>
  <si>
    <t>ORD00008</t>
  </si>
  <si>
    <t>ORD00009</t>
  </si>
  <si>
    <t>ORD00010</t>
  </si>
  <si>
    <t>ORD00011</t>
  </si>
  <si>
    <t>ORD00012</t>
  </si>
  <si>
    <t>ORD00013</t>
  </si>
  <si>
    <t>ORD00014</t>
  </si>
  <si>
    <t>ORD00015</t>
  </si>
  <si>
    <t>ORD00016</t>
  </si>
  <si>
    <t>ORD00017</t>
  </si>
  <si>
    <t>ORD00018</t>
  </si>
  <si>
    <t>ORD00019</t>
  </si>
  <si>
    <t>ORD00020</t>
  </si>
  <si>
    <t>ORD00021</t>
  </si>
  <si>
    <t>ORD00022</t>
  </si>
  <si>
    <t>ORD00023</t>
  </si>
  <si>
    <t>ORD00024</t>
  </si>
  <si>
    <t>ORD00025</t>
  </si>
  <si>
    <t>ORD00026</t>
  </si>
  <si>
    <t>ORD00027</t>
  </si>
  <si>
    <t>ORD00028</t>
  </si>
  <si>
    <t>ORD00029</t>
  </si>
  <si>
    <t>ORD00030</t>
  </si>
  <si>
    <t>ORD00031</t>
  </si>
  <si>
    <t>ORD00032</t>
  </si>
  <si>
    <t>ORD00033</t>
  </si>
  <si>
    <t>ORD00034</t>
  </si>
  <si>
    <t>ORD00035</t>
  </si>
  <si>
    <t>ORD00036</t>
  </si>
  <si>
    <t>ORD00037</t>
  </si>
  <si>
    <t>ORD00038</t>
  </si>
  <si>
    <t>ORD00039</t>
  </si>
  <si>
    <t>ORD00040</t>
  </si>
  <si>
    <t>ORD00041</t>
  </si>
  <si>
    <t>ORD00042</t>
  </si>
  <si>
    <t>ORD00043</t>
  </si>
  <si>
    <t>ORD00044</t>
  </si>
  <si>
    <t>ORD00045</t>
  </si>
  <si>
    <t>ORD00046</t>
  </si>
  <si>
    <t>ORD00047</t>
  </si>
  <si>
    <t>ORD00048</t>
  </si>
  <si>
    <t>ORD00049</t>
  </si>
  <si>
    <t>ORD00050</t>
  </si>
  <si>
    <t>ORD00051</t>
  </si>
  <si>
    <t>ORD00052</t>
  </si>
  <si>
    <t>ORD00053</t>
  </si>
  <si>
    <t>ORD00054</t>
  </si>
  <si>
    <t>ORD00055</t>
  </si>
  <si>
    <t>ORD00056</t>
  </si>
  <si>
    <t>ORD00057</t>
  </si>
  <si>
    <t>ORD00058</t>
  </si>
  <si>
    <t>ORD00059</t>
  </si>
  <si>
    <t>ORD00060</t>
  </si>
  <si>
    <t>ORD00061</t>
  </si>
  <si>
    <t>ORD00062</t>
  </si>
  <si>
    <t>ORD00063</t>
  </si>
  <si>
    <t>ORD00064</t>
  </si>
  <si>
    <t>ORD00065</t>
  </si>
  <si>
    <t>ORD00066</t>
  </si>
  <si>
    <t>ORD00067</t>
  </si>
  <si>
    <t>ORD00068</t>
  </si>
  <si>
    <t>ORD00069</t>
  </si>
  <si>
    <t>ORD00070</t>
  </si>
  <si>
    <t>ORD00071</t>
  </si>
  <si>
    <t>ORD00072</t>
  </si>
  <si>
    <t>ORD00073</t>
  </si>
  <si>
    <t>ORD00074</t>
  </si>
  <si>
    <t>ORD00075</t>
  </si>
  <si>
    <t>ORD00076</t>
  </si>
  <si>
    <t>ORD00077</t>
  </si>
  <si>
    <t>ORD00078</t>
  </si>
  <si>
    <t>ORD00079</t>
  </si>
  <si>
    <t>ORD00080</t>
  </si>
  <si>
    <t>ORD00081</t>
  </si>
  <si>
    <t>ORD00082</t>
  </si>
  <si>
    <t>ORD00083</t>
  </si>
  <si>
    <t>ORD00084</t>
  </si>
  <si>
    <t>ORD00085</t>
  </si>
  <si>
    <t>ORD00086</t>
  </si>
  <si>
    <t>ORD00087</t>
  </si>
  <si>
    <t>ORD00088</t>
  </si>
  <si>
    <t>ORD00089</t>
  </si>
  <si>
    <t>ORD00090</t>
  </si>
  <si>
    <t>ORD00091</t>
  </si>
  <si>
    <t>ORD00092</t>
  </si>
  <si>
    <t>ORD00093</t>
  </si>
  <si>
    <t>ORD00094</t>
  </si>
  <si>
    <t>ORD00095</t>
  </si>
  <si>
    <t>ORD00096</t>
  </si>
  <si>
    <t>ORD00097</t>
  </si>
  <si>
    <t>ORD00098</t>
  </si>
  <si>
    <t>ORD00099</t>
  </si>
  <si>
    <t>ORD00100</t>
  </si>
  <si>
    <t>ORD00101</t>
  </si>
  <si>
    <t>ORD00102</t>
  </si>
  <si>
    <t>ORD00103</t>
  </si>
  <si>
    <t>ORD00104</t>
  </si>
  <si>
    <t>ORD00105</t>
  </si>
  <si>
    <t>ORD00106</t>
  </si>
  <si>
    <t>ORD00107</t>
  </si>
  <si>
    <t>ORD00108</t>
  </si>
  <si>
    <t>ORD00109</t>
  </si>
  <si>
    <t>ORD00110</t>
  </si>
  <si>
    <t>ORD00111</t>
  </si>
  <si>
    <t>ORD00112</t>
  </si>
  <si>
    <t>ORD00113</t>
  </si>
  <si>
    <t>ORD00114</t>
  </si>
  <si>
    <t>ORD00115</t>
  </si>
  <si>
    <t>ORD00116</t>
  </si>
  <si>
    <t>ORD00117</t>
  </si>
  <si>
    <t>ORD00118</t>
  </si>
  <si>
    <t>ORD00119</t>
  </si>
  <si>
    <t>ORD00120</t>
  </si>
  <si>
    <t>ORD00121</t>
  </si>
  <si>
    <t>ORD00122</t>
  </si>
  <si>
    <t>ORD00123</t>
  </si>
  <si>
    <t>ORD00124</t>
  </si>
  <si>
    <t>ORD00125</t>
  </si>
  <si>
    <t>ORD00126</t>
  </si>
  <si>
    <t>ORD00127</t>
  </si>
  <si>
    <t>ORD00128</t>
  </si>
  <si>
    <t>ORD00129</t>
  </si>
  <si>
    <t>ORD00130</t>
  </si>
  <si>
    <t>ORD00131</t>
  </si>
  <si>
    <t>ORD00132</t>
  </si>
  <si>
    <t>ORD00133</t>
  </si>
  <si>
    <t>ORD00134</t>
  </si>
  <si>
    <t>ORD00135</t>
  </si>
  <si>
    <t>ORD00136</t>
  </si>
  <si>
    <t>ORD00137</t>
  </si>
  <si>
    <t>ORD00138</t>
  </si>
  <si>
    <t>ORD00139</t>
  </si>
  <si>
    <t>ORD00140</t>
  </si>
  <si>
    <t>ORD00141</t>
  </si>
  <si>
    <t>ORD00142</t>
  </si>
  <si>
    <t>ORD00143</t>
  </si>
  <si>
    <t>ORD00144</t>
  </si>
  <si>
    <t>ORD00145</t>
  </si>
  <si>
    <t>ORD00146</t>
  </si>
  <si>
    <t>ORD00147</t>
  </si>
  <si>
    <t>ORD00148</t>
  </si>
  <si>
    <t>ORD00149</t>
  </si>
  <si>
    <t>ORD00150</t>
  </si>
  <si>
    <t>ORD00151</t>
  </si>
  <si>
    <t>ORD00152</t>
  </si>
  <si>
    <t>ORD00153</t>
  </si>
  <si>
    <t>ORD00154</t>
  </si>
  <si>
    <t>ORD00155</t>
  </si>
  <si>
    <t>ORD00156</t>
  </si>
  <si>
    <t>ORD00157</t>
  </si>
  <si>
    <t>ORD00158</t>
  </si>
  <si>
    <t>ORD00159</t>
  </si>
  <si>
    <t>ORD00160</t>
  </si>
  <si>
    <t>ORD00161</t>
  </si>
  <si>
    <t>ORD00162</t>
  </si>
  <si>
    <t>ORD00163</t>
  </si>
  <si>
    <t>ORD00164</t>
  </si>
  <si>
    <t>ORD00165</t>
  </si>
  <si>
    <t>ORD00166</t>
  </si>
  <si>
    <t>ORD00167</t>
  </si>
  <si>
    <t>ORD00168</t>
  </si>
  <si>
    <t>ORD00169</t>
  </si>
  <si>
    <t>ORD00170</t>
  </si>
  <si>
    <t>ORD00171</t>
  </si>
  <si>
    <t>ORD00172</t>
  </si>
  <si>
    <t>ORD00173</t>
  </si>
  <si>
    <t>ORD00174</t>
  </si>
  <si>
    <t>ORD00175</t>
  </si>
  <si>
    <t>ORD00176</t>
  </si>
  <si>
    <t>ORD00177</t>
  </si>
  <si>
    <t>ORD00178</t>
  </si>
  <si>
    <t>ORD00179</t>
  </si>
  <si>
    <t>ORD00180</t>
  </si>
  <si>
    <t>ORD00181</t>
  </si>
  <si>
    <t>ORD00182</t>
  </si>
  <si>
    <t>ORD00183</t>
  </si>
  <si>
    <t>ORD00184</t>
  </si>
  <si>
    <t>ORD00185</t>
  </si>
  <si>
    <t>ORD00186</t>
  </si>
  <si>
    <t>ORD00187</t>
  </si>
  <si>
    <t>ORD00188</t>
  </si>
  <si>
    <t>ORD00189</t>
  </si>
  <si>
    <t>ORD00190</t>
  </si>
  <si>
    <t>ORD00191</t>
  </si>
  <si>
    <t>ORD00192</t>
  </si>
  <si>
    <t>ORD00193</t>
  </si>
  <si>
    <t>ORD00194</t>
  </si>
  <si>
    <t>ORD00195</t>
  </si>
  <si>
    <t>ORD00196</t>
  </si>
  <si>
    <t>ORD00197</t>
  </si>
  <si>
    <t>ORD00198</t>
  </si>
  <si>
    <t>ORD00199</t>
  </si>
  <si>
    <t>ORD00200</t>
  </si>
  <si>
    <t>ORD00201</t>
  </si>
  <si>
    <t>ORD00202</t>
  </si>
  <si>
    <t>ORD00203</t>
  </si>
  <si>
    <t>ORD00204</t>
  </si>
  <si>
    <t>ORD00205</t>
  </si>
  <si>
    <t>ORD00206</t>
  </si>
  <si>
    <t>ORD00207</t>
  </si>
  <si>
    <t>ORD00208</t>
  </si>
  <si>
    <t>ORD00209</t>
  </si>
  <si>
    <t>ORD00210</t>
  </si>
  <si>
    <t>ORD00211</t>
  </si>
  <si>
    <t>ORD00212</t>
  </si>
  <si>
    <t>ORD00213</t>
  </si>
  <si>
    <t>ORD00214</t>
  </si>
  <si>
    <t>ORD00215</t>
  </si>
  <si>
    <t>ORD00216</t>
  </si>
  <si>
    <t>ORD00217</t>
  </si>
  <si>
    <t>ORD00218</t>
  </si>
  <si>
    <t>ORD00219</t>
  </si>
  <si>
    <t>ORD00220</t>
  </si>
  <si>
    <t>ORD00221</t>
  </si>
  <si>
    <t>ORD00222</t>
  </si>
  <si>
    <t>ORD00223</t>
  </si>
  <si>
    <t>ORD00224</t>
  </si>
  <si>
    <t>ORD00225</t>
  </si>
  <si>
    <t>ORD00226</t>
  </si>
  <si>
    <t>ORD00227</t>
  </si>
  <si>
    <t>ORD00228</t>
  </si>
  <si>
    <t>ORD00229</t>
  </si>
  <si>
    <t>ORD00230</t>
  </si>
  <si>
    <t>ORD00231</t>
  </si>
  <si>
    <t>ORD00232</t>
  </si>
  <si>
    <t>ORD00233</t>
  </si>
  <si>
    <t>ORD00234</t>
  </si>
  <si>
    <t>ORD00235</t>
  </si>
  <si>
    <t>ORD00236</t>
  </si>
  <si>
    <t>ORD00237</t>
  </si>
  <si>
    <t>ORD00238</t>
  </si>
  <si>
    <t>ORD00239</t>
  </si>
  <si>
    <t>ORD00240</t>
  </si>
  <si>
    <t>ORD00241</t>
  </si>
  <si>
    <t>ORD00242</t>
  </si>
  <si>
    <t>ORD00243</t>
  </si>
  <si>
    <t>ORD00244</t>
  </si>
  <si>
    <t>ORD00245</t>
  </si>
  <si>
    <t>ORD00246</t>
  </si>
  <si>
    <t>ORD00247</t>
  </si>
  <si>
    <t>ORD00248</t>
  </si>
  <si>
    <t>ORD00249</t>
  </si>
  <si>
    <t>ORD00250</t>
  </si>
  <si>
    <t>ORD00251</t>
  </si>
  <si>
    <t>ORD00252</t>
  </si>
  <si>
    <t>ORD00253</t>
  </si>
  <si>
    <t>ORD00254</t>
  </si>
  <si>
    <t>ORD00255</t>
  </si>
  <si>
    <t>ORD00256</t>
  </si>
  <si>
    <t>ORD00257</t>
  </si>
  <si>
    <t>ORD00258</t>
  </si>
  <si>
    <t>ORD00259</t>
  </si>
  <si>
    <t>ORD00260</t>
  </si>
  <si>
    <t>ORD00261</t>
  </si>
  <si>
    <t>ORD00262</t>
  </si>
  <si>
    <t>ORD00263</t>
  </si>
  <si>
    <t>ORD00264</t>
  </si>
  <si>
    <t>ORD00265</t>
  </si>
  <si>
    <t>ORD00266</t>
  </si>
  <si>
    <t>ORD00267</t>
  </si>
  <si>
    <t>ORD00268</t>
  </si>
  <si>
    <t>ORD00269</t>
  </si>
  <si>
    <t>ORD00270</t>
  </si>
  <si>
    <t>ORD00271</t>
  </si>
  <si>
    <t>ORD00272</t>
  </si>
  <si>
    <t>ORD00273</t>
  </si>
  <si>
    <t>ORD00274</t>
  </si>
  <si>
    <t>ORD00275</t>
  </si>
  <si>
    <t>ORD00276</t>
  </si>
  <si>
    <t>ORD00277</t>
  </si>
  <si>
    <t>ORD00278</t>
  </si>
  <si>
    <t>ORD00279</t>
  </si>
  <si>
    <t>ORD00280</t>
  </si>
  <si>
    <t>ORD00281</t>
  </si>
  <si>
    <t>ORD00282</t>
  </si>
  <si>
    <t>ORD00283</t>
  </si>
  <si>
    <t>ORD00284</t>
  </si>
  <si>
    <t>ORD00285</t>
  </si>
  <si>
    <t>ORD00286</t>
  </si>
  <si>
    <t>ORD00287</t>
  </si>
  <si>
    <t>ORD00288</t>
  </si>
  <si>
    <t>ORD00289</t>
  </si>
  <si>
    <t>ORD00290</t>
  </si>
  <si>
    <t>ORD00291</t>
  </si>
  <si>
    <t>ORD00292</t>
  </si>
  <si>
    <t>ORD00293</t>
  </si>
  <si>
    <t>ORD00294</t>
  </si>
  <si>
    <t>ORD00295</t>
  </si>
  <si>
    <t>ORD00296</t>
  </si>
  <si>
    <t>ORD00297</t>
  </si>
  <si>
    <t>ORD00298</t>
  </si>
  <si>
    <t>ORD00299</t>
  </si>
  <si>
    <t>ORD00300</t>
  </si>
  <si>
    <t>ORD00301</t>
  </si>
  <si>
    <t>ORD00302</t>
  </si>
  <si>
    <t>ORD00303</t>
  </si>
  <si>
    <t>ORD00304</t>
  </si>
  <si>
    <t>ORD00305</t>
  </si>
  <si>
    <t>ORD00306</t>
  </si>
  <si>
    <t>ORD00307</t>
  </si>
  <si>
    <t>ORD00308</t>
  </si>
  <si>
    <t>ORD00309</t>
  </si>
  <si>
    <t>ORD00310</t>
  </si>
  <si>
    <t>ORD00311</t>
  </si>
  <si>
    <t>ORD00312</t>
  </si>
  <si>
    <t>ORD00313</t>
  </si>
  <si>
    <t>ORD00314</t>
  </si>
  <si>
    <t>ORD00315</t>
  </si>
  <si>
    <t>ORD00316</t>
  </si>
  <si>
    <t>ORD00317</t>
  </si>
  <si>
    <t>ORD00318</t>
  </si>
  <si>
    <t>ORD00319</t>
  </si>
  <si>
    <t>ORD00320</t>
  </si>
  <si>
    <t>ORD00321</t>
  </si>
  <si>
    <t>ORD00322</t>
  </si>
  <si>
    <t>ORD00323</t>
  </si>
  <si>
    <t>ORD00324</t>
  </si>
  <si>
    <t>ORD00325</t>
  </si>
  <si>
    <t>ORD00326</t>
  </si>
  <si>
    <t>ORD00327</t>
  </si>
  <si>
    <t>ORD00328</t>
  </si>
  <si>
    <t>ORD00329</t>
  </si>
  <si>
    <t>ORD00330</t>
  </si>
  <si>
    <t>ORD00331</t>
  </si>
  <si>
    <t>ORD00332</t>
  </si>
  <si>
    <t>ORD00333</t>
  </si>
  <si>
    <t>ORD00334</t>
  </si>
  <si>
    <t>ORD00335</t>
  </si>
  <si>
    <t>ORD00336</t>
  </si>
  <si>
    <t>ORD00337</t>
  </si>
  <si>
    <t>ORD00338</t>
  </si>
  <si>
    <t>ORD00339</t>
  </si>
  <si>
    <t>ORD00340</t>
  </si>
  <si>
    <t>ORD00341</t>
  </si>
  <si>
    <t>ORD00342</t>
  </si>
  <si>
    <t>ORD00343</t>
  </si>
  <si>
    <t>ORD00344</t>
  </si>
  <si>
    <t>ORD00345</t>
  </si>
  <si>
    <t>ORD00346</t>
  </si>
  <si>
    <t>ORD00347</t>
  </si>
  <si>
    <t>ORD00348</t>
  </si>
  <si>
    <t>ORD00349</t>
  </si>
  <si>
    <t>ORD00350</t>
  </si>
  <si>
    <t>ORD00351</t>
  </si>
  <si>
    <t>ORD00352</t>
  </si>
  <si>
    <t>ORD00353</t>
  </si>
  <si>
    <t>ORD00354</t>
  </si>
  <si>
    <t>ORD00355</t>
  </si>
  <si>
    <t>ORD00356</t>
  </si>
  <si>
    <t>ORD00357</t>
  </si>
  <si>
    <t>ORD00358</t>
  </si>
  <si>
    <t>ORD00359</t>
  </si>
  <si>
    <t>ORD00360</t>
  </si>
  <si>
    <t>ORD00361</t>
  </si>
  <si>
    <t>ORD00362</t>
  </si>
  <si>
    <t>ORD00363</t>
  </si>
  <si>
    <t>ORD00364</t>
  </si>
  <si>
    <t>ORD00365</t>
  </si>
  <si>
    <t>ORD00366</t>
  </si>
  <si>
    <t>ORD00367</t>
  </si>
  <si>
    <t>ORD00368</t>
  </si>
  <si>
    <t>ORD00369</t>
  </si>
  <si>
    <t>ORD00370</t>
  </si>
  <si>
    <t>ORD00371</t>
  </si>
  <si>
    <t>ORD00372</t>
  </si>
  <si>
    <t>ORD00373</t>
  </si>
  <si>
    <t>ORD00374</t>
  </si>
  <si>
    <t>ORD00375</t>
  </si>
  <si>
    <t>ORD00376</t>
  </si>
  <si>
    <t>ORD00377</t>
  </si>
  <si>
    <t>ORD00378</t>
  </si>
  <si>
    <t>ORD00379</t>
  </si>
  <si>
    <t>ORD00380</t>
  </si>
  <si>
    <t>ORD00381</t>
  </si>
  <si>
    <t>ORD00382</t>
  </si>
  <si>
    <t>ORD00383</t>
  </si>
  <si>
    <t>ORD00384</t>
  </si>
  <si>
    <t>ORD00385</t>
  </si>
  <si>
    <t>ORD00386</t>
  </si>
  <si>
    <t>ORD00387</t>
  </si>
  <si>
    <t>ORD00388</t>
  </si>
  <si>
    <t>ORD00389</t>
  </si>
  <si>
    <t>ORD00390</t>
  </si>
  <si>
    <t>ORD00391</t>
  </si>
  <si>
    <t>ORD00392</t>
  </si>
  <si>
    <t>ORD00393</t>
  </si>
  <si>
    <t>ORD00394</t>
  </si>
  <si>
    <t>ORD00395</t>
  </si>
  <si>
    <t>ORD00396</t>
  </si>
  <si>
    <t>ORD00397</t>
  </si>
  <si>
    <t>ORD00398</t>
  </si>
  <si>
    <t>ORD00399</t>
  </si>
  <si>
    <t>ORD00400</t>
  </si>
  <si>
    <t>ORD00401</t>
  </si>
  <si>
    <t>ORD00402</t>
  </si>
  <si>
    <t>ORD00403</t>
  </si>
  <si>
    <t>ORD00404</t>
  </si>
  <si>
    <t>ORD00405</t>
  </si>
  <si>
    <t>ORD00406</t>
  </si>
  <si>
    <t>ORD00407</t>
  </si>
  <si>
    <t>ORD00408</t>
  </si>
  <si>
    <t>ORD00409</t>
  </si>
  <si>
    <t>ORD00410</t>
  </si>
  <si>
    <t>ORD00411</t>
  </si>
  <si>
    <t>ORD00412</t>
  </si>
  <si>
    <t>ORD00413</t>
  </si>
  <si>
    <t>ORD00414</t>
  </si>
  <si>
    <t>ORD00415</t>
  </si>
  <si>
    <t>ORD00416</t>
  </si>
  <si>
    <t>ORD00417</t>
  </si>
  <si>
    <t>ORD00418</t>
  </si>
  <si>
    <t>ORD00419</t>
  </si>
  <si>
    <t>ORD00420</t>
  </si>
  <si>
    <t>ORD00421</t>
  </si>
  <si>
    <t>ORD00422</t>
  </si>
  <si>
    <t>ORD00423</t>
  </si>
  <si>
    <t>ORD00424</t>
  </si>
  <si>
    <t>ORD00425</t>
  </si>
  <si>
    <t>ORD00426</t>
  </si>
  <si>
    <t>ORD00427</t>
  </si>
  <si>
    <t>ORD00428</t>
  </si>
  <si>
    <t>ORD00429</t>
  </si>
  <si>
    <t>ORD00430</t>
  </si>
  <si>
    <t>ORD00431</t>
  </si>
  <si>
    <t>ORD00432</t>
  </si>
  <si>
    <t>ORD00433</t>
  </si>
  <si>
    <t>ORD00434</t>
  </si>
  <si>
    <t>ORD00435</t>
  </si>
  <si>
    <t>ORD00436</t>
  </si>
  <si>
    <t>ORD00437</t>
  </si>
  <si>
    <t>ORD00438</t>
  </si>
  <si>
    <t>ORD00439</t>
  </si>
  <si>
    <t>ORD00440</t>
  </si>
  <si>
    <t>ORD00441</t>
  </si>
  <si>
    <t>ORD00442</t>
  </si>
  <si>
    <t>ORD00443</t>
  </si>
  <si>
    <t>ORD00444</t>
  </si>
  <si>
    <t>ORD00445</t>
  </si>
  <si>
    <t>ORD00446</t>
  </si>
  <si>
    <t>ORD00447</t>
  </si>
  <si>
    <t>ORD00448</t>
  </si>
  <si>
    <t>ORD00449</t>
  </si>
  <si>
    <t>ORD00450</t>
  </si>
  <si>
    <t>ORD00451</t>
  </si>
  <si>
    <t>ORD00452</t>
  </si>
  <si>
    <t>ORD00453</t>
  </si>
  <si>
    <t>ORD00454</t>
  </si>
  <si>
    <t>ORD00455</t>
  </si>
  <si>
    <t>ORD00456</t>
  </si>
  <si>
    <t>ORD00457</t>
  </si>
  <si>
    <t>ORD00458</t>
  </si>
  <si>
    <t>ORD00459</t>
  </si>
  <si>
    <t>ORD00460</t>
  </si>
  <si>
    <t>ORD00461</t>
  </si>
  <si>
    <t>ORD00462</t>
  </si>
  <si>
    <t>ORD00463</t>
  </si>
  <si>
    <t>ORD00464</t>
  </si>
  <si>
    <t>ORD00465</t>
  </si>
  <si>
    <t>ORD00466</t>
  </si>
  <si>
    <t>ORD00467</t>
  </si>
  <si>
    <t>ORD00468</t>
  </si>
  <si>
    <t>ORD00469</t>
  </si>
  <si>
    <t>ORD00470</t>
  </si>
  <si>
    <t>ORD00471</t>
  </si>
  <si>
    <t>ORD00472</t>
  </si>
  <si>
    <t>ORD00473</t>
  </si>
  <si>
    <t>ORD00474</t>
  </si>
  <si>
    <t>ORD00475</t>
  </si>
  <si>
    <t>ORD00476</t>
  </si>
  <si>
    <t>ORD00477</t>
  </si>
  <si>
    <t>ORD00478</t>
  </si>
  <si>
    <t>ORD00479</t>
  </si>
  <si>
    <t>ORD00480</t>
  </si>
  <si>
    <t>ORD00481</t>
  </si>
  <si>
    <t>ORD00482</t>
  </si>
  <si>
    <t>ORD00483</t>
  </si>
  <si>
    <t>ORD00484</t>
  </si>
  <si>
    <t>ORD00485</t>
  </si>
  <si>
    <t>ORD00486</t>
  </si>
  <si>
    <t>ORD00487</t>
  </si>
  <si>
    <t>ORD00488</t>
  </si>
  <si>
    <t>ORD00489</t>
  </si>
  <si>
    <t>ORD00490</t>
  </si>
  <si>
    <t>ORD00491</t>
  </si>
  <si>
    <t>ORD00492</t>
  </si>
  <si>
    <t>ORD00493</t>
  </si>
  <si>
    <t>ORD00494</t>
  </si>
  <si>
    <t>ORD00495</t>
  </si>
  <si>
    <t>ORD00496</t>
  </si>
  <si>
    <t>ORD00497</t>
  </si>
  <si>
    <t>ORD00498</t>
  </si>
  <si>
    <t>ORD00499</t>
  </si>
  <si>
    <t>ORD00500</t>
  </si>
  <si>
    <t>split_ratio</t>
  </si>
  <si>
    <t>trade_id</t>
  </si>
  <si>
    <t>trade_ts</t>
  </si>
  <si>
    <t>price</t>
  </si>
  <si>
    <t>fees</t>
  </si>
  <si>
    <t>TR_SYN_0000001</t>
  </si>
  <si>
    <t>TR_SYN_0000002</t>
  </si>
  <si>
    <t>TR_SYN_0000003</t>
  </si>
  <si>
    <t>TR_SYN_0000004</t>
  </si>
  <si>
    <t>TR_SYN_0000005</t>
  </si>
  <si>
    <t>TR_SYN_0000006</t>
  </si>
  <si>
    <t>TR_SYN_0000007</t>
  </si>
  <si>
    <t>TR_SYN_0000008</t>
  </si>
  <si>
    <t>TR_SYN_0000009</t>
  </si>
  <si>
    <t>TR_SYN_0000010</t>
  </si>
  <si>
    <t>TR_SYN_0000011</t>
  </si>
  <si>
    <t>TR_SYN_0000012</t>
  </si>
  <si>
    <t>TR_SYN_0000013</t>
  </si>
  <si>
    <t>TR_SYN_0000014</t>
  </si>
  <si>
    <t>TR_SYN_0000015</t>
  </si>
  <si>
    <t>TR_SYN_0000016</t>
  </si>
  <si>
    <t>TR_SYN_0000017</t>
  </si>
  <si>
    <t>TR_SYN_0000018</t>
  </si>
  <si>
    <t>TR_SYN_0000019</t>
  </si>
  <si>
    <t>TR_SYN_0000020</t>
  </si>
  <si>
    <t>TR_SYN_0000021</t>
  </si>
  <si>
    <t>TR_SYN_0000022</t>
  </si>
  <si>
    <t>TR_SYN_0000023</t>
  </si>
  <si>
    <t>TR_SYN_0000024</t>
  </si>
  <si>
    <t>TR_SYN_0000025</t>
  </si>
  <si>
    <t>TR_SYN_0000026</t>
  </si>
  <si>
    <t>TR_SYN_0000027</t>
  </si>
  <si>
    <t>TR_SYN_0000028</t>
  </si>
  <si>
    <t>TR_SYN_0000029</t>
  </si>
  <si>
    <t>TR_SYN_0000030</t>
  </si>
  <si>
    <t>TR_SYN_0000031</t>
  </si>
  <si>
    <t>TR_SYN_0000032</t>
  </si>
  <si>
    <t>TR_SYN_0000033</t>
  </si>
  <si>
    <t>TR_SYN_0000034</t>
  </si>
  <si>
    <t>TR_SYN_0000035</t>
  </si>
  <si>
    <t>TR_SYN_0000036</t>
  </si>
  <si>
    <t>TR_SYN_0000037</t>
  </si>
  <si>
    <t>TR_SYN_0000038</t>
  </si>
  <si>
    <t>TR_SYN_0000039</t>
  </si>
  <si>
    <t>TR_SYN_0000040</t>
  </si>
  <si>
    <t>TR_SYN_0000041</t>
  </si>
  <si>
    <t>TR_SYN_0000042</t>
  </si>
  <si>
    <t>TR_SYN_0000043</t>
  </si>
  <si>
    <t>TR_SYN_0000044</t>
  </si>
  <si>
    <t>TR_SYN_0000045</t>
  </si>
  <si>
    <t>TR_SYN_0000046</t>
  </si>
  <si>
    <t>TR_SYN_0000047</t>
  </si>
  <si>
    <t>TR_SYN_0000048</t>
  </si>
  <si>
    <t>TR_SYN_0000049</t>
  </si>
  <si>
    <t>TR_SYN_0000050</t>
  </si>
  <si>
    <t>TR_SYN_0000051</t>
  </si>
  <si>
    <t>TR_SYN_0000052</t>
  </si>
  <si>
    <t>TR_SYN_0000053</t>
  </si>
  <si>
    <t>TR_SYN_0000054</t>
  </si>
  <si>
    <t>TR_SYN_0000055</t>
  </si>
  <si>
    <t>TR_SYN_0000056</t>
  </si>
  <si>
    <t>TR_SYN_0000057</t>
  </si>
  <si>
    <t>TR_SYN_0000058</t>
  </si>
  <si>
    <t>TR_SYN_0000059</t>
  </si>
  <si>
    <t>TR_SYN_0000060</t>
  </si>
  <si>
    <t>TR_SYN_0000061</t>
  </si>
  <si>
    <t>TR_SYN_0000062</t>
  </si>
  <si>
    <t>TR_SYN_0000063</t>
  </si>
  <si>
    <t>TR_SYN_0000064</t>
  </si>
  <si>
    <t>TR_SYN_0000065</t>
  </si>
  <si>
    <t>TR_SYN_0000066</t>
  </si>
  <si>
    <t>TR_SYN_0000067</t>
  </si>
  <si>
    <t>TR_SYN_0000068</t>
  </si>
  <si>
    <t>TR_SYN_0000069</t>
  </si>
  <si>
    <t>TR_SYN_0000070</t>
  </si>
  <si>
    <t>TR_SYN_0000071</t>
  </si>
  <si>
    <t>TR_SYN_0000072</t>
  </si>
  <si>
    <t>TR_SYN_0000073</t>
  </si>
  <si>
    <t>TR_SYN_0000074</t>
  </si>
  <si>
    <t>TR_SYN_0000075</t>
  </si>
  <si>
    <t>TR_SYN_0000076</t>
  </si>
  <si>
    <t>TR_SYN_0000077</t>
  </si>
  <si>
    <t>TR_SYN_0000078</t>
  </si>
  <si>
    <t>TR_SYN_0000079</t>
  </si>
  <si>
    <t>TR_SYN_0000080</t>
  </si>
  <si>
    <t>TR_SYN_0000081</t>
  </si>
  <si>
    <t>TR_SYN_0000082</t>
  </si>
  <si>
    <t>TR_SYN_0000083</t>
  </si>
  <si>
    <t>TR_SYN_0000084</t>
  </si>
  <si>
    <t>TR_SYN_0000085</t>
  </si>
  <si>
    <t>TR_SYN_0000086</t>
  </si>
  <si>
    <t>TR_SYN_0000087</t>
  </si>
  <si>
    <t>TR_SYN_0000088</t>
  </si>
  <si>
    <t>TR_SYN_0000089</t>
  </si>
  <si>
    <t>TR_SYN_0000090</t>
  </si>
  <si>
    <t>TR_SYN_0000091</t>
  </si>
  <si>
    <t>TR_SYN_0000092</t>
  </si>
  <si>
    <t>TR_SYN_0000093</t>
  </si>
  <si>
    <t>TR_SYN_0000094</t>
  </si>
  <si>
    <t>TR_SYN_0000095</t>
  </si>
  <si>
    <t>TR_SYN_0000096</t>
  </si>
  <si>
    <t>TR_SYN_0000097</t>
  </si>
  <si>
    <t>TR_SYN_0000098</t>
  </si>
  <si>
    <t>TR_SYN_0000099</t>
  </si>
  <si>
    <t>TR_SYN_0000100</t>
  </si>
  <si>
    <t>TR_SYN_0000101</t>
  </si>
  <si>
    <t>TR_SYN_0000102</t>
  </si>
  <si>
    <t>TR_SYN_0000103</t>
  </si>
  <si>
    <t>TR_SYN_0000104</t>
  </si>
  <si>
    <t>TR_SYN_0000105</t>
  </si>
  <si>
    <t>TR_SYN_0000106</t>
  </si>
  <si>
    <t>TR_SYN_0000107</t>
  </si>
  <si>
    <t>TR_SYN_0000108</t>
  </si>
  <si>
    <t>TR_SYN_0000109</t>
  </si>
  <si>
    <t>TR_SYN_0000110</t>
  </si>
  <si>
    <t>TR_SYN_0000111</t>
  </si>
  <si>
    <t>TR_SYN_0000112</t>
  </si>
  <si>
    <t>TR_SYN_0000113</t>
  </si>
  <si>
    <t>TR_SYN_0000114</t>
  </si>
  <si>
    <t>TR_SYN_0000115</t>
  </si>
  <si>
    <t>TR_SYN_0000116</t>
  </si>
  <si>
    <t>TR_SYN_0000117</t>
  </si>
  <si>
    <t>TR_SYN_0000118</t>
  </si>
  <si>
    <t>TR_SYN_0000119</t>
  </si>
  <si>
    <t>TR_SYN_0000120</t>
  </si>
  <si>
    <t>TR_SYN_0000121</t>
  </si>
  <si>
    <t>TR_SYN_0000122</t>
  </si>
  <si>
    <t>TR_SYN_0000123</t>
  </si>
  <si>
    <t>TR_SYN_0000124</t>
  </si>
  <si>
    <t>TR_SYN_0000125</t>
  </si>
  <si>
    <t>TR_SYN_0000126</t>
  </si>
  <si>
    <t>TR_SYN_0000127</t>
  </si>
  <si>
    <t>TR_SYN_0000128</t>
  </si>
  <si>
    <t>TR_SYN_0000129</t>
  </si>
  <si>
    <t>TR_SYN_0000130</t>
  </si>
  <si>
    <t>TR_SYN_0000131</t>
  </si>
  <si>
    <t>TR_SYN_0000132</t>
  </si>
  <si>
    <t>TR_SYN_0000133</t>
  </si>
  <si>
    <t>TR_SYN_0000134</t>
  </si>
  <si>
    <t>TR_SYN_0000135</t>
  </si>
  <si>
    <t>TR_SYN_0000136</t>
  </si>
  <si>
    <t>TR_SYN_0000137</t>
  </si>
  <si>
    <t>TR_SYN_0000138</t>
  </si>
  <si>
    <t>TR_SYN_0000139</t>
  </si>
  <si>
    <t>TR_SYN_0000140</t>
  </si>
  <si>
    <t>TR_SYN_0000141</t>
  </si>
  <si>
    <t>TR_SYN_0000142</t>
  </si>
  <si>
    <t>TR_SYN_0000143</t>
  </si>
  <si>
    <t>TR_SYN_0000144</t>
  </si>
  <si>
    <t>TR_SYN_0000145</t>
  </si>
  <si>
    <t>TR_SYN_0000146</t>
  </si>
  <si>
    <t>TR_SYN_0000147</t>
  </si>
  <si>
    <t>TR_SYN_0000148</t>
  </si>
  <si>
    <t>TR_SYN_0000149</t>
  </si>
  <si>
    <t>TR_SYN_0000150</t>
  </si>
  <si>
    <t>TR_SYN_0000151</t>
  </si>
  <si>
    <t>TR_SYN_0000152</t>
  </si>
  <si>
    <t>TR_SYN_0000153</t>
  </si>
  <si>
    <t>TR_SYN_0000154</t>
  </si>
  <si>
    <t>TR_SYN_0000155</t>
  </si>
  <si>
    <t>TR_SYN_0000156</t>
  </si>
  <si>
    <t>TR_SYN_0000157</t>
  </si>
  <si>
    <t>TR_SYN_0000158</t>
  </si>
  <si>
    <t>TR_SYN_0000159</t>
  </si>
  <si>
    <t>TR_SYN_0000160</t>
  </si>
  <si>
    <t>TR_SYN_0000161</t>
  </si>
  <si>
    <t>TR_SYN_0000162</t>
  </si>
  <si>
    <t>TR_SYN_0000163</t>
  </si>
  <si>
    <t>TR_SYN_0000164</t>
  </si>
  <si>
    <t>TR_SYN_0000165</t>
  </si>
  <si>
    <t>TR_SYN_0000166</t>
  </si>
  <si>
    <t>TR_SYN_0000167</t>
  </si>
  <si>
    <t>TR_SYN_0000168</t>
  </si>
  <si>
    <t>TR_SYN_0000169</t>
  </si>
  <si>
    <t>TR_SYN_0000170</t>
  </si>
  <si>
    <t>TR_SYN_0000171</t>
  </si>
  <si>
    <t>TR_SYN_0000172</t>
  </si>
  <si>
    <t>TR_SYN_0000173</t>
  </si>
  <si>
    <t>TR_SYN_0000174</t>
  </si>
  <si>
    <t>TR_SYN_0000175</t>
  </si>
  <si>
    <t>TR_SYN_0000176</t>
  </si>
  <si>
    <t>TR_SYN_0000177</t>
  </si>
  <si>
    <t>TR_SYN_0000178</t>
  </si>
  <si>
    <t>TR_SYN_0000179</t>
  </si>
  <si>
    <t>TR_SYN_0000180</t>
  </si>
  <si>
    <t>TR_SYN_0000181</t>
  </si>
  <si>
    <t>TR_SYN_0000182</t>
  </si>
  <si>
    <t>TR_SYN_0000183</t>
  </si>
  <si>
    <t>TR_SYN_0000184</t>
  </si>
  <si>
    <t>TR_SYN_0000185</t>
  </si>
  <si>
    <t>TR_SYN_0000186</t>
  </si>
  <si>
    <t>TR_SYN_0000187</t>
  </si>
  <si>
    <t>TR_SYN_0000188</t>
  </si>
  <si>
    <t>TR_SYN_0000189</t>
  </si>
  <si>
    <t>TR_SYN_0000190</t>
  </si>
  <si>
    <t>TR_SYN_0000191</t>
  </si>
  <si>
    <t>TR_SYN_0000192</t>
  </si>
  <si>
    <t>TR_SYN_0000193</t>
  </si>
  <si>
    <t>TR_SYN_0000194</t>
  </si>
  <si>
    <t>TR_SYN_0000195</t>
  </si>
  <si>
    <t>TR_SYN_0000196</t>
  </si>
  <si>
    <t>TR_SYN_0000197</t>
  </si>
  <si>
    <t>TR_SYN_0000198</t>
  </si>
  <si>
    <t>TR_SYN_0000199</t>
  </si>
  <si>
    <t>TR_SYN_0000200</t>
  </si>
  <si>
    <t>TR_SYN_0000201</t>
  </si>
  <si>
    <t>TR_SYN_0000202</t>
  </si>
  <si>
    <t>TR_SYN_0000203</t>
  </si>
  <si>
    <t>TR_SYN_0000204</t>
  </si>
  <si>
    <t>TR_SYN_0000205</t>
  </si>
  <si>
    <t>TR_SYN_0000206</t>
  </si>
  <si>
    <t>TR_SYN_0000207</t>
  </si>
  <si>
    <t>TR_SYN_0000208</t>
  </si>
  <si>
    <t>TR_SYN_0000209</t>
  </si>
  <si>
    <t>TR_SYN_0000210</t>
  </si>
  <si>
    <t>TR_SYN_0000211</t>
  </si>
  <si>
    <t>TR_SYN_0000212</t>
  </si>
  <si>
    <t>TR_SYN_0000213</t>
  </si>
  <si>
    <t>TR_SYN_0000214</t>
  </si>
  <si>
    <t>TR_SYN_0000215</t>
  </si>
  <si>
    <t>TR_SYN_0000216</t>
  </si>
  <si>
    <t>TR_SYN_0000217</t>
  </si>
  <si>
    <t>TR_SYN_0000218</t>
  </si>
  <si>
    <t>TR_SYN_0000219</t>
  </si>
  <si>
    <t>TR_SYN_0000220</t>
  </si>
  <si>
    <t>TR_SYN_0000221</t>
  </si>
  <si>
    <t>TR_SYN_0000222</t>
  </si>
  <si>
    <t>TR_SYN_0000223</t>
  </si>
  <si>
    <t>TR_SYN_0000224</t>
  </si>
  <si>
    <t>TR_SYN_0000225</t>
  </si>
  <si>
    <t>TR_SYN_0000226</t>
  </si>
  <si>
    <t>TR_SYN_0000227</t>
  </si>
  <si>
    <t>TR_SYN_0000228</t>
  </si>
  <si>
    <t>TR_SYN_0000229</t>
  </si>
  <si>
    <t>TR_SYN_0000230</t>
  </si>
  <si>
    <t>TR_SYN_0000231</t>
  </si>
  <si>
    <t>TR_SYN_0000232</t>
  </si>
  <si>
    <t>TR_SYN_0000233</t>
  </si>
  <si>
    <t>TR_SYN_0000234</t>
  </si>
  <si>
    <t>TR_SYN_0000235</t>
  </si>
  <si>
    <t>TR_SYN_0000236</t>
  </si>
  <si>
    <t>TR_SYN_0000237</t>
  </si>
  <si>
    <t>TR_SYN_0000238</t>
  </si>
  <si>
    <t>TR_SYN_0000239</t>
  </si>
  <si>
    <t>TR_SYN_0000240</t>
  </si>
  <si>
    <t>TR_SYN_0000241</t>
  </si>
  <si>
    <t>TR_SYN_0000242</t>
  </si>
  <si>
    <t>TR_SYN_0000243</t>
  </si>
  <si>
    <t>TR_SYN_0000244</t>
  </si>
  <si>
    <t>TR_SYN_0000245</t>
  </si>
  <si>
    <t>TR_SYN_0000246</t>
  </si>
  <si>
    <t>TR_SYN_0000247</t>
  </si>
  <si>
    <t>TR_SYN_0000248</t>
  </si>
  <si>
    <t>TR_SYN_0000249</t>
  </si>
  <si>
    <t>TR_SYN_0000250</t>
  </si>
  <si>
    <t>TR_SYN_0000251</t>
  </si>
  <si>
    <t>TR_SYN_0000252</t>
  </si>
  <si>
    <t>TR_SYN_0000253</t>
  </si>
  <si>
    <t>TR_SYN_0000254</t>
  </si>
  <si>
    <t>TR_SYN_0000255</t>
  </si>
  <si>
    <t>TR_SYN_0000256</t>
  </si>
  <si>
    <t>TR_SYN_0000257</t>
  </si>
  <si>
    <t>TR_SYN_0000258</t>
  </si>
  <si>
    <t>TR_SYN_0000259</t>
  </si>
  <si>
    <t>TR_SYN_0000260</t>
  </si>
  <si>
    <t>TR_SYN_0000261</t>
  </si>
  <si>
    <t>TR_SYN_0000262</t>
  </si>
  <si>
    <t>TR_SYN_0000263</t>
  </si>
  <si>
    <t>TR_SYN_0000264</t>
  </si>
  <si>
    <t>TR_SYN_0000265</t>
  </si>
  <si>
    <t>TR_SYN_0000266</t>
  </si>
  <si>
    <t>TR_SYN_0000267</t>
  </si>
  <si>
    <t>TR_SYN_0000268</t>
  </si>
  <si>
    <t>TR_SYN_0000269</t>
  </si>
  <si>
    <t>TR_SYN_0000270</t>
  </si>
  <si>
    <t>TR_SYN_0000271</t>
  </si>
  <si>
    <t>TR_SYN_0000272</t>
  </si>
  <si>
    <t>TR_SYN_0000273</t>
  </si>
  <si>
    <t>TR_SYN_0000274</t>
  </si>
  <si>
    <t>TR_SYN_0000275</t>
  </si>
  <si>
    <t>TR_SYN_0000276</t>
  </si>
  <si>
    <t>TR_SYN_0000277</t>
  </si>
  <si>
    <t>TR_SYN_0000278</t>
  </si>
  <si>
    <t>TR_SYN_0000279</t>
  </si>
  <si>
    <t>TR_SYN_0000280</t>
  </si>
  <si>
    <t>TR_SYN_0000281</t>
  </si>
  <si>
    <t>TR_SYN_0000282</t>
  </si>
  <si>
    <t>TR_SYN_0000283</t>
  </si>
  <si>
    <t>TR_SYN_0000284</t>
  </si>
  <si>
    <t>TR_SYN_0000285</t>
  </si>
  <si>
    <t>TR_SYN_0000286</t>
  </si>
  <si>
    <t>TR_SYN_0000287</t>
  </si>
  <si>
    <t>TR_SYN_0000288</t>
  </si>
  <si>
    <t>TR_SYN_0000289</t>
  </si>
  <si>
    <t>TR_SYN_0000290</t>
  </si>
  <si>
    <t>TR_SYN_0000291</t>
  </si>
  <si>
    <t>TR_SYN_0000292</t>
  </si>
  <si>
    <t>TR_SYN_0000293</t>
  </si>
  <si>
    <t>TR_SYN_0000294</t>
  </si>
  <si>
    <t>TR_SYN_0000295</t>
  </si>
  <si>
    <t>TR_SYN_0000296</t>
  </si>
  <si>
    <t>TR_SYN_0000297</t>
  </si>
  <si>
    <t>TR_SYN_0000298</t>
  </si>
  <si>
    <t>TR_SYN_0000299</t>
  </si>
  <si>
    <t>TR_SYN_0000300</t>
  </si>
  <si>
    <t>TR_SYN_0000301</t>
  </si>
  <si>
    <t>TR_SYN_0000302</t>
  </si>
  <si>
    <t>TR_SYN_0000303</t>
  </si>
  <si>
    <t>TR_SYN_0000304</t>
  </si>
  <si>
    <t>TR_SYN_0000305</t>
  </si>
  <si>
    <t>TR_SYN_0000306</t>
  </si>
  <si>
    <t>TR_SYN_0000307</t>
  </si>
  <si>
    <t>TR_SYN_0000308</t>
  </si>
  <si>
    <t>TR_SYN_0000309</t>
  </si>
  <si>
    <t>TR_SYN_0000310</t>
  </si>
  <si>
    <t>TR_SYN_0000311</t>
  </si>
  <si>
    <t>TR_SYN_0000312</t>
  </si>
  <si>
    <t>TR_SYN_0000313</t>
  </si>
  <si>
    <t>TR_SYN_0000314</t>
  </si>
  <si>
    <t>TR_SYN_0000315</t>
  </si>
  <si>
    <t>TR_SYN_0000316</t>
  </si>
  <si>
    <t>TR_SYN_0000317</t>
  </si>
  <si>
    <t>TR_SYN_0000318</t>
  </si>
  <si>
    <t>TR_SYN_0000319</t>
  </si>
  <si>
    <t>TR_SYN_0000320</t>
  </si>
  <si>
    <t>TR_SYN_0000321</t>
  </si>
  <si>
    <t>TR_SYN_0000322</t>
  </si>
  <si>
    <t>TR_SYN_0000323</t>
  </si>
  <si>
    <t>TR_SYN_0000324</t>
  </si>
  <si>
    <t>TR_SYN_0000325</t>
  </si>
  <si>
    <t>TR_SYN_0000326</t>
  </si>
  <si>
    <t>TR_SYN_0000327</t>
  </si>
  <si>
    <t>TR_SYN_0000328</t>
  </si>
  <si>
    <t>TR_SYN_0000329</t>
  </si>
  <si>
    <t>TR_SYN_0000330</t>
  </si>
  <si>
    <t>TR_SYN_0000331</t>
  </si>
  <si>
    <t>TR_SYN_0000332</t>
  </si>
  <si>
    <t>TR_SYN_0000333</t>
  </si>
  <si>
    <t>TR_SYN_0000334</t>
  </si>
  <si>
    <t>TR_SYN_0000335</t>
  </si>
  <si>
    <t>TR_SYN_0000336</t>
  </si>
  <si>
    <t>TR_SYN_0000337</t>
  </si>
  <si>
    <t>TR_SYN_0000338</t>
  </si>
  <si>
    <t>TR_SYN_0000339</t>
  </si>
  <si>
    <t>TR_SYN_0000340</t>
  </si>
  <si>
    <t>TR_SYN_0000341</t>
  </si>
  <si>
    <t>TR_SYN_0000342</t>
  </si>
  <si>
    <t>TR_SYN_0000343</t>
  </si>
  <si>
    <t>TR_SYN_0000344</t>
  </si>
  <si>
    <t>TR_SYN_0000345</t>
  </si>
  <si>
    <t>TR_SYN_0000346</t>
  </si>
  <si>
    <t>TR_SYN_0000347</t>
  </si>
  <si>
    <t>TR_SYN_0000348</t>
  </si>
  <si>
    <t>TR_SYN_0000349</t>
  </si>
  <si>
    <t>TR_SYN_0000350</t>
  </si>
  <si>
    <t>TR_SYN_0000351</t>
  </si>
  <si>
    <t>TR_SYN_0000352</t>
  </si>
  <si>
    <t>TR_SYN_0000353</t>
  </si>
  <si>
    <t>TR_SYN_0000354</t>
  </si>
  <si>
    <t>TR_SYN_0000355</t>
  </si>
  <si>
    <t>TR_SYN_0000356</t>
  </si>
  <si>
    <t>TR_SYN_0000357</t>
  </si>
  <si>
    <t>TR_SYN_0000358</t>
  </si>
  <si>
    <t>TR_SYN_0000359</t>
  </si>
  <si>
    <t>TR_SYN_0000360</t>
  </si>
  <si>
    <t>TR_SYN_0000361</t>
  </si>
  <si>
    <t>TR_SYN_0000362</t>
  </si>
  <si>
    <t>TR_SYN_0000363</t>
  </si>
  <si>
    <t>TR_SYN_0000364</t>
  </si>
  <si>
    <t>TR_SYN_0000365</t>
  </si>
  <si>
    <t>TR_SYN_0000366</t>
  </si>
  <si>
    <t>TR_SYN_0000367</t>
  </si>
  <si>
    <t>TR_SYN_0000368</t>
  </si>
  <si>
    <t>TR_SYN_0000369</t>
  </si>
  <si>
    <t>TR_SYN_0000370</t>
  </si>
  <si>
    <t>TR_SYN_0000371</t>
  </si>
  <si>
    <t>TR_SYN_0000372</t>
  </si>
  <si>
    <t>TR_SYN_0000373</t>
  </si>
  <si>
    <t>TR_SYN_0000374</t>
  </si>
  <si>
    <t>TR_SYN_0000375</t>
  </si>
  <si>
    <t>TR_SYN_0000376</t>
  </si>
  <si>
    <t>TR_SYN_0000377</t>
  </si>
  <si>
    <t>TR_SYN_0000378</t>
  </si>
  <si>
    <t>TR_SYN_0000379</t>
  </si>
  <si>
    <t>TR_SYN_0000380</t>
  </si>
  <si>
    <t>TR_SYN_0000381</t>
  </si>
  <si>
    <t>TR_SYN_0000382</t>
  </si>
  <si>
    <t>TR_SYN_0000383</t>
  </si>
  <si>
    <t>TR_SYN_0000384</t>
  </si>
  <si>
    <t>TR_SYN_0000385</t>
  </si>
  <si>
    <t>TR_SYN_0000386</t>
  </si>
  <si>
    <t>TR_SYN_0000387</t>
  </si>
  <si>
    <t>TR_SYN_0000388</t>
  </si>
  <si>
    <t>TR_SYN_0000389</t>
  </si>
  <si>
    <t>TR_SYN_0000390</t>
  </si>
  <si>
    <t>TR_SYN_0000391</t>
  </si>
  <si>
    <t>TR_SYN_0000392</t>
  </si>
  <si>
    <t>TR_SYN_0000393</t>
  </si>
  <si>
    <t>TR_SYN_0000394</t>
  </si>
  <si>
    <t>TR_SYN_0000395</t>
  </si>
  <si>
    <t>TR_SYN_0000396</t>
  </si>
  <si>
    <t>TR_SYN_0000397</t>
  </si>
  <si>
    <t>TR_SYN_0000398</t>
  </si>
  <si>
    <t>TR_SYN_0000399</t>
  </si>
  <si>
    <t>TR_SYN_0000400</t>
  </si>
  <si>
    <t>TR_SYN_0000401</t>
  </si>
  <si>
    <t>TR_SYN_0000402</t>
  </si>
  <si>
    <t>TR_SYN_0000403</t>
  </si>
  <si>
    <t>TR_SYN_0000404</t>
  </si>
  <si>
    <t>TR_SYN_0000405</t>
  </si>
  <si>
    <t>TR_SYN_0000406</t>
  </si>
  <si>
    <t>TR_SYN_0000407</t>
  </si>
  <si>
    <t>TR_SYN_0000408</t>
  </si>
  <si>
    <t>TR_SYN_0000409</t>
  </si>
  <si>
    <t>TR_SYN_0000410</t>
  </si>
  <si>
    <t>TR_SYN_0000411</t>
  </si>
  <si>
    <t>TR_SYN_0000412</t>
  </si>
  <si>
    <t>TR_SYN_0000413</t>
  </si>
  <si>
    <t>TR_SYN_0000414</t>
  </si>
  <si>
    <t>TR_SYN_0000415</t>
  </si>
  <si>
    <t>TR_SYN_0000416</t>
  </si>
  <si>
    <t>TR_SYN_0000417</t>
  </si>
  <si>
    <t>TR_SYN_0000418</t>
  </si>
  <si>
    <t>TR_SYN_0000419</t>
  </si>
  <si>
    <t>TR_SYN_0000420</t>
  </si>
  <si>
    <t>TR_SYN_0000421</t>
  </si>
  <si>
    <t>TR_SYN_0000422</t>
  </si>
  <si>
    <t>TR_SYN_0000423</t>
  </si>
  <si>
    <t>TR_SYN_0000424</t>
  </si>
  <si>
    <t>TR_SYN_0000425</t>
  </si>
  <si>
    <t>TR_SYN_0000426</t>
  </si>
  <si>
    <t>TR_SYN_0000427</t>
  </si>
  <si>
    <t>TR_SYN_0000428</t>
  </si>
  <si>
    <t>TR_SYN_0000429</t>
  </si>
  <si>
    <t>TR_SYN_0000430</t>
  </si>
  <si>
    <t>TR_SYN_0000431</t>
  </si>
  <si>
    <t>TR_SYN_0000432</t>
  </si>
  <si>
    <t>TR_SYN_0000433</t>
  </si>
  <si>
    <t>TR_SYN_0000434</t>
  </si>
  <si>
    <t>TR_SYN_0000435</t>
  </si>
  <si>
    <t>TR_SYN_0000436</t>
  </si>
  <si>
    <t>TR_SYN_0000437</t>
  </si>
  <si>
    <t>TR_SYN_0000438</t>
  </si>
  <si>
    <t>TR_SYN_0000439</t>
  </si>
  <si>
    <t>TR_SYN_0000440</t>
  </si>
  <si>
    <t>TR_SYN_0000441</t>
  </si>
  <si>
    <t>TR_SYN_0000442</t>
  </si>
  <si>
    <t>TR_SYN_0000443</t>
  </si>
  <si>
    <t>TR_SYN_0000444</t>
  </si>
  <si>
    <t>TR_SYN_0000445</t>
  </si>
  <si>
    <t>TR_SYN_0000446</t>
  </si>
  <si>
    <t>TR_SYN_0000447</t>
  </si>
  <si>
    <t>TR_SYN_0000448</t>
  </si>
  <si>
    <t>TR_SYN_0000449</t>
  </si>
  <si>
    <t>TR_SYN_0000450</t>
  </si>
  <si>
    <t>TR_SYN_0000451</t>
  </si>
  <si>
    <t>TR_SYN_0000452</t>
  </si>
  <si>
    <t>TR_SYN_0000453</t>
  </si>
  <si>
    <t>TR_SYN_0000454</t>
  </si>
  <si>
    <t>TR_SYN_0000455</t>
  </si>
  <si>
    <t>TR_SYN_0000456</t>
  </si>
  <si>
    <t>TR_SYN_0000457</t>
  </si>
  <si>
    <t>TR_SYN_0000458</t>
  </si>
  <si>
    <t>TR_SYN_0000459</t>
  </si>
  <si>
    <t>TR_SYN_0000460</t>
  </si>
  <si>
    <t>TR_SYN_0000461</t>
  </si>
  <si>
    <t>TR_SYN_0000462</t>
  </si>
  <si>
    <t>TR_SYN_0000463</t>
  </si>
  <si>
    <t>TR_SYN_0000464</t>
  </si>
  <si>
    <t>TR_SYN_0000465</t>
  </si>
  <si>
    <t>TR_SYN_0000466</t>
  </si>
  <si>
    <t>TR_SYN_0000467</t>
  </si>
  <si>
    <t>TR_SYN_0000468</t>
  </si>
  <si>
    <t>TR_SYN_0000469</t>
  </si>
  <si>
    <t>TR_SYN_0000470</t>
  </si>
  <si>
    <t>TR_SYN_0000471</t>
  </si>
  <si>
    <t>TR_SYN_0000472</t>
  </si>
  <si>
    <t>TR_SYN_0000473</t>
  </si>
  <si>
    <t>TR_SYN_0000474</t>
  </si>
  <si>
    <t>TR_SYN_0000475</t>
  </si>
  <si>
    <t>TR_SYN_0000476</t>
  </si>
  <si>
    <t>TR_SYN_0000477</t>
  </si>
  <si>
    <t>TR_SYN_0000478</t>
  </si>
  <si>
    <t>TR_SYN_0000479</t>
  </si>
  <si>
    <t>TR_SYN_0000480</t>
  </si>
  <si>
    <t>TR_SYN_0000481</t>
  </si>
  <si>
    <t>TR_SYN_0000482</t>
  </si>
  <si>
    <t>TR_SYN_0000483</t>
  </si>
  <si>
    <t>TR_SYN_0000484</t>
  </si>
  <si>
    <t>TR_SYN_0000485</t>
  </si>
  <si>
    <t>TR_SYN_0000486</t>
  </si>
  <si>
    <t>TR_SYN_0000487</t>
  </si>
  <si>
    <t>TR_SYN_0000488</t>
  </si>
  <si>
    <t>TR_SYN_0000489</t>
  </si>
  <si>
    <t>TR_SYN_0000490</t>
  </si>
  <si>
    <t>TR_SYN_0000491</t>
  </si>
  <si>
    <t>TR_SYN_0000492</t>
  </si>
  <si>
    <t>TR_SYN_0000493</t>
  </si>
  <si>
    <t>TR_SYN_0000494</t>
  </si>
  <si>
    <t>TR_SYN_0000495</t>
  </si>
  <si>
    <t>TR_SYN_0000496</t>
  </si>
  <si>
    <t>TR_SYN_0000497</t>
  </si>
  <si>
    <t>TR_SYN_0000498</t>
  </si>
  <si>
    <t>TR_SYN_0000499</t>
  </si>
  <si>
    <t>TR_SYN_0000500</t>
  </si>
  <si>
    <t>Average of volume</t>
  </si>
  <si>
    <t>Grand Total</t>
  </si>
  <si>
    <t>Row Labels</t>
  </si>
  <si>
    <t>Total Market</t>
  </si>
  <si>
    <t>Sum of Total Market</t>
  </si>
  <si>
    <t>Returns</t>
  </si>
  <si>
    <t>Sector_id</t>
  </si>
  <si>
    <t>Sector_Name</t>
  </si>
  <si>
    <t>Sum of Returns</t>
  </si>
  <si>
    <t>StdDev of Returns</t>
  </si>
  <si>
    <t xml:space="preserve">max value </t>
  </si>
  <si>
    <t>KPI Card</t>
  </si>
  <si>
    <t>Count of order_id</t>
  </si>
  <si>
    <t>Profit</t>
  </si>
  <si>
    <t>Buy_value</t>
  </si>
  <si>
    <t>Sell_Value</t>
  </si>
  <si>
    <t>is Profit</t>
  </si>
  <si>
    <t>Sum of is Profit</t>
  </si>
  <si>
    <t>Buy</t>
  </si>
  <si>
    <t>Sell-Buy</t>
  </si>
  <si>
    <t>P&amp;L</t>
  </si>
  <si>
    <t>fact_trades.Fact_trade_Buy</t>
  </si>
  <si>
    <t>fact_trades (3).fact_trades_sell</t>
  </si>
  <si>
    <t>Trade_ID</t>
  </si>
  <si>
    <t>Sell_Quantity</t>
  </si>
  <si>
    <t>Buy_Quantity</t>
  </si>
  <si>
    <t>sell</t>
  </si>
  <si>
    <t>Count of is Profit2</t>
  </si>
  <si>
    <t>Count of P&amp;L</t>
  </si>
  <si>
    <t>Loss</t>
  </si>
  <si>
    <t>Buy-sell</t>
  </si>
  <si>
    <t>COMPANY_ID</t>
  </si>
  <si>
    <t>Column1</t>
  </si>
  <si>
    <t>Column2</t>
  </si>
  <si>
    <t>Net_Quantity</t>
  </si>
  <si>
    <t>fact_daily_prices.company_id</t>
  </si>
  <si>
    <t>fact_daily_prices.close</t>
  </si>
  <si>
    <t>Quantity_Heild</t>
  </si>
  <si>
    <t>Sum of Quantity_Heild</t>
  </si>
  <si>
    <t>Latest_Value</t>
  </si>
  <si>
    <t>Initial _Price</t>
  </si>
  <si>
    <t>Latest_Price</t>
  </si>
  <si>
    <t>initial_Value</t>
  </si>
  <si>
    <t>g</t>
  </si>
  <si>
    <t>portfolio_return</t>
  </si>
  <si>
    <t>Sum of portfolio_return</t>
  </si>
  <si>
    <t>port</t>
  </si>
  <si>
    <t>return rate</t>
  </si>
  <si>
    <t>volatility</t>
  </si>
  <si>
    <t>sharp_ratio</t>
  </si>
  <si>
    <t>Sharp_ratio</t>
  </si>
  <si>
    <t>Sum of Sharp_ratio</t>
  </si>
  <si>
    <t>share_price</t>
  </si>
  <si>
    <t>Sum of 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</si>
</sst>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gt;=1000000]#,##0.0,,\ &quot;M&quot;;[&gt;=1000]#,##0.0,\ &quot;K&quot;;0"/>
  </numFmts>
  <fonts count="3" x14ac:knownFonts="1">
    <font>
      <sz val="11"/>
      <color theme="1"/>
      <name val="Calibri"/>
      <family val="2"/>
      <scheme val="minor"/>
    </font>
    <font>
      <b/>
      <sz val="11"/>
      <color theme="0"/>
      <name val="Calibri"/>
      <family val="2"/>
      <scheme val="minor"/>
    </font>
    <font>
      <sz val="8"/>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9">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style="thin">
        <color theme="9" tint="0.39997558519241921"/>
      </left>
      <right/>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diagonal/>
    </border>
  </borders>
  <cellStyleXfs count="1">
    <xf numFmtId="0" fontId="0" fillId="0" borderId="0"/>
  </cellStyleXfs>
  <cellXfs count="29">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3" borderId="1" xfId="0" applyFill="1" applyBorder="1"/>
    <xf numFmtId="0" fontId="0" fillId="0" borderId="1" xfId="0" applyBorder="1"/>
    <xf numFmtId="0" fontId="1" fillId="2" borderId="2" xfId="0" applyFont="1" applyFill="1" applyBorder="1"/>
    <xf numFmtId="0" fontId="0" fillId="0" borderId="3" xfId="0" applyBorder="1"/>
    <xf numFmtId="0" fontId="0" fillId="0" borderId="2" xfId="0" applyBorder="1"/>
    <xf numFmtId="0" fontId="0" fillId="3" borderId="4"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1" fillId="2" borderId="5" xfId="0" applyFont="1" applyFill="1" applyBorder="1"/>
    <xf numFmtId="0" fontId="1" fillId="2" borderId="3" xfId="0" applyFont="1" applyFill="1" applyBorder="1"/>
    <xf numFmtId="0" fontId="1" fillId="2" borderId="8" xfId="0" applyFont="1" applyFill="1" applyBorder="1"/>
    <xf numFmtId="22" fontId="0" fillId="3" borderId="5" xfId="0" applyNumberFormat="1" applyFill="1" applyBorder="1"/>
    <xf numFmtId="0" fontId="0" fillId="3" borderId="3" xfId="0" applyFill="1" applyBorder="1"/>
    <xf numFmtId="0" fontId="0" fillId="3" borderId="8" xfId="0" applyFill="1" applyBorder="1"/>
    <xf numFmtId="22" fontId="0" fillId="0" borderId="5" xfId="0" applyNumberFormat="1" applyBorder="1"/>
    <xf numFmtId="0" fontId="0" fillId="0" borderId="8" xfId="0" applyBorder="1"/>
    <xf numFmtId="22" fontId="0" fillId="0" borderId="4" xfId="0" applyNumberFormat="1" applyBorder="1"/>
    <xf numFmtId="0" fontId="0" fillId="0" borderId="0" xfId="0" applyNumberFormat="1"/>
    <xf numFmtId="22" fontId="0" fillId="0" borderId="0" xfId="0" applyNumberFormat="1" applyBorder="1"/>
    <xf numFmtId="0" fontId="1" fillId="2" borderId="0" xfId="0" applyFont="1" applyFill="1" applyBorder="1"/>
    <xf numFmtId="2" fontId="0" fillId="0" borderId="0" xfId="0" applyNumberFormat="1"/>
    <xf numFmtId="10" fontId="0" fillId="0" borderId="0" xfId="0" applyNumberFormat="1"/>
    <xf numFmtId="165" fontId="0" fillId="0" borderId="0" xfId="0" applyNumberFormat="1"/>
  </cellXfs>
  <cellStyles count="1">
    <cellStyle name="Normal" xfId="0" builtinId="0"/>
  </cellStyles>
  <dxfs count="91">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2" formatCode="0.00"/>
    </dxf>
    <dxf>
      <numFmt numFmtId="2" formatCode="0.00"/>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border diagonalUp="0" diagonalDown="0">
        <left/>
        <right/>
        <top style="thin">
          <color theme="9" tint="0.39997558519241921"/>
        </top>
        <bottom/>
        <vertical/>
        <horizontal/>
      </border>
    </dxf>
    <dxf>
      <border diagonalUp="0" diagonalDown="0">
        <left/>
        <right/>
        <top style="thin">
          <color theme="9" tint="0.39997558519241921"/>
        </top>
        <bottom/>
        <vertical/>
        <horizontal/>
      </border>
    </dxf>
    <dxf>
      <border outline="0">
        <bottom style="thin">
          <color theme="9" tint="0.3999755851924192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theme="9" tint="0.39997558519241921"/>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tint="0.39997558519241921"/>
        </left>
        <right/>
        <top style="thin">
          <color theme="9" tint="0.39997558519241921"/>
        </top>
        <bottom style="thin">
          <color theme="9" tint="0.39997558519241921"/>
        </bottom>
        <vertical/>
        <horizontal/>
      </border>
    </dxf>
    <dxf>
      <border outline="0">
        <bottom style="thin">
          <color theme="9" tint="0.39997558519241921"/>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connections" Target="connections.xml"/><Relationship Id="rId30" Type="http://schemas.openxmlformats.org/officeDocument/2006/relationships/sheetMetadata" Target="metadata.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Volatility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70436649964209"/>
          <c:y val="0.21783970138978528"/>
          <c:w val="0.85340546592515099"/>
          <c:h val="0.65785519125683056"/>
        </c:manualLayout>
      </c:layout>
      <c:barChart>
        <c:barDir val="bar"/>
        <c:grouping val="clustered"/>
        <c:varyColors val="0"/>
        <c:ser>
          <c:idx val="0"/>
          <c:order val="0"/>
          <c:tx>
            <c:strRef>
              <c:f>'pivot table'!$B$8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table'!$A$9:$A$17</c:f>
              <c:strCache>
                <c:ptCount val="8"/>
                <c:pt idx="0">
                  <c:v>COMP001</c:v>
                </c:pt>
                <c:pt idx="1">
                  <c:v>COMP002</c:v>
                </c:pt>
                <c:pt idx="2">
                  <c:v>COMP003</c:v>
                </c:pt>
                <c:pt idx="3">
                  <c:v>COMP004</c:v>
                </c:pt>
                <c:pt idx="4">
                  <c:v>COMP005</c:v>
                </c:pt>
                <c:pt idx="5">
                  <c:v>COMP006</c:v>
                </c:pt>
                <c:pt idx="6">
                  <c:v>COMP007</c:v>
                </c:pt>
                <c:pt idx="7">
                  <c:v>COMP008</c:v>
                </c:pt>
              </c:strCache>
            </c:strRef>
          </c:cat>
          <c:val>
            <c:numRef>
              <c:f>'pivot table'!$B$9:$B$17</c:f>
              <c:numCache>
                <c:formatCode>General</c:formatCode>
                <c:ptCount val="8"/>
                <c:pt idx="0">
                  <c:v>1.2584348247847994E-2</c:v>
                </c:pt>
                <c:pt idx="1">
                  <c:v>1.2974504290131021E-2</c:v>
                </c:pt>
                <c:pt idx="2">
                  <c:v>1.3630771301661172E-2</c:v>
                </c:pt>
                <c:pt idx="3">
                  <c:v>1.177767179584311E-2</c:v>
                </c:pt>
                <c:pt idx="4">
                  <c:v>1.1642207547324059E-2</c:v>
                </c:pt>
                <c:pt idx="5">
                  <c:v>1.2321016114012772E-2</c:v>
                </c:pt>
                <c:pt idx="6">
                  <c:v>1.4045542248921366E-2</c:v>
                </c:pt>
                <c:pt idx="7">
                  <c:v>1.4141310666860807E-2</c:v>
                </c:pt>
              </c:numCache>
            </c:numRef>
          </c:val>
          <c:extLst>
            <c:ext xmlns:c16="http://schemas.microsoft.com/office/drawing/2014/chart" uri="{C3380CC4-5D6E-409C-BE32-E72D297353CC}">
              <c16:uniqueId val="{00000002-52A5-4AA8-899C-F517FEA6E13A}"/>
            </c:ext>
          </c:extLst>
        </c:ser>
        <c:dLbls>
          <c:dLblPos val="inEnd"/>
          <c:showLegendKey val="0"/>
          <c:showVal val="1"/>
          <c:showCatName val="0"/>
          <c:showSerName val="0"/>
          <c:showPercent val="0"/>
          <c:showBubbleSize val="0"/>
        </c:dLbls>
        <c:gapWidth val="65"/>
        <c:axId val="574382032"/>
        <c:axId val="574382512"/>
      </c:barChart>
      <c:catAx>
        <c:axId val="57438203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74382512"/>
        <c:crosses val="autoZero"/>
        <c:auto val="1"/>
        <c:lblAlgn val="ctr"/>
        <c:lblOffset val="100"/>
        <c:noMultiLvlLbl val="0"/>
      </c:catAx>
      <c:valAx>
        <c:axId val="574382512"/>
        <c:scaling>
          <c:orientation val="minMax"/>
        </c:scaling>
        <c:delete val="1"/>
        <c:axPos val="b"/>
        <c:numFmt formatCode="General" sourceLinked="1"/>
        <c:majorTickMark val="none"/>
        <c:minorTickMark val="none"/>
        <c:tickLblPos val="nextTo"/>
        <c:crossAx val="5743820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table'!$B$47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table'!$A$48:$A$50</c:f>
              <c:strCache>
                <c:ptCount val="2"/>
                <c:pt idx="0">
                  <c:v>Loss</c:v>
                </c:pt>
                <c:pt idx="1">
                  <c:v>Profit</c:v>
                </c:pt>
              </c:strCache>
            </c:strRef>
          </c:cat>
          <c:val>
            <c:numRef>
              <c:f>'pivot table'!$B$48:$B$50</c:f>
              <c:numCache>
                <c:formatCode>General</c:formatCode>
                <c:ptCount val="2"/>
                <c:pt idx="0">
                  <c:v>210</c:v>
                </c:pt>
                <c:pt idx="1">
                  <c:v>123</c:v>
                </c:pt>
              </c:numCache>
            </c:numRef>
          </c:val>
          <c:extLst>
            <c:ext xmlns:c16="http://schemas.microsoft.com/office/drawing/2014/chart" uri="{C3380CC4-5D6E-409C-BE32-E72D297353CC}">
              <c16:uniqueId val="{00000000-45A4-4B72-B1DB-D7990E11377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782407407407409"/>
          <c:w val="0.93888888888888888"/>
          <c:h val="0.77736111111111106"/>
        </c:manualLayout>
      </c:layout>
      <c:barChart>
        <c:barDir val="col"/>
        <c:grouping val="clustered"/>
        <c:varyColors val="0"/>
        <c:ser>
          <c:idx val="0"/>
          <c:order val="0"/>
          <c:tx>
            <c:strRef>
              <c:f>'pivot table'!$B$58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table'!$A$59:$A$67</c:f>
              <c:strCache>
                <c:ptCount val="8"/>
                <c:pt idx="0">
                  <c:v>COMP001</c:v>
                </c:pt>
                <c:pt idx="1">
                  <c:v>COMP002</c:v>
                </c:pt>
                <c:pt idx="2">
                  <c:v>COMP003</c:v>
                </c:pt>
                <c:pt idx="3">
                  <c:v>COMP004</c:v>
                </c:pt>
                <c:pt idx="4">
                  <c:v>COMP005</c:v>
                </c:pt>
                <c:pt idx="5">
                  <c:v>COMP006</c:v>
                </c:pt>
                <c:pt idx="6">
                  <c:v>COMP007</c:v>
                </c:pt>
                <c:pt idx="7">
                  <c:v>COMP008</c:v>
                </c:pt>
              </c:strCache>
            </c:strRef>
          </c:cat>
          <c:val>
            <c:numRef>
              <c:f>'pivot table'!$B$59:$B$67</c:f>
              <c:numCache>
                <c:formatCode>0.00%</c:formatCode>
                <c:ptCount val="8"/>
                <c:pt idx="0">
                  <c:v>-8.2445379935790583E-2</c:v>
                </c:pt>
                <c:pt idx="1">
                  <c:v>5.581395348837213</c:v>
                </c:pt>
                <c:pt idx="2">
                  <c:v>15.433591804794769</c:v>
                </c:pt>
                <c:pt idx="3">
                  <c:v>13.415040298408051</c:v>
                </c:pt>
                <c:pt idx="4">
                  <c:v>8.0358697544837163</c:v>
                </c:pt>
                <c:pt idx="5">
                  <c:v>-11.42003584943239</c:v>
                </c:pt>
                <c:pt idx="6">
                  <c:v>28.922098849915006</c:v>
                </c:pt>
                <c:pt idx="7">
                  <c:v>39.630943931866582</c:v>
                </c:pt>
              </c:numCache>
            </c:numRef>
          </c:val>
          <c:extLst>
            <c:ext xmlns:c16="http://schemas.microsoft.com/office/drawing/2014/chart" uri="{C3380CC4-5D6E-409C-BE32-E72D297353CC}">
              <c16:uniqueId val="{00000000-7A68-4B85-8FA1-BF6088E75E15}"/>
            </c:ext>
          </c:extLst>
        </c:ser>
        <c:dLbls>
          <c:dLblPos val="outEnd"/>
          <c:showLegendKey val="0"/>
          <c:showVal val="1"/>
          <c:showCatName val="0"/>
          <c:showSerName val="0"/>
          <c:showPercent val="0"/>
          <c:showBubbleSize val="0"/>
        </c:dLbls>
        <c:gapWidth val="219"/>
        <c:overlap val="-27"/>
        <c:axId val="676313151"/>
        <c:axId val="676313631"/>
      </c:barChart>
      <c:catAx>
        <c:axId val="67631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13631"/>
        <c:crosses val="autoZero"/>
        <c:auto val="1"/>
        <c:lblAlgn val="ctr"/>
        <c:lblOffset val="100"/>
        <c:noMultiLvlLbl val="0"/>
      </c:catAx>
      <c:valAx>
        <c:axId val="676313631"/>
        <c:scaling>
          <c:orientation val="minMax"/>
        </c:scaling>
        <c:delete val="1"/>
        <c:axPos val="l"/>
        <c:numFmt formatCode="0.00%" sourceLinked="1"/>
        <c:majorTickMark val="none"/>
        <c:minorTickMark val="none"/>
        <c:tickLblPos val="nextTo"/>
        <c:crossAx val="6763131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table'!$B$76</c:f>
              <c:strCache>
                <c:ptCount val="1"/>
                <c:pt idx="0">
                  <c:v>Total</c:v>
                </c:pt>
              </c:strCache>
            </c:strRef>
          </c:tx>
          <c:spPr>
            <a:ln w="28575" cap="rnd">
              <a:solidFill>
                <a:schemeClr val="accent1"/>
              </a:solidFill>
              <a:round/>
            </a:ln>
            <a:effectLst/>
          </c:spPr>
          <c:marker>
            <c:symbol val="none"/>
          </c:marker>
          <c:cat>
            <c:strRef>
              <c:f>'pivot table'!$A$77:$A$85</c:f>
              <c:strCache>
                <c:ptCount val="8"/>
                <c:pt idx="0">
                  <c:v>COMP001</c:v>
                </c:pt>
                <c:pt idx="1">
                  <c:v>COMP002</c:v>
                </c:pt>
                <c:pt idx="2">
                  <c:v>COMP003</c:v>
                </c:pt>
                <c:pt idx="3">
                  <c:v>COMP004</c:v>
                </c:pt>
                <c:pt idx="4">
                  <c:v>COMP005</c:v>
                </c:pt>
                <c:pt idx="5">
                  <c:v>COMP006</c:v>
                </c:pt>
                <c:pt idx="6">
                  <c:v>COMP007</c:v>
                </c:pt>
                <c:pt idx="7">
                  <c:v>COMP008</c:v>
                </c:pt>
              </c:strCache>
            </c:strRef>
          </c:cat>
          <c:val>
            <c:numRef>
              <c:f>'pivot table'!$B$77:$B$85</c:f>
              <c:numCache>
                <c:formatCode>0.00</c:formatCode>
                <c:ptCount val="8"/>
                <c:pt idx="0">
                  <c:v>2.1315963844124668</c:v>
                </c:pt>
                <c:pt idx="1">
                  <c:v>1.4357970305106871</c:v>
                </c:pt>
                <c:pt idx="2">
                  <c:v>0.55024629023951122</c:v>
                </c:pt>
                <c:pt idx="3">
                  <c:v>0</c:v>
                </c:pt>
                <c:pt idx="4">
                  <c:v>0</c:v>
                </c:pt>
                <c:pt idx="5">
                  <c:v>12.015469016997931</c:v>
                </c:pt>
                <c:pt idx="6">
                  <c:v>5.8010718627467774</c:v>
                </c:pt>
                <c:pt idx="7">
                  <c:v>0.88949883094439353</c:v>
                </c:pt>
              </c:numCache>
            </c:numRef>
          </c:val>
          <c:smooth val="0"/>
          <c:extLst>
            <c:ext xmlns:c16="http://schemas.microsoft.com/office/drawing/2014/chart" uri="{C3380CC4-5D6E-409C-BE32-E72D297353CC}">
              <c16:uniqueId val="{00000000-381E-41F8-A5F0-B2BB058DB154}"/>
            </c:ext>
          </c:extLst>
        </c:ser>
        <c:dLbls>
          <c:showLegendKey val="0"/>
          <c:showVal val="0"/>
          <c:showCatName val="0"/>
          <c:showSerName val="0"/>
          <c:showPercent val="0"/>
          <c:showBubbleSize val="0"/>
        </c:dLbls>
        <c:smooth val="0"/>
        <c:axId val="1233808527"/>
        <c:axId val="1233811407"/>
      </c:lineChart>
      <c:catAx>
        <c:axId val="123380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811407"/>
        <c:crosses val="autoZero"/>
        <c:auto val="1"/>
        <c:lblAlgn val="ctr"/>
        <c:lblOffset val="100"/>
        <c:noMultiLvlLbl val="0"/>
      </c:catAx>
      <c:valAx>
        <c:axId val="1233811407"/>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2338085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Volatility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70436649964209"/>
          <c:y val="0.21783970138978528"/>
          <c:w val="0.85340546592515099"/>
          <c:h val="0.65785519125683056"/>
        </c:manualLayout>
      </c:layout>
      <c:barChart>
        <c:barDir val="bar"/>
        <c:grouping val="clustered"/>
        <c:varyColors val="0"/>
        <c:ser>
          <c:idx val="0"/>
          <c:order val="0"/>
          <c:tx>
            <c:strRef>
              <c:f>'pivot table'!$B$8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table'!$A$9:$A$17</c:f>
              <c:strCache>
                <c:ptCount val="8"/>
                <c:pt idx="0">
                  <c:v>COMP001</c:v>
                </c:pt>
                <c:pt idx="1">
                  <c:v>COMP002</c:v>
                </c:pt>
                <c:pt idx="2">
                  <c:v>COMP003</c:v>
                </c:pt>
                <c:pt idx="3">
                  <c:v>COMP004</c:v>
                </c:pt>
                <c:pt idx="4">
                  <c:v>COMP005</c:v>
                </c:pt>
                <c:pt idx="5">
                  <c:v>COMP006</c:v>
                </c:pt>
                <c:pt idx="6">
                  <c:v>COMP007</c:v>
                </c:pt>
                <c:pt idx="7">
                  <c:v>COMP008</c:v>
                </c:pt>
              </c:strCache>
            </c:strRef>
          </c:cat>
          <c:val>
            <c:numRef>
              <c:f>'pivot table'!$B$9:$B$17</c:f>
              <c:numCache>
                <c:formatCode>General</c:formatCode>
                <c:ptCount val="8"/>
                <c:pt idx="0">
                  <c:v>1.2584348247847994E-2</c:v>
                </c:pt>
                <c:pt idx="1">
                  <c:v>1.2974504290131021E-2</c:v>
                </c:pt>
                <c:pt idx="2">
                  <c:v>1.3630771301661172E-2</c:v>
                </c:pt>
                <c:pt idx="3">
                  <c:v>1.177767179584311E-2</c:v>
                </c:pt>
                <c:pt idx="4">
                  <c:v>1.1642207547324059E-2</c:v>
                </c:pt>
                <c:pt idx="5">
                  <c:v>1.2321016114012772E-2</c:v>
                </c:pt>
                <c:pt idx="6">
                  <c:v>1.4045542248921366E-2</c:v>
                </c:pt>
                <c:pt idx="7">
                  <c:v>1.4141310666860807E-2</c:v>
                </c:pt>
              </c:numCache>
            </c:numRef>
          </c:val>
          <c:extLst>
            <c:ext xmlns:c16="http://schemas.microsoft.com/office/drawing/2014/chart" uri="{C3380CC4-5D6E-409C-BE32-E72D297353CC}">
              <c16:uniqueId val="{00000000-685F-4EB0-BF09-12E9046BA43D}"/>
            </c:ext>
          </c:extLst>
        </c:ser>
        <c:dLbls>
          <c:dLblPos val="inEnd"/>
          <c:showLegendKey val="0"/>
          <c:showVal val="1"/>
          <c:showCatName val="0"/>
          <c:showSerName val="0"/>
          <c:showPercent val="0"/>
          <c:showBubbleSize val="0"/>
        </c:dLbls>
        <c:gapWidth val="115"/>
        <c:overlap val="-20"/>
        <c:axId val="574382032"/>
        <c:axId val="574382512"/>
      </c:barChart>
      <c:catAx>
        <c:axId val="5743820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382512"/>
        <c:crosses val="autoZero"/>
        <c:auto val="1"/>
        <c:lblAlgn val="ctr"/>
        <c:lblOffset val="100"/>
        <c:noMultiLvlLbl val="0"/>
      </c:catAx>
      <c:valAx>
        <c:axId val="574382512"/>
        <c:scaling>
          <c:orientation val="minMax"/>
        </c:scaling>
        <c:delete val="1"/>
        <c:axPos val="b"/>
        <c:numFmt formatCode="General" sourceLinked="1"/>
        <c:majorTickMark val="none"/>
        <c:minorTickMark val="none"/>
        <c:tickLblPos val="nextTo"/>
        <c:crossAx val="5743820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table!PivotTable14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100" baseline="0" dirty="0">
                <a:solidFill>
                  <a:sysClr val="window" lastClr="FFFFFF">
                    <a:lumMod val="95000"/>
                  </a:sysClr>
                </a:solidFill>
                <a:effectLst>
                  <a:outerShdw blurRad="50800" dist="38100" dir="5400000" algn="t" rotWithShape="0">
                    <a:prstClr val="black">
                      <a:alpha val="40000"/>
                    </a:prstClr>
                  </a:outerShdw>
                </a:effectLst>
              </a:rPr>
              <a:t>Trader Performance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table'!$B$47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D4F-4C87-A237-92F08F14A7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D4F-4C87-A237-92F08F14A7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table'!$A$48:$A$50</c:f>
              <c:strCache>
                <c:ptCount val="2"/>
                <c:pt idx="0">
                  <c:v>Loss</c:v>
                </c:pt>
                <c:pt idx="1">
                  <c:v>Profit</c:v>
                </c:pt>
              </c:strCache>
            </c:strRef>
          </c:cat>
          <c:val>
            <c:numRef>
              <c:f>'pivot table'!$B$48:$B$50</c:f>
              <c:numCache>
                <c:formatCode>General</c:formatCode>
                <c:ptCount val="2"/>
                <c:pt idx="0">
                  <c:v>210</c:v>
                </c:pt>
                <c:pt idx="1">
                  <c:v>123</c:v>
                </c:pt>
              </c:numCache>
            </c:numRef>
          </c:val>
          <c:extLst>
            <c:ext xmlns:c16="http://schemas.microsoft.com/office/drawing/2014/chart" uri="{C3380CC4-5D6E-409C-BE32-E72D297353CC}">
              <c16:uniqueId val="{00000004-FD4F-4C87-A237-92F08F14A77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100" baseline="0" dirty="0">
                <a:solidFill>
                  <a:sysClr val="window" lastClr="FFFFFF">
                    <a:lumMod val="95000"/>
                  </a:sysClr>
                </a:solidFill>
                <a:effectLst>
                  <a:outerShdw blurRad="50800" dist="38100" dir="5400000" algn="t" rotWithShape="0">
                    <a:prstClr val="black">
                      <a:alpha val="40000"/>
                    </a:prstClr>
                  </a:outerShdw>
                </a:effectLst>
              </a:rPr>
              <a:t>Portfolio Return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782407407407409"/>
          <c:w val="0.93888888888888888"/>
          <c:h val="0.77736111111111106"/>
        </c:manualLayout>
      </c:layout>
      <c:barChart>
        <c:barDir val="col"/>
        <c:grouping val="clustered"/>
        <c:varyColors val="0"/>
        <c:ser>
          <c:idx val="0"/>
          <c:order val="0"/>
          <c:tx>
            <c:strRef>
              <c:f>'pivot table'!$B$58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table'!$A$59:$A$67</c:f>
              <c:strCache>
                <c:ptCount val="8"/>
                <c:pt idx="0">
                  <c:v>COMP001</c:v>
                </c:pt>
                <c:pt idx="1">
                  <c:v>COMP002</c:v>
                </c:pt>
                <c:pt idx="2">
                  <c:v>COMP003</c:v>
                </c:pt>
                <c:pt idx="3">
                  <c:v>COMP004</c:v>
                </c:pt>
                <c:pt idx="4">
                  <c:v>COMP005</c:v>
                </c:pt>
                <c:pt idx="5">
                  <c:v>COMP006</c:v>
                </c:pt>
                <c:pt idx="6">
                  <c:v>COMP007</c:v>
                </c:pt>
                <c:pt idx="7">
                  <c:v>COMP008</c:v>
                </c:pt>
              </c:strCache>
            </c:strRef>
          </c:cat>
          <c:val>
            <c:numRef>
              <c:f>'pivot table'!$B$59:$B$67</c:f>
              <c:numCache>
                <c:formatCode>0.00%</c:formatCode>
                <c:ptCount val="8"/>
                <c:pt idx="0">
                  <c:v>-8.2445379935790583E-2</c:v>
                </c:pt>
                <c:pt idx="1">
                  <c:v>5.581395348837213</c:v>
                </c:pt>
                <c:pt idx="2">
                  <c:v>15.433591804794769</c:v>
                </c:pt>
                <c:pt idx="3">
                  <c:v>13.415040298408051</c:v>
                </c:pt>
                <c:pt idx="4">
                  <c:v>8.0358697544837163</c:v>
                </c:pt>
                <c:pt idx="5">
                  <c:v>-11.42003584943239</c:v>
                </c:pt>
                <c:pt idx="6">
                  <c:v>28.922098849915006</c:v>
                </c:pt>
                <c:pt idx="7">
                  <c:v>39.630943931866582</c:v>
                </c:pt>
              </c:numCache>
            </c:numRef>
          </c:val>
          <c:extLst>
            <c:ext xmlns:c16="http://schemas.microsoft.com/office/drawing/2014/chart" uri="{C3380CC4-5D6E-409C-BE32-E72D297353CC}">
              <c16:uniqueId val="{00000000-DAE5-427B-B332-6307B36EB074}"/>
            </c:ext>
          </c:extLst>
        </c:ser>
        <c:dLbls>
          <c:dLblPos val="outEnd"/>
          <c:showLegendKey val="0"/>
          <c:showVal val="1"/>
          <c:showCatName val="0"/>
          <c:showSerName val="0"/>
          <c:showPercent val="0"/>
          <c:showBubbleSize val="0"/>
        </c:dLbls>
        <c:gapWidth val="100"/>
        <c:overlap val="-24"/>
        <c:axId val="676313151"/>
        <c:axId val="676313631"/>
      </c:barChart>
      <c:catAx>
        <c:axId val="6763131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6313631"/>
        <c:crosses val="autoZero"/>
        <c:auto val="1"/>
        <c:lblAlgn val="ctr"/>
        <c:lblOffset val="100"/>
        <c:noMultiLvlLbl val="0"/>
      </c:catAx>
      <c:valAx>
        <c:axId val="676313631"/>
        <c:scaling>
          <c:orientation val="minMax"/>
        </c:scaling>
        <c:delete val="1"/>
        <c:axPos val="l"/>
        <c:numFmt formatCode="0.00%" sourceLinked="1"/>
        <c:majorTickMark val="none"/>
        <c:minorTickMark val="none"/>
        <c:tickLblPos val="nextTo"/>
        <c:crossAx val="6763131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[stock_market_dashboard.xlsx]pivot table!PivotTable12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100" baseline="0" dirty="0">
                <a:solidFill>
                  <a:sysClr val="window" lastClr="FFFFFF">
                    <a:lumMod val="95000"/>
                  </a:sysClr>
                </a:solidFill>
                <a:effectLst>
                  <a:outerShdw blurRad="50800" dist="38100" dir="5400000" algn="t" rotWithShape="0">
                    <a:prstClr val="black">
                      <a:alpha val="40000"/>
                    </a:prstClr>
                  </a:outerShdw>
                </a:effectLst>
              </a:rPr>
              <a:t>Dividend Yield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table'!$B$76</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table'!$A$77:$A$85</c:f>
              <c:strCache>
                <c:ptCount val="8"/>
                <c:pt idx="0">
                  <c:v>COMP001</c:v>
                </c:pt>
                <c:pt idx="1">
                  <c:v>COMP002</c:v>
                </c:pt>
                <c:pt idx="2">
                  <c:v>COMP003</c:v>
                </c:pt>
                <c:pt idx="3">
                  <c:v>COMP004</c:v>
                </c:pt>
                <c:pt idx="4">
                  <c:v>COMP005</c:v>
                </c:pt>
                <c:pt idx="5">
                  <c:v>COMP006</c:v>
                </c:pt>
                <c:pt idx="6">
                  <c:v>COMP007</c:v>
                </c:pt>
                <c:pt idx="7">
                  <c:v>COMP008</c:v>
                </c:pt>
              </c:strCache>
            </c:strRef>
          </c:cat>
          <c:val>
            <c:numRef>
              <c:f>'pivot table'!$B$77:$B$85</c:f>
              <c:numCache>
                <c:formatCode>0.00</c:formatCode>
                <c:ptCount val="8"/>
                <c:pt idx="0">
                  <c:v>2.1315963844124668</c:v>
                </c:pt>
                <c:pt idx="1">
                  <c:v>1.4357970305106871</c:v>
                </c:pt>
                <c:pt idx="2">
                  <c:v>0.55024629023951122</c:v>
                </c:pt>
                <c:pt idx="3">
                  <c:v>0</c:v>
                </c:pt>
                <c:pt idx="4">
                  <c:v>0</c:v>
                </c:pt>
                <c:pt idx="5">
                  <c:v>12.015469016997931</c:v>
                </c:pt>
                <c:pt idx="6">
                  <c:v>5.8010718627467774</c:v>
                </c:pt>
                <c:pt idx="7">
                  <c:v>0.88949883094439353</c:v>
                </c:pt>
              </c:numCache>
            </c:numRef>
          </c:val>
          <c:smooth val="0"/>
          <c:extLst>
            <c:ext xmlns:c16="http://schemas.microsoft.com/office/drawing/2014/chart" uri="{C3380CC4-5D6E-409C-BE32-E72D297353CC}">
              <c16:uniqueId val="{00000000-4C52-4CCC-9D97-70AAE27FE58D}"/>
            </c:ext>
          </c:extLst>
        </c:ser>
        <c:dLbls>
          <c:dLblPos val="t"/>
          <c:showLegendKey val="0"/>
          <c:showVal val="1"/>
          <c:showCatName val="0"/>
          <c:showSerName val="0"/>
          <c:showPercent val="0"/>
          <c:showBubbleSize val="0"/>
        </c:dLbls>
        <c:marker val="1"/>
        <c:smooth val="0"/>
        <c:axId val="1233808527"/>
        <c:axId val="1233811407"/>
      </c:lineChart>
      <c:catAx>
        <c:axId val="123380852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3811407"/>
        <c:crosses val="autoZero"/>
        <c:auto val="1"/>
        <c:lblAlgn val="ctr"/>
        <c:lblOffset val="100"/>
        <c:noMultiLvlLbl val="0"/>
      </c:catAx>
      <c:valAx>
        <c:axId val="1233811407"/>
        <c:scaling>
          <c:orientation val="minMax"/>
        </c:scaling>
        <c:delete val="1"/>
        <c:axPos val="l"/>
        <c:numFmt formatCode="0.00" sourceLinked="1"/>
        <c:majorTickMark val="none"/>
        <c:minorTickMark val="none"/>
        <c:tickLblPos val="nextTo"/>
        <c:crossAx val="12338085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7.xml"/><Relationship Id="rId7" Type="http://schemas.openxmlformats.org/officeDocument/2006/relationships/image" Target="../media/image3.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23</xdr:col>
      <xdr:colOff>464820</xdr:colOff>
      <xdr:row>11</xdr:row>
      <xdr:rowOff>114300</xdr:rowOff>
    </xdr:from>
    <xdr:to>
      <xdr:col>31</xdr:col>
      <xdr:colOff>381000</xdr:colOff>
      <xdr:row>19</xdr:row>
      <xdr:rowOff>106680</xdr:rowOff>
    </xdr:to>
    <xdr:sp macro="" textlink="">
      <xdr:nvSpPr>
        <xdr:cNvPr id="2" name="TextBox 1">
          <a:extLst>
            <a:ext uri="{FF2B5EF4-FFF2-40B4-BE49-F238E27FC236}">
              <a16:creationId xmlns:a16="http://schemas.microsoft.com/office/drawing/2014/main" id="{5E20527A-F451-C7FF-F135-7481E828A071}"/>
            </a:ext>
          </a:extLst>
        </xdr:cNvPr>
        <xdr:cNvSpPr txBox="1"/>
      </xdr:nvSpPr>
      <xdr:spPr>
        <a:xfrm>
          <a:off x="23820120" y="2125980"/>
          <a:ext cx="7688580" cy="1455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=SUMIFS(fact_dividends[dividend_per_share],</a:t>
          </a:r>
        </a:p>
        <a:p>
          <a:r>
            <a:rPr lang="en-IN" sz="1100"/>
            <a:t>        fact_dividends[company_id],Table16[company_id],</a:t>
          </a:r>
        </a:p>
        <a:p>
          <a:r>
            <a:rPr lang="en-IN" sz="1100"/>
            <a:t>        fact_dividends[date],"&gt;"&amp;EDATE(fact_daily_prices!Q2,-12),</a:t>
          </a:r>
        </a:p>
        <a:p>
          <a:r>
            <a:rPr lang="en-IN" sz="1100"/>
            <a:t>        fact_dividends[date],"&lt;="&amp;fact_daily_prices!Q2)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xdr:colOff>
      <xdr:row>6</xdr:row>
      <xdr:rowOff>175260</xdr:rowOff>
    </xdr:from>
    <xdr:to>
      <xdr:col>7</xdr:col>
      <xdr:colOff>30480</xdr:colOff>
      <xdr:row>17</xdr:row>
      <xdr:rowOff>22860</xdr:rowOff>
    </xdr:to>
    <xdr:graphicFrame macro="">
      <xdr:nvGraphicFramePr>
        <xdr:cNvPr id="3" name="Chart 2">
          <a:extLst>
            <a:ext uri="{FF2B5EF4-FFF2-40B4-BE49-F238E27FC236}">
              <a16:creationId xmlns:a16="http://schemas.microsoft.com/office/drawing/2014/main" id="{87E1CD91-8DA8-752E-D811-FB91AE522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327660</xdr:colOff>
      <xdr:row>42</xdr:row>
      <xdr:rowOff>41910</xdr:rowOff>
    </xdr:from>
    <xdr:to>
      <xdr:col>6</xdr:col>
      <xdr:colOff>350520</xdr:colOff>
      <xdr:row>54</xdr:row>
      <xdr:rowOff>15240</xdr:rowOff>
    </xdr:to>
    <xdr:graphicFrame macro="">
      <xdr:nvGraphicFramePr>
        <xdr:cNvPr id="2" name="Chart 1">
          <a:extLst>
            <a:ext uri="{FF2B5EF4-FFF2-40B4-BE49-F238E27FC236}">
              <a16:creationId xmlns:a16="http://schemas.microsoft.com/office/drawing/2014/main" id="{392B43A0-F219-E3DC-91F1-B7D3A601A8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449580</xdr:colOff>
      <xdr:row>56</xdr:row>
      <xdr:rowOff>80010</xdr:rowOff>
    </xdr:from>
    <xdr:to>
      <xdr:col>7</xdr:col>
      <xdr:colOff>822960</xdr:colOff>
      <xdr:row>71</xdr:row>
      <xdr:rowOff>80010</xdr:rowOff>
    </xdr:to>
    <xdr:graphicFrame macro="">
      <xdr:nvGraphicFramePr>
        <xdr:cNvPr id="4" name="Chart 3">
          <a:extLst>
            <a:ext uri="{FF2B5EF4-FFF2-40B4-BE49-F238E27FC236}">
              <a16:creationId xmlns:a16="http://schemas.microsoft.com/office/drawing/2014/main" id="{7810FAE8-EDA4-AF06-DB80-E6A3909877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449580</xdr:colOff>
      <xdr:row>75</xdr:row>
      <xdr:rowOff>41910</xdr:rowOff>
    </xdr:from>
    <xdr:to>
      <xdr:col>8</xdr:col>
      <xdr:colOff>708660</xdr:colOff>
      <xdr:row>90</xdr:row>
      <xdr:rowOff>41910</xdr:rowOff>
    </xdr:to>
    <xdr:graphicFrame macro="">
      <xdr:nvGraphicFramePr>
        <xdr:cNvPr id="5" name="Chart 4">
          <a:extLst>
            <a:ext uri="{FF2B5EF4-FFF2-40B4-BE49-F238E27FC236}">
              <a16:creationId xmlns:a16="http://schemas.microsoft.com/office/drawing/2014/main" id="{76D223E8-1D44-6411-25F9-84649140EA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167640</xdr:colOff>
      <xdr:row>7</xdr:row>
      <xdr:rowOff>1</xdr:rowOff>
    </xdr:from>
    <xdr:to>
      <xdr:col>9</xdr:col>
      <xdr:colOff>68580</xdr:colOff>
      <xdr:row>17</xdr:row>
      <xdr:rowOff>53341</xdr:rowOff>
    </xdr:to>
    <mc:AlternateContent xmlns:mc="http://schemas.openxmlformats.org/markup-compatibility/2006">
      <mc:Choice xmlns:a14="http://schemas.microsoft.com/office/drawing/2010/main" Requires="a14">
        <xdr:graphicFrame macro="">
          <xdr:nvGraphicFramePr>
            <xdr:cNvPr id="7" name="Sector_Name">
              <a:extLst>
                <a:ext uri="{FF2B5EF4-FFF2-40B4-BE49-F238E27FC236}">
                  <a16:creationId xmlns:a16="http://schemas.microsoft.com/office/drawing/2014/main" id="{55BC62DF-A851-3D61-DF15-0C6A81699449}"/>
                </a:ext>
              </a:extLst>
            </xdr:cNvPr>
            <xdr:cNvGraphicFramePr/>
          </xdr:nvGraphicFramePr>
          <xdr:xfrm>
            <a:off x="0" y="0"/>
            <a:ext cx="0" cy="0"/>
          </xdr:xfrm>
          <a:graphic>
            <a:graphicData uri="http://schemas.microsoft.com/office/drawing/2010/slicer">
              <sle:slicer xmlns:sle="http://schemas.microsoft.com/office/drawing/2010/slicer" name="Sector_Name"/>
            </a:graphicData>
          </a:graphic>
        </xdr:graphicFrame>
      </mc:Choice>
      <mc:Fallback>
        <xdr:sp macro="" textlink="">
          <xdr:nvSpPr>
            <xdr:cNvPr id="0" name=""/>
            <xdr:cNvSpPr>
              <a:spLocks noTextEdit="1"/>
            </xdr:cNvSpPr>
          </xdr:nvSpPr>
          <xdr:spPr>
            <a:xfrm>
              <a:off x="6629400" y="1280161"/>
              <a:ext cx="1828800" cy="1882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152400</xdr:colOff>
      <xdr:row>6</xdr:row>
      <xdr:rowOff>91440</xdr:rowOff>
    </xdr:from>
    <xdr:to>
      <xdr:col>11</xdr:col>
      <xdr:colOff>533400</xdr:colOff>
      <xdr:row>19</xdr:row>
      <xdr:rowOff>180975</xdr:rowOff>
    </xdr:to>
    <mc:AlternateContent xmlns:mc="http://schemas.openxmlformats.org/markup-compatibility/2006">
      <mc:Choice xmlns:a14="http://schemas.microsoft.com/office/drawing/2010/main" Requires="a14">
        <xdr:graphicFrame macro="">
          <xdr:nvGraphicFramePr>
            <xdr:cNvPr id="13" name="company_id">
              <a:extLst>
                <a:ext uri="{FF2B5EF4-FFF2-40B4-BE49-F238E27FC236}">
                  <a16:creationId xmlns:a16="http://schemas.microsoft.com/office/drawing/2014/main" id="{1A953641-BCEA-17EF-1140-235A2D9B743F}"/>
                </a:ext>
              </a:extLst>
            </xdr:cNvPr>
            <xdr:cNvGraphicFramePr/>
          </xdr:nvGraphicFramePr>
          <xdr:xfrm>
            <a:off x="0" y="0"/>
            <a:ext cx="0" cy="0"/>
          </xdr:xfrm>
          <a:graphic>
            <a:graphicData uri="http://schemas.microsoft.com/office/drawing/2010/slicer">
              <sle:slicer xmlns:sle="http://schemas.microsoft.com/office/drawing/2010/slicer" name="company_id"/>
            </a:graphicData>
          </a:graphic>
        </xdr:graphicFrame>
      </mc:Choice>
      <mc:Fallback>
        <xdr:sp macro="" textlink="">
          <xdr:nvSpPr>
            <xdr:cNvPr id="0" name=""/>
            <xdr:cNvSpPr>
              <a:spLocks noTextEdit="1"/>
            </xdr:cNvSpPr>
          </xdr:nvSpPr>
          <xdr:spPr>
            <a:xfrm>
              <a:off x="8542020" y="1188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15239</xdr:colOff>
      <xdr:row>4</xdr:row>
      <xdr:rowOff>115994</xdr:rowOff>
    </xdr:from>
    <xdr:to>
      <xdr:col>3</xdr:col>
      <xdr:colOff>167639</xdr:colOff>
      <xdr:row>9</xdr:row>
      <xdr:rowOff>59267</xdr:rowOff>
    </xdr:to>
    <xdr:sp macro="" textlink="">
      <xdr:nvSpPr>
        <xdr:cNvPr id="2" name="Rectangle: Rounded Corners 1">
          <a:extLst>
            <a:ext uri="{FF2B5EF4-FFF2-40B4-BE49-F238E27FC236}">
              <a16:creationId xmlns:a16="http://schemas.microsoft.com/office/drawing/2014/main" id="{859D4A7A-BA6B-09DB-C0F6-6C64CBB7668D}"/>
            </a:ext>
          </a:extLst>
        </xdr:cNvPr>
        <xdr:cNvSpPr/>
      </xdr:nvSpPr>
      <xdr:spPr>
        <a:xfrm>
          <a:off x="15239" y="861061"/>
          <a:ext cx="1981200" cy="874606"/>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159173</xdr:colOff>
      <xdr:row>5</xdr:row>
      <xdr:rowOff>28788</xdr:rowOff>
    </xdr:from>
    <xdr:to>
      <xdr:col>3</xdr:col>
      <xdr:colOff>52493</xdr:colOff>
      <xdr:row>7</xdr:row>
      <xdr:rowOff>5927</xdr:rowOff>
    </xdr:to>
    <xdr:sp macro="" textlink="">
      <xdr:nvSpPr>
        <xdr:cNvPr id="3" name="TextBox 2">
          <a:extLst>
            <a:ext uri="{FF2B5EF4-FFF2-40B4-BE49-F238E27FC236}">
              <a16:creationId xmlns:a16="http://schemas.microsoft.com/office/drawing/2014/main" id="{D96B096E-8EA1-AFD5-6ED1-C9BA8ECE0ED3}"/>
            </a:ext>
          </a:extLst>
        </xdr:cNvPr>
        <xdr:cNvSpPr txBox="1"/>
      </xdr:nvSpPr>
      <xdr:spPr>
        <a:xfrm>
          <a:off x="159173" y="960121"/>
          <a:ext cx="1722120" cy="349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effectLst/>
              <a:latin typeface="+mn-lt"/>
              <a:ea typeface="+mn-ea"/>
              <a:cs typeface="+mn-cs"/>
            </a:rPr>
            <a:t>Total</a:t>
          </a:r>
          <a:r>
            <a:rPr lang="en-US" sz="1100">
              <a:solidFill>
                <a:schemeClr val="dk1"/>
              </a:solidFill>
              <a:effectLst/>
              <a:latin typeface="+mn-lt"/>
              <a:ea typeface="+mn-ea"/>
              <a:cs typeface="+mn-cs"/>
            </a:rPr>
            <a:t> </a:t>
          </a:r>
          <a:r>
            <a:rPr lang="en-US" sz="1100">
              <a:solidFill>
                <a:schemeClr val="bg1"/>
              </a:solidFill>
              <a:effectLst/>
              <a:latin typeface="+mn-lt"/>
              <a:ea typeface="+mn-ea"/>
              <a:cs typeface="+mn-cs"/>
            </a:rPr>
            <a:t>Market Capitalization </a:t>
          </a:r>
          <a:endParaRPr lang="en-IN" sz="1100">
            <a:solidFill>
              <a:schemeClr val="bg1"/>
            </a:solidFill>
          </a:endParaRPr>
        </a:p>
      </xdr:txBody>
    </xdr:sp>
    <xdr:clientData/>
  </xdr:twoCellAnchor>
  <xdr:twoCellAnchor>
    <xdr:from>
      <xdr:col>0</xdr:col>
      <xdr:colOff>166793</xdr:colOff>
      <xdr:row>7</xdr:row>
      <xdr:rowOff>28787</xdr:rowOff>
    </xdr:from>
    <xdr:to>
      <xdr:col>3</xdr:col>
      <xdr:colOff>14393</xdr:colOff>
      <xdr:row>8</xdr:row>
      <xdr:rowOff>115994</xdr:rowOff>
    </xdr:to>
    <xdr:sp macro="" textlink="'pivot table'!$C$22">
      <xdr:nvSpPr>
        <xdr:cNvPr id="4" name="TextBox 3">
          <a:extLst>
            <a:ext uri="{FF2B5EF4-FFF2-40B4-BE49-F238E27FC236}">
              <a16:creationId xmlns:a16="http://schemas.microsoft.com/office/drawing/2014/main" id="{A410541C-9881-055C-B324-90AA616269D7}"/>
            </a:ext>
          </a:extLst>
        </xdr:cNvPr>
        <xdr:cNvSpPr txBox="1"/>
      </xdr:nvSpPr>
      <xdr:spPr>
        <a:xfrm>
          <a:off x="166793" y="1332654"/>
          <a:ext cx="1676400" cy="273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CE1DD4E-6CA9-45C1-A7C6-A6180E49A3B6}" type="TxLink">
            <a:rPr lang="en-US" sz="1800" b="1" i="0" u="none" strike="noStrike">
              <a:solidFill>
                <a:schemeClr val="bg1"/>
              </a:solidFill>
              <a:latin typeface="Calibri"/>
              <a:ea typeface="Calibri"/>
              <a:cs typeface="Calibri"/>
            </a:rPr>
            <a:t>23,269.3 M</a:t>
          </a:fld>
          <a:endParaRPr lang="en-IN" sz="1800" b="1">
            <a:solidFill>
              <a:schemeClr val="bg1"/>
            </a:solidFill>
          </a:endParaRPr>
        </a:p>
      </xdr:txBody>
    </xdr:sp>
    <xdr:clientData/>
  </xdr:twoCellAnchor>
  <xdr:twoCellAnchor>
    <xdr:from>
      <xdr:col>3</xdr:col>
      <xdr:colOff>214206</xdr:colOff>
      <xdr:row>4</xdr:row>
      <xdr:rowOff>99906</xdr:rowOff>
    </xdr:from>
    <xdr:to>
      <xdr:col>6</xdr:col>
      <xdr:colOff>482599</xdr:colOff>
      <xdr:row>9</xdr:row>
      <xdr:rowOff>76200</xdr:rowOff>
    </xdr:to>
    <xdr:sp macro="" textlink="">
      <xdr:nvSpPr>
        <xdr:cNvPr id="5" name="Rectangle: Rounded Corners 4">
          <a:extLst>
            <a:ext uri="{FF2B5EF4-FFF2-40B4-BE49-F238E27FC236}">
              <a16:creationId xmlns:a16="http://schemas.microsoft.com/office/drawing/2014/main" id="{087B9FF9-FC20-45D2-864F-20CFE9F20914}"/>
            </a:ext>
          </a:extLst>
        </xdr:cNvPr>
        <xdr:cNvSpPr/>
      </xdr:nvSpPr>
      <xdr:spPr>
        <a:xfrm>
          <a:off x="2043006" y="844973"/>
          <a:ext cx="2097193" cy="907627"/>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366606</xdr:colOff>
      <xdr:row>5</xdr:row>
      <xdr:rowOff>5081</xdr:rowOff>
    </xdr:from>
    <xdr:to>
      <xdr:col>6</xdr:col>
      <xdr:colOff>272023</xdr:colOff>
      <xdr:row>6</xdr:row>
      <xdr:rowOff>154910</xdr:rowOff>
    </xdr:to>
    <xdr:sp macro="" textlink="">
      <xdr:nvSpPr>
        <xdr:cNvPr id="6" name="TextBox 5">
          <a:extLst>
            <a:ext uri="{FF2B5EF4-FFF2-40B4-BE49-F238E27FC236}">
              <a16:creationId xmlns:a16="http://schemas.microsoft.com/office/drawing/2014/main" id="{0A2D71E9-97C3-40E4-A2D8-B72604ADC18C}"/>
            </a:ext>
          </a:extLst>
        </xdr:cNvPr>
        <xdr:cNvSpPr txBox="1"/>
      </xdr:nvSpPr>
      <xdr:spPr>
        <a:xfrm>
          <a:off x="2195406" y="936414"/>
          <a:ext cx="1734217" cy="336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effectLst/>
              <a:latin typeface="+mn-lt"/>
              <a:ea typeface="+mn-ea"/>
              <a:cs typeface="+mn-cs"/>
            </a:rPr>
            <a:t>Average Daily Trading </a:t>
          </a:r>
          <a:endParaRPr lang="en-IN" sz="1200">
            <a:solidFill>
              <a:schemeClr val="bg1"/>
            </a:solidFill>
          </a:endParaRPr>
        </a:p>
      </xdr:txBody>
    </xdr:sp>
    <xdr:clientData/>
  </xdr:twoCellAnchor>
  <xdr:twoCellAnchor>
    <xdr:from>
      <xdr:col>3</xdr:col>
      <xdr:colOff>351367</xdr:colOff>
      <xdr:row>7</xdr:row>
      <xdr:rowOff>33867</xdr:rowOff>
    </xdr:from>
    <xdr:to>
      <xdr:col>6</xdr:col>
      <xdr:colOff>297115</xdr:colOff>
      <xdr:row>8</xdr:row>
      <xdr:rowOff>90523</xdr:rowOff>
    </xdr:to>
    <xdr:sp macro="" textlink="'pivot table'!$C$4">
      <xdr:nvSpPr>
        <xdr:cNvPr id="7" name="TextBox 6">
          <a:extLst>
            <a:ext uri="{FF2B5EF4-FFF2-40B4-BE49-F238E27FC236}">
              <a16:creationId xmlns:a16="http://schemas.microsoft.com/office/drawing/2014/main" id="{DD9187E7-452D-4F88-9784-583CEBE7A8DC}"/>
            </a:ext>
          </a:extLst>
        </xdr:cNvPr>
        <xdr:cNvSpPr txBox="1"/>
      </xdr:nvSpPr>
      <xdr:spPr>
        <a:xfrm>
          <a:off x="2180167" y="1337734"/>
          <a:ext cx="1774548" cy="242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46735E-1318-428A-BDCA-24ED6B237DAC}" type="TxLink">
            <a:rPr lang="en-US" sz="1800" b="1" i="0" u="none" strike="noStrike">
              <a:solidFill>
                <a:schemeClr val="bg1"/>
              </a:solidFill>
              <a:latin typeface="Calibri"/>
              <a:ea typeface="Calibri"/>
              <a:cs typeface="Calibri"/>
            </a:rPr>
            <a:pPr algn="ctr"/>
            <a:t>25.4 K</a:t>
          </a:fld>
          <a:endParaRPr lang="en-IN" sz="1800" b="1">
            <a:solidFill>
              <a:schemeClr val="bg1"/>
            </a:solidFill>
          </a:endParaRPr>
        </a:p>
      </xdr:txBody>
    </xdr:sp>
    <xdr:clientData/>
  </xdr:twoCellAnchor>
  <xdr:twoCellAnchor>
    <xdr:from>
      <xdr:col>6</xdr:col>
      <xdr:colOff>535940</xdr:colOff>
      <xdr:row>4</xdr:row>
      <xdr:rowOff>109220</xdr:rowOff>
    </xdr:from>
    <xdr:to>
      <xdr:col>10</xdr:col>
      <xdr:colOff>78740</xdr:colOff>
      <xdr:row>9</xdr:row>
      <xdr:rowOff>82973</xdr:rowOff>
    </xdr:to>
    <xdr:sp macro="" textlink="">
      <xdr:nvSpPr>
        <xdr:cNvPr id="8" name="Rectangle: Rounded Corners 7">
          <a:extLst>
            <a:ext uri="{FF2B5EF4-FFF2-40B4-BE49-F238E27FC236}">
              <a16:creationId xmlns:a16="http://schemas.microsoft.com/office/drawing/2014/main" id="{6F397009-3476-47A3-88BC-BEE4A0B8F6EA}"/>
            </a:ext>
          </a:extLst>
        </xdr:cNvPr>
        <xdr:cNvSpPr/>
      </xdr:nvSpPr>
      <xdr:spPr>
        <a:xfrm>
          <a:off x="4193540" y="854287"/>
          <a:ext cx="1981200" cy="905086"/>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126153</xdr:colOff>
      <xdr:row>5</xdr:row>
      <xdr:rowOff>66888</xdr:rowOff>
    </xdr:from>
    <xdr:to>
      <xdr:col>9</xdr:col>
      <xdr:colOff>545253</xdr:colOff>
      <xdr:row>6</xdr:row>
      <xdr:rowOff>154094</xdr:rowOff>
    </xdr:to>
    <xdr:sp macro="" textlink="">
      <xdr:nvSpPr>
        <xdr:cNvPr id="9" name="TextBox 8">
          <a:extLst>
            <a:ext uri="{FF2B5EF4-FFF2-40B4-BE49-F238E27FC236}">
              <a16:creationId xmlns:a16="http://schemas.microsoft.com/office/drawing/2014/main" id="{B4F35835-778B-46C9-9443-C1A43804CD8E}"/>
            </a:ext>
          </a:extLst>
        </xdr:cNvPr>
        <xdr:cNvSpPr txBox="1"/>
      </xdr:nvSpPr>
      <xdr:spPr>
        <a:xfrm>
          <a:off x="4393353" y="998221"/>
          <a:ext cx="1638300" cy="273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effectLst/>
              <a:latin typeface="+mn-lt"/>
              <a:ea typeface="+mn-ea"/>
              <a:cs typeface="+mn-cs"/>
            </a:rPr>
            <a:t>Top Performing Sector </a:t>
          </a:r>
          <a:endParaRPr lang="en-IN" sz="1200">
            <a:solidFill>
              <a:schemeClr val="bg1"/>
            </a:solidFill>
          </a:endParaRPr>
        </a:p>
      </xdr:txBody>
    </xdr:sp>
    <xdr:clientData/>
  </xdr:twoCellAnchor>
  <xdr:twoCellAnchor>
    <xdr:from>
      <xdr:col>7</xdr:col>
      <xdr:colOff>88053</xdr:colOff>
      <xdr:row>7</xdr:row>
      <xdr:rowOff>36407</xdr:rowOff>
    </xdr:from>
    <xdr:to>
      <xdr:col>9</xdr:col>
      <xdr:colOff>545253</xdr:colOff>
      <xdr:row>8</xdr:row>
      <xdr:rowOff>66888</xdr:rowOff>
    </xdr:to>
    <xdr:sp macro="" textlink="'pivot table'!D29">
      <xdr:nvSpPr>
        <xdr:cNvPr id="10" name="TextBox 9">
          <a:extLst>
            <a:ext uri="{FF2B5EF4-FFF2-40B4-BE49-F238E27FC236}">
              <a16:creationId xmlns:a16="http://schemas.microsoft.com/office/drawing/2014/main" id="{F59F0C52-716D-439E-97E2-43AB7B0A5B7F}"/>
            </a:ext>
          </a:extLst>
        </xdr:cNvPr>
        <xdr:cNvSpPr txBox="1"/>
      </xdr:nvSpPr>
      <xdr:spPr>
        <a:xfrm>
          <a:off x="4355253" y="1340274"/>
          <a:ext cx="1676400" cy="216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D2C4E9-76E8-4E15-9C91-1C460D7C9C17}" type="TxLink">
            <a:rPr lang="en-US" sz="1800" b="1" i="0" u="none" strike="noStrike">
              <a:solidFill>
                <a:schemeClr val="bg1"/>
              </a:solidFill>
              <a:latin typeface="Calibri"/>
              <a:ea typeface="Calibri"/>
              <a:cs typeface="Calibri"/>
            </a:rPr>
            <a:pPr algn="ctr"/>
            <a:t>Healthcare</a:t>
          </a:fld>
          <a:endParaRPr lang="en-IN" sz="1800" b="1">
            <a:solidFill>
              <a:schemeClr val="bg1"/>
            </a:solidFill>
          </a:endParaRPr>
        </a:p>
      </xdr:txBody>
    </xdr:sp>
    <xdr:clientData/>
  </xdr:twoCellAnchor>
  <xdr:twoCellAnchor>
    <xdr:from>
      <xdr:col>10</xdr:col>
      <xdr:colOff>147320</xdr:colOff>
      <xdr:row>4</xdr:row>
      <xdr:rowOff>91440</xdr:rowOff>
    </xdr:from>
    <xdr:to>
      <xdr:col>13</xdr:col>
      <xdr:colOff>299720</xdr:colOff>
      <xdr:row>9</xdr:row>
      <xdr:rowOff>57573</xdr:rowOff>
    </xdr:to>
    <xdr:sp macro="" textlink="">
      <xdr:nvSpPr>
        <xdr:cNvPr id="11" name="Rectangle: Rounded Corners 10">
          <a:extLst>
            <a:ext uri="{FF2B5EF4-FFF2-40B4-BE49-F238E27FC236}">
              <a16:creationId xmlns:a16="http://schemas.microsoft.com/office/drawing/2014/main" id="{F476AD88-CB0D-4FD2-92B3-4DBA304F11F9}"/>
            </a:ext>
          </a:extLst>
        </xdr:cNvPr>
        <xdr:cNvSpPr/>
      </xdr:nvSpPr>
      <xdr:spPr>
        <a:xfrm>
          <a:off x="6243320" y="836507"/>
          <a:ext cx="1981200" cy="897466"/>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345440</xdr:colOff>
      <xdr:row>5</xdr:row>
      <xdr:rowOff>48260</xdr:rowOff>
    </xdr:from>
    <xdr:to>
      <xdr:col>13</xdr:col>
      <xdr:colOff>154940</xdr:colOff>
      <xdr:row>6</xdr:row>
      <xdr:rowOff>135466</xdr:rowOff>
    </xdr:to>
    <xdr:sp macro="" textlink="">
      <xdr:nvSpPr>
        <xdr:cNvPr id="12" name="TextBox 11">
          <a:extLst>
            <a:ext uri="{FF2B5EF4-FFF2-40B4-BE49-F238E27FC236}">
              <a16:creationId xmlns:a16="http://schemas.microsoft.com/office/drawing/2014/main" id="{1D09925F-C83A-4FE2-8B48-DA50B90FDD9F}"/>
            </a:ext>
          </a:extLst>
        </xdr:cNvPr>
        <xdr:cNvSpPr txBox="1"/>
      </xdr:nvSpPr>
      <xdr:spPr>
        <a:xfrm>
          <a:off x="6441440" y="979593"/>
          <a:ext cx="1638300" cy="273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effectLst/>
              <a:latin typeface="+mn-lt"/>
              <a:ea typeface="+mn-ea"/>
              <a:cs typeface="+mn-cs"/>
            </a:rPr>
            <a:t>Portfolio Value </a:t>
          </a:r>
          <a:endParaRPr lang="en-IN" sz="1600">
            <a:solidFill>
              <a:schemeClr val="bg1"/>
            </a:solidFill>
          </a:endParaRPr>
        </a:p>
      </xdr:txBody>
    </xdr:sp>
    <xdr:clientData/>
  </xdr:twoCellAnchor>
  <xdr:twoCellAnchor>
    <xdr:from>
      <xdr:col>10</xdr:col>
      <xdr:colOff>312420</xdr:colOff>
      <xdr:row>7</xdr:row>
      <xdr:rowOff>5079</xdr:rowOff>
    </xdr:from>
    <xdr:to>
      <xdr:col>13</xdr:col>
      <xdr:colOff>160020</xdr:colOff>
      <xdr:row>8</xdr:row>
      <xdr:rowOff>127000</xdr:rowOff>
    </xdr:to>
    <xdr:sp macro="" textlink="'pivot table'!B55">
      <xdr:nvSpPr>
        <xdr:cNvPr id="13" name="TextBox 12">
          <a:extLst>
            <a:ext uri="{FF2B5EF4-FFF2-40B4-BE49-F238E27FC236}">
              <a16:creationId xmlns:a16="http://schemas.microsoft.com/office/drawing/2014/main" id="{24E2E10E-7172-4C24-9D45-6C5330D3E9C8}"/>
            </a:ext>
          </a:extLst>
        </xdr:cNvPr>
        <xdr:cNvSpPr txBox="1"/>
      </xdr:nvSpPr>
      <xdr:spPr>
        <a:xfrm>
          <a:off x="6408420" y="1308946"/>
          <a:ext cx="1676400" cy="308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6869A3F-80B9-42E8-BBB5-6C752E3FD47D}" type="TxLink">
            <a:rPr lang="en-US" sz="1800" b="1" i="0" u="none" strike="noStrike">
              <a:solidFill>
                <a:schemeClr val="bg1"/>
              </a:solidFill>
              <a:latin typeface="Calibri"/>
              <a:ea typeface="Calibri"/>
              <a:cs typeface="Calibri"/>
            </a:rPr>
            <a:pPr algn="ctr"/>
            <a:t>48.4 M</a:t>
          </a:fld>
          <a:endParaRPr lang="en-IN" sz="1800" b="1">
            <a:solidFill>
              <a:schemeClr val="bg1"/>
            </a:solidFill>
          </a:endParaRPr>
        </a:p>
      </xdr:txBody>
    </xdr:sp>
    <xdr:clientData/>
  </xdr:twoCellAnchor>
  <xdr:twoCellAnchor>
    <xdr:from>
      <xdr:col>13</xdr:col>
      <xdr:colOff>377613</xdr:colOff>
      <xdr:row>4</xdr:row>
      <xdr:rowOff>83820</xdr:rowOff>
    </xdr:from>
    <xdr:to>
      <xdr:col>17</xdr:col>
      <xdr:colOff>19473</xdr:colOff>
      <xdr:row>9</xdr:row>
      <xdr:rowOff>49953</xdr:rowOff>
    </xdr:to>
    <xdr:sp macro="" textlink="">
      <xdr:nvSpPr>
        <xdr:cNvPr id="14" name="Rectangle: Rounded Corners 13">
          <a:extLst>
            <a:ext uri="{FF2B5EF4-FFF2-40B4-BE49-F238E27FC236}">
              <a16:creationId xmlns:a16="http://schemas.microsoft.com/office/drawing/2014/main" id="{A92E070C-2674-4CC7-84A6-4D75B7C6049F}"/>
            </a:ext>
          </a:extLst>
        </xdr:cNvPr>
        <xdr:cNvSpPr/>
      </xdr:nvSpPr>
      <xdr:spPr>
        <a:xfrm>
          <a:off x="8302413" y="828887"/>
          <a:ext cx="2080260" cy="897466"/>
        </a:xfrm>
        <a:prstGeom prst="roundRect">
          <a:avLst>
            <a:gd name="adj" fmla="val 17709"/>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590127</xdr:colOff>
      <xdr:row>6</xdr:row>
      <xdr:rowOff>152400</xdr:rowOff>
    </xdr:from>
    <xdr:to>
      <xdr:col>16</xdr:col>
      <xdr:colOff>399627</xdr:colOff>
      <xdr:row>8</xdr:row>
      <xdr:rowOff>49954</xdr:rowOff>
    </xdr:to>
    <xdr:sp macro="" textlink="'pivot table'!B72">
      <xdr:nvSpPr>
        <xdr:cNvPr id="15" name="TextBox 14">
          <a:extLst>
            <a:ext uri="{FF2B5EF4-FFF2-40B4-BE49-F238E27FC236}">
              <a16:creationId xmlns:a16="http://schemas.microsoft.com/office/drawing/2014/main" id="{51C697C9-FDC5-48E3-9111-FBCFBB250211}"/>
            </a:ext>
          </a:extLst>
        </xdr:cNvPr>
        <xdr:cNvSpPr txBox="1"/>
      </xdr:nvSpPr>
      <xdr:spPr>
        <a:xfrm>
          <a:off x="8514927" y="1270000"/>
          <a:ext cx="1638300" cy="270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713AD4-BB09-4C94-B3BE-9706D10AE681}" type="TxLink">
            <a:rPr lang="en-US" sz="1800" b="1" i="0" u="none" strike="noStrike">
              <a:solidFill>
                <a:schemeClr val="bg1"/>
              </a:solidFill>
              <a:latin typeface="Calibri"/>
              <a:ea typeface="Calibri"/>
              <a:cs typeface="Calibri"/>
            </a:rPr>
            <a:pPr algn="ctr"/>
            <a:t>0.314942489</a:t>
          </a:fld>
          <a:endParaRPr lang="en-IN" sz="1800" b="1">
            <a:solidFill>
              <a:schemeClr val="bg1"/>
            </a:solidFill>
          </a:endParaRPr>
        </a:p>
      </xdr:txBody>
    </xdr:sp>
    <xdr:clientData/>
  </xdr:twoCellAnchor>
  <xdr:twoCellAnchor>
    <xdr:from>
      <xdr:col>16</xdr:col>
      <xdr:colOff>160020</xdr:colOff>
      <xdr:row>8</xdr:row>
      <xdr:rowOff>38100</xdr:rowOff>
    </xdr:from>
    <xdr:to>
      <xdr:col>19</xdr:col>
      <xdr:colOff>7620</xdr:colOff>
      <xdr:row>9</xdr:row>
      <xdr:rowOff>68580</xdr:rowOff>
    </xdr:to>
    <xdr:sp macro="" textlink="">
      <xdr:nvSpPr>
        <xdr:cNvPr id="16" name="TextBox 15">
          <a:extLst>
            <a:ext uri="{FF2B5EF4-FFF2-40B4-BE49-F238E27FC236}">
              <a16:creationId xmlns:a16="http://schemas.microsoft.com/office/drawing/2014/main" id="{56BFAE06-5F62-4049-9620-DF8F836217B6}"/>
            </a:ext>
          </a:extLst>
        </xdr:cNvPr>
        <xdr:cNvSpPr txBox="1"/>
      </xdr:nvSpPr>
      <xdr:spPr>
        <a:xfrm>
          <a:off x="9913620" y="1501140"/>
          <a:ext cx="16764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564726</xdr:colOff>
      <xdr:row>4</xdr:row>
      <xdr:rowOff>178647</xdr:rowOff>
    </xdr:from>
    <xdr:to>
      <xdr:col>16</xdr:col>
      <xdr:colOff>389466</xdr:colOff>
      <xdr:row>6</xdr:row>
      <xdr:rowOff>117687</xdr:rowOff>
    </xdr:to>
    <xdr:sp macro="" textlink="">
      <xdr:nvSpPr>
        <xdr:cNvPr id="17" name="TextBox 16">
          <a:extLst>
            <a:ext uri="{FF2B5EF4-FFF2-40B4-BE49-F238E27FC236}">
              <a16:creationId xmlns:a16="http://schemas.microsoft.com/office/drawing/2014/main" id="{42F027F9-EFDD-2B0A-46B1-810011ADA328}"/>
            </a:ext>
          </a:extLst>
        </xdr:cNvPr>
        <xdr:cNvSpPr txBox="1"/>
      </xdr:nvSpPr>
      <xdr:spPr>
        <a:xfrm>
          <a:off x="8489526" y="923714"/>
          <a:ext cx="1653540" cy="311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solidFill>
              <a:effectLst/>
              <a:latin typeface="+mn-lt"/>
              <a:ea typeface="+mn-ea"/>
              <a:cs typeface="+mn-cs"/>
            </a:rPr>
            <a:t>Sharpe Ratio </a:t>
          </a:r>
          <a:endParaRPr lang="en-IN" sz="1400">
            <a:solidFill>
              <a:schemeClr val="bg1"/>
            </a:solidFill>
          </a:endParaRPr>
        </a:p>
      </xdr:txBody>
    </xdr:sp>
    <xdr:clientData/>
  </xdr:twoCellAnchor>
  <xdr:twoCellAnchor>
    <xdr:from>
      <xdr:col>17</xdr:col>
      <xdr:colOff>95673</xdr:colOff>
      <xdr:row>4</xdr:row>
      <xdr:rowOff>83821</xdr:rowOff>
    </xdr:from>
    <xdr:to>
      <xdr:col>20</xdr:col>
      <xdr:colOff>287866</xdr:colOff>
      <xdr:row>9</xdr:row>
      <xdr:rowOff>49954</xdr:rowOff>
    </xdr:to>
    <xdr:sp macro="" textlink="">
      <xdr:nvSpPr>
        <xdr:cNvPr id="18" name="Rectangle: Rounded Corners 17">
          <a:extLst>
            <a:ext uri="{FF2B5EF4-FFF2-40B4-BE49-F238E27FC236}">
              <a16:creationId xmlns:a16="http://schemas.microsoft.com/office/drawing/2014/main" id="{920B99DE-06F8-4CE6-8FC4-E1D825E42A27}"/>
            </a:ext>
          </a:extLst>
        </xdr:cNvPr>
        <xdr:cNvSpPr/>
      </xdr:nvSpPr>
      <xdr:spPr>
        <a:xfrm>
          <a:off x="10458873" y="828888"/>
          <a:ext cx="2020993" cy="897466"/>
        </a:xfrm>
        <a:prstGeom prst="roundRect">
          <a:avLst>
            <a:gd name="adj" fmla="val 17709"/>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342053</xdr:colOff>
      <xdr:row>7</xdr:row>
      <xdr:rowOff>8466</xdr:rowOff>
    </xdr:from>
    <xdr:to>
      <xdr:col>20</xdr:col>
      <xdr:colOff>151553</xdr:colOff>
      <xdr:row>8</xdr:row>
      <xdr:rowOff>92287</xdr:rowOff>
    </xdr:to>
    <xdr:sp macro="" textlink="'9'!F5">
      <xdr:nvSpPr>
        <xdr:cNvPr id="19" name="TextBox 18">
          <a:extLst>
            <a:ext uri="{FF2B5EF4-FFF2-40B4-BE49-F238E27FC236}">
              <a16:creationId xmlns:a16="http://schemas.microsoft.com/office/drawing/2014/main" id="{6B48B60A-6E38-49DB-A663-675A6FF61798}"/>
            </a:ext>
          </a:extLst>
        </xdr:cNvPr>
        <xdr:cNvSpPr txBox="1"/>
      </xdr:nvSpPr>
      <xdr:spPr>
        <a:xfrm>
          <a:off x="10705253" y="1312333"/>
          <a:ext cx="1638300" cy="270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45E43A-235B-48F0-8072-2F2921706E51}" type="TxLink">
            <a:rPr lang="en-US" sz="1800" b="1" i="0" u="none" strike="noStrike">
              <a:solidFill>
                <a:schemeClr val="bg1"/>
              </a:solidFill>
              <a:latin typeface="Calibri"/>
              <a:ea typeface="Calibri"/>
              <a:cs typeface="Calibri"/>
            </a:rPr>
            <a:t>47.8</a:t>
          </a:fld>
          <a:endParaRPr lang="en-IN" sz="1800" b="1">
            <a:solidFill>
              <a:schemeClr val="bg1"/>
            </a:solidFill>
          </a:endParaRPr>
        </a:p>
      </xdr:txBody>
    </xdr:sp>
    <xdr:clientData/>
  </xdr:twoCellAnchor>
  <xdr:twoCellAnchor>
    <xdr:from>
      <xdr:col>17</xdr:col>
      <xdr:colOff>169333</xdr:colOff>
      <xdr:row>5</xdr:row>
      <xdr:rowOff>17781</xdr:rowOff>
    </xdr:from>
    <xdr:to>
      <xdr:col>20</xdr:col>
      <xdr:colOff>209128</xdr:colOff>
      <xdr:row>6</xdr:row>
      <xdr:rowOff>143087</xdr:rowOff>
    </xdr:to>
    <xdr:sp macro="" textlink="">
      <xdr:nvSpPr>
        <xdr:cNvPr id="20" name="TextBox 19">
          <a:extLst>
            <a:ext uri="{FF2B5EF4-FFF2-40B4-BE49-F238E27FC236}">
              <a16:creationId xmlns:a16="http://schemas.microsoft.com/office/drawing/2014/main" id="{CC40C98F-9C42-4052-8A24-D60FDBB9B2F3}"/>
            </a:ext>
          </a:extLst>
        </xdr:cNvPr>
        <xdr:cNvSpPr txBox="1"/>
      </xdr:nvSpPr>
      <xdr:spPr>
        <a:xfrm>
          <a:off x="10532533" y="949114"/>
          <a:ext cx="1868595" cy="311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a:solidFill>
                <a:schemeClr val="bg1"/>
              </a:solidFill>
              <a:effectLst/>
              <a:latin typeface="+mn-lt"/>
              <a:ea typeface="+mn-ea"/>
              <a:cs typeface="+mn-cs"/>
            </a:rPr>
            <a:t>Order Execution Rate </a:t>
          </a:r>
          <a:endParaRPr lang="en-IN" sz="1400">
            <a:solidFill>
              <a:schemeClr val="bg1"/>
            </a:solidFill>
            <a:effectLst/>
          </a:endParaRPr>
        </a:p>
        <a:p>
          <a:pPr rtl="0" eaLnBrk="1" latinLnBrk="0" hangingPunct="1"/>
          <a:endParaRPr lang="en-IN" sz="1200">
            <a:solidFill>
              <a:schemeClr val="bg1"/>
            </a:solidFill>
            <a:effectLst/>
          </a:endParaRPr>
        </a:p>
      </xdr:txBody>
    </xdr:sp>
    <xdr:clientData/>
  </xdr:twoCellAnchor>
  <xdr:twoCellAnchor>
    <xdr:from>
      <xdr:col>20</xdr:col>
      <xdr:colOff>372532</xdr:colOff>
      <xdr:row>4</xdr:row>
      <xdr:rowOff>84667</xdr:rowOff>
    </xdr:from>
    <xdr:to>
      <xdr:col>23</xdr:col>
      <xdr:colOff>507999</xdr:colOff>
      <xdr:row>9</xdr:row>
      <xdr:rowOff>50800</xdr:rowOff>
    </xdr:to>
    <xdr:sp macro="" textlink="">
      <xdr:nvSpPr>
        <xdr:cNvPr id="21" name="Rectangle: Rounded Corners 20">
          <a:extLst>
            <a:ext uri="{FF2B5EF4-FFF2-40B4-BE49-F238E27FC236}">
              <a16:creationId xmlns:a16="http://schemas.microsoft.com/office/drawing/2014/main" id="{43DE8CD2-5022-404C-B838-EF6F52B84F56}"/>
            </a:ext>
          </a:extLst>
        </xdr:cNvPr>
        <xdr:cNvSpPr/>
      </xdr:nvSpPr>
      <xdr:spPr>
        <a:xfrm>
          <a:off x="12564532" y="829734"/>
          <a:ext cx="1964267" cy="897466"/>
        </a:xfrm>
        <a:prstGeom prst="roundRect">
          <a:avLst>
            <a:gd name="adj" fmla="val 17709"/>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846</xdr:colOff>
      <xdr:row>7</xdr:row>
      <xdr:rowOff>846</xdr:rowOff>
    </xdr:from>
    <xdr:to>
      <xdr:col>23</xdr:col>
      <xdr:colOff>419946</xdr:colOff>
      <xdr:row>8</xdr:row>
      <xdr:rowOff>84667</xdr:rowOff>
    </xdr:to>
    <xdr:sp macro="" textlink="'pivot table'!D38">
      <xdr:nvSpPr>
        <xdr:cNvPr id="22" name="TextBox 21">
          <a:extLst>
            <a:ext uri="{FF2B5EF4-FFF2-40B4-BE49-F238E27FC236}">
              <a16:creationId xmlns:a16="http://schemas.microsoft.com/office/drawing/2014/main" id="{D79E6930-4231-4F96-917A-285F928DA364}"/>
            </a:ext>
          </a:extLst>
        </xdr:cNvPr>
        <xdr:cNvSpPr txBox="1"/>
      </xdr:nvSpPr>
      <xdr:spPr>
        <a:xfrm>
          <a:off x="12802446" y="1304713"/>
          <a:ext cx="1638300" cy="270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C3382D-142C-4818-B770-1E14E0ABBACD}" type="TxLink">
            <a:rPr lang="en-US" sz="1800" b="1" i="0" u="none" strike="noStrike">
              <a:solidFill>
                <a:schemeClr val="bg1"/>
              </a:solidFill>
              <a:latin typeface="Calibri"/>
              <a:ea typeface="Calibri"/>
              <a:cs typeface="Calibri"/>
            </a:rPr>
            <a:t>36.93693694</a:t>
          </a:fld>
          <a:endParaRPr lang="en-IN" sz="1800" b="1">
            <a:solidFill>
              <a:schemeClr val="bg1"/>
            </a:solidFill>
          </a:endParaRPr>
        </a:p>
      </xdr:txBody>
    </xdr:sp>
    <xdr:clientData/>
  </xdr:twoCellAnchor>
  <xdr:twoCellAnchor>
    <xdr:from>
      <xdr:col>20</xdr:col>
      <xdr:colOff>534246</xdr:colOff>
      <xdr:row>4</xdr:row>
      <xdr:rowOff>137160</xdr:rowOff>
    </xdr:from>
    <xdr:to>
      <xdr:col>23</xdr:col>
      <xdr:colOff>358986</xdr:colOff>
      <xdr:row>6</xdr:row>
      <xdr:rowOff>76200</xdr:rowOff>
    </xdr:to>
    <xdr:sp macro="" textlink="">
      <xdr:nvSpPr>
        <xdr:cNvPr id="23" name="TextBox 22">
          <a:extLst>
            <a:ext uri="{FF2B5EF4-FFF2-40B4-BE49-F238E27FC236}">
              <a16:creationId xmlns:a16="http://schemas.microsoft.com/office/drawing/2014/main" id="{A8E573FE-080F-4F39-88B0-1A5D5BB1F7AE}"/>
            </a:ext>
          </a:extLst>
        </xdr:cNvPr>
        <xdr:cNvSpPr txBox="1"/>
      </xdr:nvSpPr>
      <xdr:spPr>
        <a:xfrm>
          <a:off x="12726246" y="882227"/>
          <a:ext cx="1653540" cy="311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solidFill>
              <a:effectLst/>
              <a:latin typeface="+mn-lt"/>
              <a:ea typeface="+mn-ea"/>
              <a:cs typeface="+mn-cs"/>
            </a:rPr>
            <a:t>Trade Win Rate </a:t>
          </a:r>
          <a:endParaRPr lang="en-IN" sz="1400">
            <a:solidFill>
              <a:schemeClr val="bg1"/>
            </a:solidFill>
          </a:endParaRPr>
        </a:p>
      </xdr:txBody>
    </xdr:sp>
    <xdr:clientData/>
  </xdr:twoCellAnchor>
  <xdr:twoCellAnchor>
    <xdr:from>
      <xdr:col>0</xdr:col>
      <xdr:colOff>42333</xdr:colOff>
      <xdr:row>9</xdr:row>
      <xdr:rowOff>110065</xdr:rowOff>
    </xdr:from>
    <xdr:to>
      <xdr:col>9</xdr:col>
      <xdr:colOff>516467</xdr:colOff>
      <xdr:row>21</xdr:row>
      <xdr:rowOff>42332</xdr:rowOff>
    </xdr:to>
    <xdr:graphicFrame macro="">
      <xdr:nvGraphicFramePr>
        <xdr:cNvPr id="24" name="Chart 23">
          <a:extLst>
            <a:ext uri="{FF2B5EF4-FFF2-40B4-BE49-F238E27FC236}">
              <a16:creationId xmlns:a16="http://schemas.microsoft.com/office/drawing/2014/main" id="{DA1422BF-4008-433B-904B-7077DA043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541867</xdr:colOff>
      <xdr:row>9</xdr:row>
      <xdr:rowOff>127000</xdr:rowOff>
    </xdr:from>
    <xdr:to>
      <xdr:col>16</xdr:col>
      <xdr:colOff>162560</xdr:colOff>
      <xdr:row>21</xdr:row>
      <xdr:rowOff>59690</xdr:rowOff>
    </xdr:to>
    <xdr:graphicFrame macro="">
      <xdr:nvGraphicFramePr>
        <xdr:cNvPr id="25" name="Chart 24">
          <a:extLst>
            <a:ext uri="{FF2B5EF4-FFF2-40B4-BE49-F238E27FC236}">
              <a16:creationId xmlns:a16="http://schemas.microsoft.com/office/drawing/2014/main" id="{E4E4430A-1B45-4F6C-858E-FE36EF583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220133</xdr:colOff>
      <xdr:row>9</xdr:row>
      <xdr:rowOff>118533</xdr:rowOff>
    </xdr:from>
    <xdr:to>
      <xdr:col>23</xdr:col>
      <xdr:colOff>579967</xdr:colOff>
      <xdr:row>29</xdr:row>
      <xdr:rowOff>101600</xdr:rowOff>
    </xdr:to>
    <xdr:graphicFrame macro="">
      <xdr:nvGraphicFramePr>
        <xdr:cNvPr id="26" name="Chart 25">
          <a:extLst>
            <a:ext uri="{FF2B5EF4-FFF2-40B4-BE49-F238E27FC236}">
              <a16:creationId xmlns:a16="http://schemas.microsoft.com/office/drawing/2014/main" id="{2364B6AF-F3CA-44C9-9918-671BC584E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33867</xdr:colOff>
      <xdr:row>21</xdr:row>
      <xdr:rowOff>84667</xdr:rowOff>
    </xdr:from>
    <xdr:to>
      <xdr:col>16</xdr:col>
      <xdr:colOff>152401</xdr:colOff>
      <xdr:row>29</xdr:row>
      <xdr:rowOff>143934</xdr:rowOff>
    </xdr:to>
    <xdr:graphicFrame macro="">
      <xdr:nvGraphicFramePr>
        <xdr:cNvPr id="27" name="Chart 26">
          <a:extLst>
            <a:ext uri="{FF2B5EF4-FFF2-40B4-BE49-F238E27FC236}">
              <a16:creationId xmlns:a16="http://schemas.microsoft.com/office/drawing/2014/main" id="{32E73DF3-8222-4410-B1D9-CF85C5A9B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601133</xdr:colOff>
      <xdr:row>4</xdr:row>
      <xdr:rowOff>160867</xdr:rowOff>
    </xdr:from>
    <xdr:to>
      <xdr:col>25</xdr:col>
      <xdr:colOff>533400</xdr:colOff>
      <xdr:row>14</xdr:row>
      <xdr:rowOff>42335</xdr:rowOff>
    </xdr:to>
    <mc:AlternateContent xmlns:mc="http://schemas.openxmlformats.org/markup-compatibility/2006">
      <mc:Choice xmlns:a14="http://schemas.microsoft.com/office/drawing/2010/main" Requires="a14">
        <xdr:graphicFrame macro="">
          <xdr:nvGraphicFramePr>
            <xdr:cNvPr id="28" name="Sector_Name 1">
              <a:extLst>
                <a:ext uri="{FF2B5EF4-FFF2-40B4-BE49-F238E27FC236}">
                  <a16:creationId xmlns:a16="http://schemas.microsoft.com/office/drawing/2014/main" id="{42C8DB52-91F2-4549-9F56-9585D11FD696}"/>
                </a:ext>
              </a:extLst>
            </xdr:cNvPr>
            <xdr:cNvGraphicFramePr/>
          </xdr:nvGraphicFramePr>
          <xdr:xfrm>
            <a:off x="0" y="0"/>
            <a:ext cx="0" cy="0"/>
          </xdr:xfrm>
          <a:graphic>
            <a:graphicData uri="http://schemas.microsoft.com/office/drawing/2010/slicer">
              <sle:slicer xmlns:sle="http://schemas.microsoft.com/office/drawing/2010/slicer" name="Sector_Name 1"/>
            </a:graphicData>
          </a:graphic>
        </xdr:graphicFrame>
      </mc:Choice>
      <mc:Fallback>
        <xdr:sp macro="" textlink="">
          <xdr:nvSpPr>
            <xdr:cNvPr id="0" name=""/>
            <xdr:cNvSpPr>
              <a:spLocks noTextEdit="1"/>
            </xdr:cNvSpPr>
          </xdr:nvSpPr>
          <xdr:spPr>
            <a:xfrm>
              <a:off x="14621933" y="905934"/>
              <a:ext cx="1151467" cy="17441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8467</xdr:colOff>
      <xdr:row>14</xdr:row>
      <xdr:rowOff>127000</xdr:rowOff>
    </xdr:from>
    <xdr:to>
      <xdr:col>25</xdr:col>
      <xdr:colOff>508000</xdr:colOff>
      <xdr:row>28</xdr:row>
      <xdr:rowOff>16933</xdr:rowOff>
    </xdr:to>
    <mc:AlternateContent xmlns:mc="http://schemas.openxmlformats.org/markup-compatibility/2006">
      <mc:Choice xmlns:a14="http://schemas.microsoft.com/office/drawing/2010/main" Requires="a14">
        <xdr:graphicFrame macro="">
          <xdr:nvGraphicFramePr>
            <xdr:cNvPr id="29" name="company_id 1">
              <a:extLst>
                <a:ext uri="{FF2B5EF4-FFF2-40B4-BE49-F238E27FC236}">
                  <a16:creationId xmlns:a16="http://schemas.microsoft.com/office/drawing/2014/main" id="{9701F5F7-5D86-4EFF-BFBB-FED6E035490F}"/>
                </a:ext>
              </a:extLst>
            </xdr:cNvPr>
            <xdr:cNvGraphicFramePr/>
          </xdr:nvGraphicFramePr>
          <xdr:xfrm>
            <a:off x="0" y="0"/>
            <a:ext cx="0" cy="0"/>
          </xdr:xfrm>
          <a:graphic>
            <a:graphicData uri="http://schemas.microsoft.com/office/drawing/2010/slicer">
              <sle:slicer xmlns:sle="http://schemas.microsoft.com/office/drawing/2010/slicer" name="company_id 1"/>
            </a:graphicData>
          </a:graphic>
        </xdr:graphicFrame>
      </mc:Choice>
      <mc:Fallback>
        <xdr:sp macro="" textlink="">
          <xdr:nvSpPr>
            <xdr:cNvPr id="0" name=""/>
            <xdr:cNvSpPr>
              <a:spLocks noTextEdit="1"/>
            </xdr:cNvSpPr>
          </xdr:nvSpPr>
          <xdr:spPr>
            <a:xfrm>
              <a:off x="14638867" y="2734733"/>
              <a:ext cx="1109133" cy="2497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42333</xdr:colOff>
      <xdr:row>0</xdr:row>
      <xdr:rowOff>118533</xdr:rowOff>
    </xdr:from>
    <xdr:to>
      <xdr:col>25</xdr:col>
      <xdr:colOff>482600</xdr:colOff>
      <xdr:row>3</xdr:row>
      <xdr:rowOff>143933</xdr:rowOff>
    </xdr:to>
    <xdr:sp macro="" textlink="">
      <xdr:nvSpPr>
        <xdr:cNvPr id="30" name="TextBox 29">
          <a:extLst>
            <a:ext uri="{FF2B5EF4-FFF2-40B4-BE49-F238E27FC236}">
              <a16:creationId xmlns:a16="http://schemas.microsoft.com/office/drawing/2014/main" id="{DD02C45D-6866-05E4-631D-A8E852C12011}"/>
            </a:ext>
          </a:extLst>
        </xdr:cNvPr>
        <xdr:cNvSpPr txBox="1"/>
      </xdr:nvSpPr>
      <xdr:spPr>
        <a:xfrm>
          <a:off x="42333" y="118533"/>
          <a:ext cx="15680267"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i="1"/>
            <a:t> Stock Market Trend Analysis</a:t>
          </a:r>
          <a:r>
            <a:rPr lang="en-IN" sz="4000" b="1" i="1" baseline="0"/>
            <a:t> &amp; Insights</a:t>
          </a:r>
          <a:r>
            <a:rPr lang="en-IN" sz="4000" b="1" i="1"/>
            <a:t> </a:t>
          </a:r>
        </a:p>
      </xdr:txBody>
    </xdr:sp>
    <xdr:clientData/>
  </xdr:twoCellAnchor>
  <xdr:twoCellAnchor editAs="oneCell">
    <xdr:from>
      <xdr:col>4</xdr:col>
      <xdr:colOff>389466</xdr:colOff>
      <xdr:row>0</xdr:row>
      <xdr:rowOff>143933</xdr:rowOff>
    </xdr:from>
    <xdr:to>
      <xdr:col>6</xdr:col>
      <xdr:colOff>84666</xdr:colOff>
      <xdr:row>3</xdr:row>
      <xdr:rowOff>118533</xdr:rowOff>
    </xdr:to>
    <xdr:pic>
      <xdr:nvPicPr>
        <xdr:cNvPr id="36" name="Graphic 35" descr="Bar graph with downward trend with solid fill">
          <a:extLst>
            <a:ext uri="{FF2B5EF4-FFF2-40B4-BE49-F238E27FC236}">
              <a16:creationId xmlns:a16="http://schemas.microsoft.com/office/drawing/2014/main" id="{D7A46AA9-BB59-5D15-9787-98D689A7BDC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827866" y="143933"/>
          <a:ext cx="914400" cy="533400"/>
        </a:xfrm>
        <a:prstGeom prst="rect">
          <a:avLst/>
        </a:prstGeom>
      </xdr:spPr>
    </xdr:pic>
    <xdr:clientData/>
  </xdr:twoCellAnchor>
  <xdr:twoCellAnchor editAs="oneCell">
    <xdr:from>
      <xdr:col>19</xdr:col>
      <xdr:colOff>533400</xdr:colOff>
      <xdr:row>0</xdr:row>
      <xdr:rowOff>143933</xdr:rowOff>
    </xdr:from>
    <xdr:to>
      <xdr:col>21</xdr:col>
      <xdr:colOff>228600</xdr:colOff>
      <xdr:row>3</xdr:row>
      <xdr:rowOff>135466</xdr:rowOff>
    </xdr:to>
    <xdr:pic>
      <xdr:nvPicPr>
        <xdr:cNvPr id="38" name="Graphic 37" descr="Bar graph with upward trend with solid fill">
          <a:extLst>
            <a:ext uri="{FF2B5EF4-FFF2-40B4-BE49-F238E27FC236}">
              <a16:creationId xmlns:a16="http://schemas.microsoft.com/office/drawing/2014/main" id="{9EC1BBAB-8B6A-3233-0D00-1287C08110C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115800" y="143933"/>
          <a:ext cx="914400" cy="550333"/>
        </a:xfrm>
        <a:prstGeom prst="rect">
          <a:avLst/>
        </a:prstGeom>
      </xdr:spPr>
    </xdr:pic>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 LAKSHMI PRASANNA" refreshedDate="45891.898317129628" backgroundQuery="1" createdVersion="8" refreshedVersion="8" minRefreshableVersion="3" recordCount="0" supportSubquery="1" supportAdvancedDrill="1" xr:uid="{C18330D0-FD50-4F01-9E9F-E4A1836E5605}">
  <cacheSource type="external" connectionId="16"/>
  <cacheFields count="2">
    <cacheField name="[fact_trades].[side].[side]" caption="side" numFmtId="0" hierarchy="4" level="1">
      <sharedItems containsSemiMixedTypes="0" containsNonDate="0" containsString="0"/>
    </cacheField>
    <cacheField name="[Measures].[Count of order_id]" caption="Count of order_id" numFmtId="0" hierarchy="32" level="32767"/>
  </cacheFields>
  <cacheHierarchies count="34">
    <cacheHierarchy uniqueName="[fact_trades].[trade_id]" caption="trade_id" attribute="1" defaultMemberUniqueName="[fact_trades].[trade_id].[All]" allUniqueName="[fact_trades].[trade_id].[All]" dimensionUniqueName="[fact_trades]" displayFolder="" count="0" memberValueDatatype="130" unbalanced="0"/>
    <cacheHierarchy uniqueName="[fact_trades].[order_id]" caption="order_id" attribute="1" defaultMemberUniqueName="[fact_trades].[order_id].[All]" allUniqueName="[fact_trades].[order_id].[All]" dimensionUniqueName="[fact_trades]" displayFolder="" count="0" memberValueDatatype="130" unbalanced="0"/>
    <cacheHierarchy uniqueName="[fact_trades].[trade_ts]" caption="trade_ts" attribute="1" time="1" defaultMemberUniqueName="[fact_trades].[trade_ts].[All]" allUniqueName="[fact_trades].[trade_ts].[All]" dimensionUniqueName="[fact_trades]" displayFolder="" count="0" memberValueDatatype="7" unbalanced="0"/>
    <cacheHierarchy uniqueName="[fact_trades].[company_id]" caption="company_id" attribute="1" defaultMemberUniqueName="[fact_trades].[company_id].[All]" allUniqueName="[fact_trades].[company_id].[All]" dimensionUniqueName="[fact_trades]" displayFolder="" count="0" memberValueDatatype="130" unbalanced="0"/>
    <cacheHierarchy uniqueName="[fact_trades].[side]" caption="side" attribute="1" defaultMemberUniqueName="[fact_trades].[side].[All]" allUniqueName="[fact_trades].[side].[All]" dimensionUniqueName="[fact_trades]" displayFolder="" count="2" memberValueDatatype="130" unbalanced="0">
      <fieldsUsage count="2">
        <fieldUsage x="-1"/>
        <fieldUsage x="0"/>
      </fieldsUsage>
    </cacheHierarchy>
    <cacheHierarchy uniqueName="[fact_trades].[quantity]" caption="quantity" attribute="1" defaultMemberUniqueName="[fact_trades].[quantity].[All]" allUniqueName="[fact_trades].[quantity].[All]" dimensionUniqueName="[fact_trades]" displayFolder="" count="0" memberValueDatatype="20" unbalanced="0"/>
    <cacheHierarchy uniqueName="[fact_trades].[price]" caption="price" attribute="1" defaultMemberUniqueName="[fact_trades].[price].[All]" allUniqueName="[fact_trades].[price].[All]" dimensionUniqueName="[fact_trades]" displayFolder="" count="0" memberValueDatatype="5" unbalanced="0"/>
    <cacheHierarchy uniqueName="[fact_trades].[fees]" caption="fees" attribute="1" defaultMemberUniqueName="[fact_trades].[fees].[All]" allUniqueName="[fact_trades].[fees].[All]" dimensionUniqueName="[fact_trades]" displayFolder="" count="0" memberValueDatatype="5" unbalanced="0"/>
    <cacheHierarchy uniqueName="[fact_trades].[trader_id]" caption="trader_id" attribute="1" defaultMemberUniqueName="[fact_trades].[trader_id].[All]" allUniqueName="[fact_trades].[trader_id].[All]" dimensionUniqueName="[fact_trades]" displayFolder="" count="0" memberValueDatatype="130" unbalanced="0"/>
    <cacheHierarchy uniqueName="[fact_trades].[portfolio_id]" caption="portfolio_id" attribute="1" defaultMemberUniqueName="[fact_trades].[portfolio_id].[All]" allUniqueName="[fact_trades].[portfolio_id].[All]" dimensionUniqueName="[fact_trades]" displayFolder="" count="0" memberValueDatatype="130" unbalanced="0"/>
    <cacheHierarchy uniqueName="[fact_trades].[exchange_id]" caption="exchange_id" attribute="1" defaultMemberUniqueName="[fact_trades].[exchange_id].[All]" allUniqueName="[fact_trades].[exchange_id].[All]" dimensionUniqueName="[fact_trades]" displayFolder="" count="0" memberValueDatatype="130" unbalanced="0"/>
    <cacheHierarchy uniqueName="[fact_trades].[date]" caption="date" attribute="1" time="1" defaultMemberUniqueName="[fact_trades].[date].[All]" allUniqueName="[fact_trades].[date].[All]" dimensionUniqueName="[fact_trades]" displayFolder="" count="0" memberValueDatatype="7" unbalanced="0"/>
    <cacheHierarchy uniqueName="[fact_trades].[fact_trades.Fact_trade_Buy]" caption="fact_trades.Fact_trade_Buy" attribute="1" defaultMemberUniqueName="[fact_trades].[fact_trades.Fact_trade_Buy].[All]" allUniqueName="[fact_trades].[fact_trades.Fact_trade_Buy].[All]" dimensionUniqueName="[fact_trades]" displayFolder="" count="0" memberValueDatatype="130" unbalanced="0"/>
    <cacheHierarchy uniqueName="[fact_trades].[Net_Quantity]" caption="Net_Quantity" attribute="1" defaultMemberUniqueName="[fact_trades].[Net_Quantity].[All]" allUniqueName="[fact_trades].[Net_Quantity].[All]" dimensionUniqueName="[fact_trades]" displayFolder="" count="0" memberValueDatatype="20" unbalanced="0"/>
    <cacheHierarchy uniqueName="[fact_trades].[fact_trades (3).fact_trades_sell]" caption="fact_trades (3).fact_trades_sell" attribute="1" defaultMemberUniqueName="[fact_trades].[fact_trades (3).fact_trades_sell].[All]" allUniqueName="[fact_trades].[fact_trades (3).fact_trades_sell].[All]" dimensionUniqueName="[fact_trades]" displayFolder="" count="0" memberValueDatatype="130" unbalanced="0"/>
    <cacheHierarchy uniqueName="[fact_trades].[Column2]" caption="Column2" attribute="1" defaultMemberUniqueName="[fact_trades].[Column2].[All]" allUniqueName="[fact_trades].[Column2].[All]" dimensionUniqueName="[fact_trades]" displayFolder="" count="0" memberValueDatatype="130" unbalanced="0"/>
    <cacheHierarchy uniqueName="[fact_trades].[Buy-sell]" caption="Buy-sell" attribute="1" defaultMemberUniqueName="[fact_trades].[Buy-sell].[All]" allUniqueName="[fact_trades].[Buy-sell].[All]" dimensionUniqueName="[fact_trades]" displayFolder="" count="0" memberValueDatatype="20" unbalanced="0"/>
    <cacheHierarchy uniqueName="[fact_trades].[Sell-Buy]" caption="Sell-Buy" attribute="1" defaultMemberUniqueName="[fact_trades].[Sell-Buy].[All]" allUniqueName="[fact_trades].[Sell-Buy].[All]" dimensionUniqueName="[fact_trades]" displayFolder="" count="0" memberValueDatatype="5" unbalanced="0"/>
    <cacheHierarchy uniqueName="[fact_trades].[P&amp;L]" caption="P&amp;L" attribute="1" defaultMemberUniqueName="[fact_trades].[P&amp;L].[All]" allUniqueName="[fact_trades].[P&amp;L].[All]" dimensionUniqueName="[fact_trades]" displayFolder="" count="0" memberValueDatatype="130" unbalanced="0"/>
    <cacheHierarchy uniqueName="[Table15].[order_id]" caption="order_id" attribute="1" defaultMemberUniqueName="[Table15].[order_id].[All]" allUniqueName="[Table15].[order_id].[All]" dimensionUniqueName="[Table15]" displayFolder="" count="0" memberValueDatatype="130" unbalanced="0"/>
    <cacheHierarchy uniqueName="[Table15].[Buy_value]" caption="Buy_value" attribute="1" defaultMemberUniqueName="[Table15].[Buy_value].[All]" allUniqueName="[Table15].[Buy_value].[All]" dimensionUniqueName="[Table15]" displayFolder="" count="0" memberValueDatatype="5" unbalanced="0"/>
    <cacheHierarchy uniqueName="[Table15].[Sell_Value]" caption="Sell_Value" attribute="1" defaultMemberUniqueName="[Table15].[Sell_Value].[All]" allUniqueName="[Table15].[Sell_Value].[All]" dimensionUniqueName="[Table15]" displayFolder="" count="0" memberValueDatatype="5" unbalanced="0"/>
    <cacheHierarchy uniqueName="[Table15].[Profit]" caption="Profit" attribute="1" defaultMemberUniqueName="[Table15].[Profit].[All]" allUniqueName="[Table15].[Profit].[All]" dimensionUniqueName="[Table15]" displayFolder="" count="0" memberValueDatatype="5" unbalanced="0"/>
    <cacheHierarchy uniqueName="[Table15].[is Profit]" caption="is Profit" attribute="1" defaultMemberUniqueName="[Table15].[is Profit].[All]" allUniqueName="[Table15].[is Profit].[All]" dimensionUniqueName="[Table15]" displayFolder="" count="0" memberValueDatatype="20" unbalanced="0"/>
    <cacheHierarchy uniqueName="[Table15].[P&amp;L]" caption="P&amp;L" attribute="1" defaultMemberUniqueName="[Table15].[P&amp;L].[All]" allUniqueName="[Table15].[P&amp;L].[All]" dimensionUniqueName="[Table15]" displayFolder="" count="0" memberValueDatatype="130" unbalanced="0"/>
    <cacheHierarchy uniqueName="[Table15].[Sell_Quantity]" caption="Sell_Quantity" attribute="1" defaultMemberUniqueName="[Table15].[Sell_Quantity].[All]" allUniqueName="[Table15].[Sell_Quantity].[All]" dimensionUniqueName="[Table15]" displayFolder="" count="0" memberValueDatatype="20" unbalanced="0"/>
    <cacheHierarchy uniqueName="[Table15].[Buy]" caption="Buy" attribute="1" defaultMemberUniqueName="[Table15].[Buy].[All]" allUniqueName="[Table15].[Buy].[All]" dimensionUniqueName="[Table15]" displayFolder="" count="0" memberValueDatatype="5" unbalanced="0"/>
    <cacheHierarchy uniqueName="[Table15].[sell]" caption="sell" attribute="1" defaultMemberUniqueName="[Table15].[sell].[All]" allUniqueName="[Table15].[sell].[All]" dimensionUniqueName="[Table15]" displayFolder="" count="0" memberValueDatatype="5" unbalanced="0"/>
    <cacheHierarchy uniqueName="[Table15].[Buy_Quantity]" caption="Buy_Quantity" attribute="1" defaultMemberUniqueName="[Table15].[Buy_Quantity].[All]" allUniqueName="[Table15].[Buy_Quantity].[All]" dimensionUniqueName="[Table15]" displayFolder="" count="0" memberValueDatatype="20" unbalanced="0"/>
    <cacheHierarchy uniqueName="[Measures].[__XL_Count fact_trades]" caption="__XL_Count fact_trades" measure="1" displayFolder="" measureGroup="fact_trades" count="0" hidden="1"/>
    <cacheHierarchy uniqueName="[Measures].[__XL_Count Table15]" caption="__XL_Count Table15" measure="1" displayFolder="" measureGroup="Table15" count="0" hidden="1"/>
    <cacheHierarchy uniqueName="[Measures].[__No measures defined]" caption="__No measures defined" measure="1" displayFolder="" count="0" hidden="1"/>
    <cacheHierarchy uniqueName="[Measures].[Count of order_id]" caption="Count of order_id" measure="1" displayFolder="" measureGroup="fact_trades"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P&amp;L]" caption="Count of P&amp;L" measure="1" displayFolder="" measureGroup="Table15" count="0" hidden="1">
      <extLst>
        <ext xmlns:x15="http://schemas.microsoft.com/office/spreadsheetml/2010/11/main" uri="{B97F6D7D-B522-45F9-BDA1-12C45D357490}">
          <x15:cacheHierarchy aggregatedColumn="24"/>
        </ext>
      </extLst>
    </cacheHierarchy>
  </cacheHierarchies>
  <kpis count="0"/>
  <dimensions count="3">
    <dimension name="fact_trades" uniqueName="[fact_trades]" caption="fact_trades"/>
    <dimension measure="1" name="Measures" uniqueName="[Measures]" caption="Measures"/>
    <dimension name="Table15" uniqueName="[Table15]" caption="Table15"/>
  </dimensions>
  <measureGroups count="2">
    <measureGroup name="fact_trades" caption="fact_trades"/>
    <measureGroup name="Table15" caption="Table15"/>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 LAKSHMI PRASANNA" refreshedDate="45891.898318171297" backgroundQuery="1" createdVersion="8" refreshedVersion="8" minRefreshableVersion="3" recordCount="0" supportSubquery="1" supportAdvancedDrill="1" xr:uid="{440604DE-5DC8-4410-85B7-35A710384F00}">
  <cacheSource type="external" connectionId="16"/>
  <cacheFields count="2">
    <cacheField name="[fact_trades].[side].[side]" caption="side" numFmtId="0" hierarchy="4" level="1">
      <sharedItems containsSemiMixedTypes="0" containsNonDate="0" containsString="0"/>
    </cacheField>
    <cacheField name="[Measures].[Count of order_id]" caption="Count of order_id" numFmtId="0" hierarchy="32" level="32767"/>
  </cacheFields>
  <cacheHierarchies count="34">
    <cacheHierarchy uniqueName="[fact_trades].[trade_id]" caption="trade_id" attribute="1" defaultMemberUniqueName="[fact_trades].[trade_id].[All]" allUniqueName="[fact_trades].[trade_id].[All]" dimensionUniqueName="[fact_trades]" displayFolder="" count="0" memberValueDatatype="130" unbalanced="0"/>
    <cacheHierarchy uniqueName="[fact_trades].[order_id]" caption="order_id" attribute="1" defaultMemberUniqueName="[fact_trades].[order_id].[All]" allUniqueName="[fact_trades].[order_id].[All]" dimensionUniqueName="[fact_trades]" displayFolder="" count="0" memberValueDatatype="130" unbalanced="0"/>
    <cacheHierarchy uniqueName="[fact_trades].[trade_ts]" caption="trade_ts" attribute="1" time="1" defaultMemberUniqueName="[fact_trades].[trade_ts].[All]" allUniqueName="[fact_trades].[trade_ts].[All]" dimensionUniqueName="[fact_trades]" displayFolder="" count="0" memberValueDatatype="7" unbalanced="0"/>
    <cacheHierarchy uniqueName="[fact_trades].[company_id]" caption="company_id" attribute="1" defaultMemberUniqueName="[fact_trades].[company_id].[All]" allUniqueName="[fact_trades].[company_id].[All]" dimensionUniqueName="[fact_trades]" displayFolder="" count="0" memberValueDatatype="130" unbalanced="0"/>
    <cacheHierarchy uniqueName="[fact_trades].[side]" caption="side" attribute="1" defaultMemberUniqueName="[fact_trades].[side].[All]" allUniqueName="[fact_trades].[side].[All]" dimensionUniqueName="[fact_trades]" displayFolder="" count="2" memberValueDatatype="130" unbalanced="0">
      <fieldsUsage count="2">
        <fieldUsage x="-1"/>
        <fieldUsage x="0"/>
      </fieldsUsage>
    </cacheHierarchy>
    <cacheHierarchy uniqueName="[fact_trades].[quantity]" caption="quantity" attribute="1" defaultMemberUniqueName="[fact_trades].[quantity].[All]" allUniqueName="[fact_trades].[quantity].[All]" dimensionUniqueName="[fact_trades]" displayFolder="" count="0" memberValueDatatype="20" unbalanced="0"/>
    <cacheHierarchy uniqueName="[fact_trades].[price]" caption="price" attribute="1" defaultMemberUniqueName="[fact_trades].[price].[All]" allUniqueName="[fact_trades].[price].[All]" dimensionUniqueName="[fact_trades]" displayFolder="" count="0" memberValueDatatype="5" unbalanced="0"/>
    <cacheHierarchy uniqueName="[fact_trades].[fees]" caption="fees" attribute="1" defaultMemberUniqueName="[fact_trades].[fees].[All]" allUniqueName="[fact_trades].[fees].[All]" dimensionUniqueName="[fact_trades]" displayFolder="" count="0" memberValueDatatype="5" unbalanced="0"/>
    <cacheHierarchy uniqueName="[fact_trades].[trader_id]" caption="trader_id" attribute="1" defaultMemberUniqueName="[fact_trades].[trader_id].[All]" allUniqueName="[fact_trades].[trader_id].[All]" dimensionUniqueName="[fact_trades]" displayFolder="" count="0" memberValueDatatype="130" unbalanced="0"/>
    <cacheHierarchy uniqueName="[fact_trades].[portfolio_id]" caption="portfolio_id" attribute="1" defaultMemberUniqueName="[fact_trades].[portfolio_id].[All]" allUniqueName="[fact_trades].[portfolio_id].[All]" dimensionUniqueName="[fact_trades]" displayFolder="" count="0" memberValueDatatype="130" unbalanced="0"/>
    <cacheHierarchy uniqueName="[fact_trades].[exchange_id]" caption="exchange_id" attribute="1" defaultMemberUniqueName="[fact_trades].[exchange_id].[All]" allUniqueName="[fact_trades].[exchange_id].[All]" dimensionUniqueName="[fact_trades]" displayFolder="" count="0" memberValueDatatype="130" unbalanced="0"/>
    <cacheHierarchy uniqueName="[fact_trades].[date]" caption="date" attribute="1" time="1" defaultMemberUniqueName="[fact_trades].[date].[All]" allUniqueName="[fact_trades].[date].[All]" dimensionUniqueName="[fact_trades]" displayFolder="" count="0" memberValueDatatype="7" unbalanced="0"/>
    <cacheHierarchy uniqueName="[fact_trades].[fact_trades.Fact_trade_Buy]" caption="fact_trades.Fact_trade_Buy" attribute="1" defaultMemberUniqueName="[fact_trades].[fact_trades.Fact_trade_Buy].[All]" allUniqueName="[fact_trades].[fact_trades.Fact_trade_Buy].[All]" dimensionUniqueName="[fact_trades]" displayFolder="" count="0" memberValueDatatype="130" unbalanced="0"/>
    <cacheHierarchy uniqueName="[fact_trades].[Net_Quantity]" caption="Net_Quantity" attribute="1" defaultMemberUniqueName="[fact_trades].[Net_Quantity].[All]" allUniqueName="[fact_trades].[Net_Quantity].[All]" dimensionUniqueName="[fact_trades]" displayFolder="" count="0" memberValueDatatype="20" unbalanced="0"/>
    <cacheHierarchy uniqueName="[fact_trades].[fact_trades (3).fact_trades_sell]" caption="fact_trades (3).fact_trades_sell" attribute="1" defaultMemberUniqueName="[fact_trades].[fact_trades (3).fact_trades_sell].[All]" allUniqueName="[fact_trades].[fact_trades (3).fact_trades_sell].[All]" dimensionUniqueName="[fact_trades]" displayFolder="" count="0" memberValueDatatype="130" unbalanced="0"/>
    <cacheHierarchy uniqueName="[fact_trades].[Column2]" caption="Column2" attribute="1" defaultMemberUniqueName="[fact_trades].[Column2].[All]" allUniqueName="[fact_trades].[Column2].[All]" dimensionUniqueName="[fact_trades]" displayFolder="" count="0" memberValueDatatype="130" unbalanced="0"/>
    <cacheHierarchy uniqueName="[fact_trades].[Buy-sell]" caption="Buy-sell" attribute="1" defaultMemberUniqueName="[fact_trades].[Buy-sell].[All]" allUniqueName="[fact_trades].[Buy-sell].[All]" dimensionUniqueName="[fact_trades]" displayFolder="" count="0" memberValueDatatype="20" unbalanced="0"/>
    <cacheHierarchy uniqueName="[fact_trades].[Sell-Buy]" caption="Sell-Buy" attribute="1" defaultMemberUniqueName="[fact_trades].[Sell-Buy].[All]" allUniqueName="[fact_trades].[Sell-Buy].[All]" dimensionUniqueName="[fact_trades]" displayFolder="" count="0" memberValueDatatype="5" unbalanced="0"/>
    <cacheHierarchy uniqueName="[fact_trades].[P&amp;L]" caption="P&amp;L" attribute="1" defaultMemberUniqueName="[fact_trades].[P&amp;L].[All]" allUniqueName="[fact_trades].[P&amp;L].[All]" dimensionUniqueName="[fact_trades]" displayFolder="" count="0" memberValueDatatype="130" unbalanced="0"/>
    <cacheHierarchy uniqueName="[Table15].[order_id]" caption="order_id" attribute="1" defaultMemberUniqueName="[Table15].[order_id].[All]" allUniqueName="[Table15].[order_id].[All]" dimensionUniqueName="[Table15]" displayFolder="" count="0" memberValueDatatype="130" unbalanced="0"/>
    <cacheHierarchy uniqueName="[Table15].[Buy_value]" caption="Buy_value" attribute="1" defaultMemberUniqueName="[Table15].[Buy_value].[All]" allUniqueName="[Table15].[Buy_value].[All]" dimensionUniqueName="[Table15]" displayFolder="" count="0" memberValueDatatype="5" unbalanced="0"/>
    <cacheHierarchy uniqueName="[Table15].[Sell_Value]" caption="Sell_Value" attribute="1" defaultMemberUniqueName="[Table15].[Sell_Value].[All]" allUniqueName="[Table15].[Sell_Value].[All]" dimensionUniqueName="[Table15]" displayFolder="" count="0" memberValueDatatype="5" unbalanced="0"/>
    <cacheHierarchy uniqueName="[Table15].[Profit]" caption="Profit" attribute="1" defaultMemberUniqueName="[Table15].[Profit].[All]" allUniqueName="[Table15].[Profit].[All]" dimensionUniqueName="[Table15]" displayFolder="" count="0" memberValueDatatype="5" unbalanced="0"/>
    <cacheHierarchy uniqueName="[Table15].[is Profit]" caption="is Profit" attribute="1" defaultMemberUniqueName="[Table15].[is Profit].[All]" allUniqueName="[Table15].[is Profit].[All]" dimensionUniqueName="[Table15]" displayFolder="" count="0" memberValueDatatype="20" unbalanced="0"/>
    <cacheHierarchy uniqueName="[Table15].[P&amp;L]" caption="P&amp;L" attribute="1" defaultMemberUniqueName="[Table15].[P&amp;L].[All]" allUniqueName="[Table15].[P&amp;L].[All]" dimensionUniqueName="[Table15]" displayFolder="" count="0" memberValueDatatype="130" unbalanced="0"/>
    <cacheHierarchy uniqueName="[Table15].[Sell_Quantity]" caption="Sell_Quantity" attribute="1" defaultMemberUniqueName="[Table15].[Sell_Quantity].[All]" allUniqueName="[Table15].[Sell_Quantity].[All]" dimensionUniqueName="[Table15]" displayFolder="" count="0" memberValueDatatype="20" unbalanced="0"/>
    <cacheHierarchy uniqueName="[Table15].[Buy]" caption="Buy" attribute="1" defaultMemberUniqueName="[Table15].[Buy].[All]" allUniqueName="[Table15].[Buy].[All]" dimensionUniqueName="[Table15]" displayFolder="" count="0" memberValueDatatype="5" unbalanced="0"/>
    <cacheHierarchy uniqueName="[Table15].[sell]" caption="sell" attribute="1" defaultMemberUniqueName="[Table15].[sell].[All]" allUniqueName="[Table15].[sell].[All]" dimensionUniqueName="[Table15]" displayFolder="" count="0" memberValueDatatype="5" unbalanced="0"/>
    <cacheHierarchy uniqueName="[Table15].[Buy_Quantity]" caption="Buy_Quantity" attribute="1" defaultMemberUniqueName="[Table15].[Buy_Quantity].[All]" allUniqueName="[Table15].[Buy_Quantity].[All]" dimensionUniqueName="[Table15]" displayFolder="" count="0" memberValueDatatype="20" unbalanced="0"/>
    <cacheHierarchy uniqueName="[Measures].[__XL_Count fact_trades]" caption="__XL_Count fact_trades" measure="1" displayFolder="" measureGroup="fact_trades" count="0" hidden="1"/>
    <cacheHierarchy uniqueName="[Measures].[__XL_Count Table15]" caption="__XL_Count Table15" measure="1" displayFolder="" measureGroup="Table15" count="0" hidden="1"/>
    <cacheHierarchy uniqueName="[Measures].[__No measures defined]" caption="__No measures defined" measure="1" displayFolder="" count="0" hidden="1"/>
    <cacheHierarchy uniqueName="[Measures].[Count of order_id]" caption="Count of order_id" measure="1" displayFolder="" measureGroup="fact_trades"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P&amp;L]" caption="Count of P&amp;L" measure="1" displayFolder="" measureGroup="Table15" count="0" hidden="1">
      <extLst>
        <ext xmlns:x15="http://schemas.microsoft.com/office/spreadsheetml/2010/11/main" uri="{B97F6D7D-B522-45F9-BDA1-12C45D357490}">
          <x15:cacheHierarchy aggregatedColumn="24"/>
        </ext>
      </extLst>
    </cacheHierarchy>
  </cacheHierarchies>
  <kpis count="0"/>
  <dimensions count="3">
    <dimension name="fact_trades" uniqueName="[fact_trades]" caption="fact_trades"/>
    <dimension measure="1" name="Measures" uniqueName="[Measures]" caption="Measures"/>
    <dimension name="Table15" uniqueName="[Table15]" caption="Table15"/>
  </dimensions>
  <measureGroups count="2">
    <measureGroup name="fact_trades" caption="fact_trades"/>
    <measureGroup name="Table15" caption="Table15"/>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 LAKSHMI PRASANNA" refreshedDate="45891.898318749998" createdVersion="8" refreshedVersion="8" minRefreshableVersion="3" recordCount="1" xr:uid="{C5E9530E-6258-40F1-9969-6C24409754FB}">
  <cacheSource type="worksheet">
    <worksheetSource name="Table17"/>
  </cacheSource>
  <cacheFields count="1">
    <cacheField name="Sharp_ratio" numFmtId="0">
      <sharedItems containsSemiMixedTypes="0" containsString="0" containsNumber="1" minValue="0.3149424892237761" maxValue="0.314942489223776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 LAKSHMI PRASANNA" refreshedDate="45891.898319097221" createdVersion="8" refreshedVersion="8" minRefreshableVersion="3" recordCount="333" xr:uid="{114C49F2-E71D-435F-BC69-7E3EB0C363B8}">
  <cacheSource type="worksheet">
    <worksheetSource name="Table15"/>
  </cacheSource>
  <cacheFields count="10">
    <cacheField name="order_id" numFmtId="0">
      <sharedItems count="333">
        <s v="ORD00001"/>
        <s v="ORD00002"/>
        <s v="ORD00003"/>
        <s v="ORD00005"/>
        <s v="ORD00006"/>
        <s v="ORD00007"/>
        <s v="ORD00008"/>
        <s v="ORD00009"/>
        <s v="ORD00010"/>
        <s v="ORD00012"/>
        <s v="ORD00013"/>
        <s v="ORD00014"/>
        <s v="ORD00015"/>
        <s v="ORD00018"/>
        <s v="ORD00019"/>
        <s v="ORD00020"/>
        <s v="ORD00021"/>
        <s v="ORD00023"/>
        <s v="ORD00024"/>
        <s v="ORD00026"/>
        <s v="ORD00027"/>
        <s v="ORD00028"/>
        <s v="ORD00029"/>
        <s v="ORD00030"/>
        <s v="ORD00032"/>
        <s v="ORD00033"/>
        <s v="ORD00034"/>
        <s v="ORD00035"/>
        <s v="ORD00038"/>
        <s v="ORD00040"/>
        <s v="ORD00042"/>
        <s v="ORD00044"/>
        <s v="ORD00045"/>
        <s v="ORD00047"/>
        <s v="ORD00050"/>
        <s v="ORD00053"/>
        <s v="ORD00054"/>
        <s v="ORD00056"/>
        <s v="ORD00058"/>
        <s v="ORD00060"/>
        <s v="ORD00062"/>
        <s v="ORD00063"/>
        <s v="ORD00064"/>
        <s v="ORD00065"/>
        <s v="ORD00066"/>
        <s v="ORD00069"/>
        <s v="ORD00070"/>
        <s v="ORD00071"/>
        <s v="ORD00072"/>
        <s v="ORD00073"/>
        <s v="ORD00074"/>
        <s v="ORD00075"/>
        <s v="ORD00077"/>
        <s v="ORD00078"/>
        <s v="ORD00083"/>
        <s v="ORD00084"/>
        <s v="ORD00085"/>
        <s v="ORD00086"/>
        <s v="ORD00088"/>
        <s v="ORD00093"/>
        <s v="ORD00095"/>
        <s v="ORD00097"/>
        <s v="ORD00098"/>
        <s v="ORD00099"/>
        <s v="ORD00102"/>
        <s v="ORD00103"/>
        <s v="ORD00104"/>
        <s v="ORD00105"/>
        <s v="ORD00106"/>
        <s v="ORD00107"/>
        <s v="ORD00109"/>
        <s v="ORD00112"/>
        <s v="ORD00114"/>
        <s v="ORD00116"/>
        <s v="ORD00118"/>
        <s v="ORD00119"/>
        <s v="ORD00120"/>
        <s v="ORD00121"/>
        <s v="ORD00122"/>
        <s v="ORD00125"/>
        <s v="ORD00126"/>
        <s v="ORD00127"/>
        <s v="ORD00130"/>
        <s v="ORD00131"/>
        <s v="ORD00133"/>
        <s v="ORD00134"/>
        <s v="ORD00135"/>
        <s v="ORD00136"/>
        <s v="ORD00137"/>
        <s v="ORD00138"/>
        <s v="ORD00139"/>
        <s v="ORD00140"/>
        <s v="ORD00142"/>
        <s v="ORD00144"/>
        <s v="ORD00145"/>
        <s v="ORD00147"/>
        <s v="ORD00150"/>
        <s v="ORD00151"/>
        <s v="ORD00154"/>
        <s v="ORD00155"/>
        <s v="ORD00156"/>
        <s v="ORD00157"/>
        <s v="ORD00158"/>
        <s v="ORD00159"/>
        <s v="ORD00160"/>
        <s v="ORD00163"/>
        <s v="ORD00165"/>
        <s v="ORD00166"/>
        <s v="ORD00167"/>
        <s v="ORD00170"/>
        <s v="ORD00171"/>
        <s v="ORD00176"/>
        <s v="ORD00177"/>
        <s v="ORD00178"/>
        <s v="ORD00179"/>
        <s v="ORD00180"/>
        <s v="ORD00181"/>
        <s v="ORD00182"/>
        <s v="ORD00183"/>
        <s v="ORD00186"/>
        <s v="ORD00187"/>
        <s v="ORD00188"/>
        <s v="ORD00189"/>
        <s v="ORD00190"/>
        <s v="ORD00191"/>
        <s v="ORD00192"/>
        <s v="ORD00193"/>
        <s v="ORD00194"/>
        <s v="ORD00203"/>
        <s v="ORD00204"/>
        <s v="ORD00206"/>
        <s v="ORD00207"/>
        <s v="ORD00208"/>
        <s v="ORD00209"/>
        <s v="ORD00210"/>
        <s v="ORD00212"/>
        <s v="ORD00213"/>
        <s v="ORD00214"/>
        <s v="ORD00218"/>
        <s v="ORD00220"/>
        <s v="ORD00222"/>
        <s v="ORD00223"/>
        <s v="ORD00224"/>
        <s v="ORD00226"/>
        <s v="ORD00227"/>
        <s v="ORD00229"/>
        <s v="ORD00230"/>
        <s v="ORD00232"/>
        <s v="ORD00233"/>
        <s v="ORD00234"/>
        <s v="ORD00235"/>
        <s v="ORD00236"/>
        <s v="ORD00237"/>
        <s v="ORD00240"/>
        <s v="ORD00241"/>
        <s v="ORD00242"/>
        <s v="ORD00244"/>
        <s v="ORD00246"/>
        <s v="ORD00247"/>
        <s v="ORD00249"/>
        <s v="ORD00252"/>
        <s v="ORD00253"/>
        <s v="ORD00254"/>
        <s v="ORD00255"/>
        <s v="ORD00256"/>
        <s v="ORD00257"/>
        <s v="ORD00259"/>
        <s v="ORD00261"/>
        <s v="ORD00263"/>
        <s v="ORD00264"/>
        <s v="ORD00267"/>
        <s v="ORD00268"/>
        <s v="ORD00270"/>
        <s v="ORD00271"/>
        <s v="ORD00273"/>
        <s v="ORD00275"/>
        <s v="ORD00276"/>
        <s v="ORD00278"/>
        <s v="ORD00279"/>
        <s v="ORD00280"/>
        <s v="ORD00281"/>
        <s v="ORD00282"/>
        <s v="ORD00283"/>
        <s v="ORD00284"/>
        <s v="ORD00285"/>
        <s v="ORD00287"/>
        <s v="ORD00288"/>
        <s v="ORD00289"/>
        <s v="ORD00290"/>
        <s v="ORD00291"/>
        <s v="ORD00292"/>
        <s v="ORD00294"/>
        <s v="ORD00295"/>
        <s v="ORD00297"/>
        <s v="ORD00298"/>
        <s v="ORD00299"/>
        <s v="ORD00300"/>
        <s v="ORD00301"/>
        <s v="ORD00302"/>
        <s v="ORD00303"/>
        <s v="ORD00307"/>
        <s v="ORD00308"/>
        <s v="ORD00310"/>
        <s v="ORD00311"/>
        <s v="ORD00312"/>
        <s v="ORD00313"/>
        <s v="ORD00314"/>
        <s v="ORD00315"/>
        <s v="ORD00317"/>
        <s v="ORD00318"/>
        <s v="ORD00320"/>
        <s v="ORD00323"/>
        <s v="ORD00324"/>
        <s v="ORD00325"/>
        <s v="ORD00326"/>
        <s v="ORD00327"/>
        <s v="ORD00328"/>
        <s v="ORD00329"/>
        <s v="ORD00331"/>
        <s v="ORD00333"/>
        <s v="ORD00337"/>
        <s v="ORD00340"/>
        <s v="ORD00341"/>
        <s v="ORD00343"/>
        <s v="ORD00345"/>
        <s v="ORD00348"/>
        <s v="ORD00349"/>
        <s v="ORD00350"/>
        <s v="ORD00352"/>
        <s v="ORD00353"/>
        <s v="ORD00354"/>
        <s v="ORD00355"/>
        <s v="ORD00358"/>
        <s v="ORD00360"/>
        <s v="ORD00363"/>
        <s v="ORD00364"/>
        <s v="ORD00365"/>
        <s v="ORD00366"/>
        <s v="ORD00369"/>
        <s v="ORD00371"/>
        <s v="ORD00373"/>
        <s v="ORD00374"/>
        <s v="ORD00375"/>
        <s v="ORD00376"/>
        <s v="ORD00377"/>
        <s v="ORD00379"/>
        <s v="ORD00380"/>
        <s v="ORD00381"/>
        <s v="ORD00382"/>
        <s v="ORD00384"/>
        <s v="ORD00385"/>
        <s v="ORD00386"/>
        <s v="ORD00387"/>
        <s v="ORD00388"/>
        <s v="ORD00389"/>
        <s v="ORD00390"/>
        <s v="ORD00392"/>
        <s v="ORD00393"/>
        <s v="ORD00394"/>
        <s v="ORD00397"/>
        <s v="ORD00398"/>
        <s v="ORD00399"/>
        <s v="ORD00401"/>
        <s v="ORD00402"/>
        <s v="ORD00404"/>
        <s v="ORD00405"/>
        <s v="ORD00407"/>
        <s v="ORD00408"/>
        <s v="ORD00409"/>
        <s v="ORD00410"/>
        <s v="ORD00411"/>
        <s v="ORD00415"/>
        <s v="ORD00416"/>
        <s v="ORD00417"/>
        <s v="ORD00418"/>
        <s v="ORD00419"/>
        <s v="ORD00420"/>
        <s v="ORD00421"/>
        <s v="ORD00423"/>
        <s v="ORD00424"/>
        <s v="ORD00425"/>
        <s v="ORD00426"/>
        <s v="ORD00427"/>
        <s v="ORD00428"/>
        <s v="ORD00429"/>
        <s v="ORD00431"/>
        <s v="ORD00432"/>
        <s v="ORD00433"/>
        <s v="ORD00434"/>
        <s v="ORD00435"/>
        <s v="ORD00437"/>
        <s v="ORD00438"/>
        <s v="ORD00439"/>
        <s v="ORD00442"/>
        <s v="ORD00443"/>
        <s v="ORD00446"/>
        <s v="ORD00448"/>
        <s v="ORD00449"/>
        <s v="ORD00450"/>
        <s v="ORD00451"/>
        <s v="ORD00452"/>
        <s v="ORD00453"/>
        <s v="ORD00454"/>
        <s v="ORD00455"/>
        <s v="ORD00456"/>
        <s v="ORD00457"/>
        <s v="ORD00458"/>
        <s v="ORD00459"/>
        <s v="ORD00460"/>
        <s v="ORD00462"/>
        <s v="ORD00463"/>
        <s v="ORD00464"/>
        <s v="ORD00465"/>
        <s v="ORD00466"/>
        <s v="ORD00468"/>
        <s v="ORD00469"/>
        <s v="ORD00471"/>
        <s v="ORD00472"/>
        <s v="ORD00473"/>
        <s v="ORD00474"/>
        <s v="ORD00475"/>
        <s v="ORD00476"/>
        <s v="ORD00477"/>
        <s v="ORD00481"/>
        <s v="ORD00482"/>
        <s v="ORD00484"/>
        <s v="ORD00489"/>
        <s v="ORD00490"/>
        <s v="ORD00492"/>
        <s v="ORD00495"/>
        <s v="ORD00496"/>
        <s v="ORD00497"/>
        <s v="ORD00499"/>
      </sharedItems>
    </cacheField>
    <cacheField name="Buy_value" numFmtId="0">
      <sharedItems containsSemiMixedTypes="0" containsString="0" containsNumber="1" minValue="0" maxValue="5321545.9200000009"/>
    </cacheField>
    <cacheField name="Sell_Value" numFmtId="0">
      <sharedItems containsSemiMixedTypes="0" containsString="0" containsNumber="1" minValue="0" maxValue="4625.1400000000003"/>
    </cacheField>
    <cacheField name="Profit" numFmtId="0">
      <sharedItems containsSemiMixedTypes="0" containsString="0" containsNumber="1" minValue="-11132674064.640001" maxValue="9384409.0600000005"/>
    </cacheField>
    <cacheField name="is Profit" numFmtId="0">
      <sharedItems containsSemiMixedTypes="0" containsString="0" containsNumber="1" containsInteger="1" minValue="0" maxValue="1"/>
    </cacheField>
    <cacheField name="P&amp;L" numFmtId="0">
      <sharedItems count="2">
        <s v="Profit"/>
        <s v="Loss"/>
      </sharedItems>
    </cacheField>
    <cacheField name="Sell_Quantity" numFmtId="0">
      <sharedItems containsSemiMixedTypes="0" containsString="0" containsNumber="1" containsInteger="1" minValue="0" maxValue="2588" count="169">
        <n v="931"/>
        <n v="0"/>
        <n v="886"/>
        <n v="993"/>
        <n v="880"/>
        <n v="150"/>
        <n v="53"/>
        <n v="1667"/>
        <n v="891"/>
        <n v="739"/>
        <n v="675"/>
        <n v="782"/>
        <n v="280"/>
        <n v="618"/>
        <n v="1077"/>
        <n v="130"/>
        <n v="115"/>
        <n v="167"/>
        <n v="206"/>
        <n v="560"/>
        <n v="713"/>
        <n v="997"/>
        <n v="104"/>
        <n v="643"/>
        <n v="707"/>
        <n v="16"/>
        <n v="735"/>
        <n v="796"/>
        <n v="793"/>
        <n v="2588"/>
        <n v="473"/>
        <n v="878"/>
        <n v="608"/>
        <n v="1544"/>
        <n v="1296"/>
        <n v="955"/>
        <n v="683"/>
        <n v="212"/>
        <n v="550"/>
        <n v="55"/>
        <n v="570"/>
        <n v="1399"/>
        <n v="1788"/>
        <n v="1061"/>
        <n v="433"/>
        <n v="940"/>
        <n v="362"/>
        <n v="616"/>
        <n v="444"/>
        <n v="812"/>
        <n v="867"/>
        <n v="162"/>
        <n v="810"/>
        <n v="287"/>
        <n v="907"/>
        <n v="920"/>
        <n v="903"/>
        <n v="512"/>
        <n v="301"/>
        <n v="928"/>
        <n v="117"/>
        <n v="936"/>
        <n v="781"/>
        <n v="702"/>
        <n v="848"/>
        <n v="666"/>
        <n v="641"/>
        <n v="385"/>
        <n v="1540"/>
        <n v="2029"/>
        <n v="846"/>
        <n v="778"/>
        <n v="953"/>
        <n v="164"/>
        <n v="787"/>
        <n v="922"/>
        <n v="727"/>
        <n v="1745"/>
        <n v="722"/>
        <n v="262"/>
        <n v="537"/>
        <n v="1894"/>
        <n v="349"/>
        <n v="488"/>
        <n v="507"/>
        <n v="711"/>
        <n v="165"/>
        <n v="972"/>
        <n v="949"/>
        <n v="354"/>
        <n v="34"/>
        <n v="82"/>
        <n v="906"/>
        <n v="1098"/>
        <n v="363"/>
        <n v="803"/>
        <n v="923"/>
        <n v="1149"/>
        <n v="967"/>
        <n v="234"/>
        <n v="88"/>
        <n v="959"/>
        <n v="307"/>
        <n v="289"/>
        <n v="442"/>
        <n v="879"/>
        <n v="965"/>
        <n v="420"/>
        <n v="759"/>
        <n v="174"/>
        <n v="773"/>
        <n v="460"/>
        <n v="677"/>
        <n v="898"/>
        <n v="1126"/>
        <n v="766"/>
        <n v="765"/>
        <n v="901"/>
        <n v="166"/>
        <n v="999"/>
        <n v="862"/>
        <n v="1050"/>
        <n v="316"/>
        <n v="863"/>
        <n v="1222"/>
        <n v="270"/>
        <n v="964"/>
        <n v="1634"/>
        <n v="225"/>
        <n v="222"/>
        <n v="66"/>
        <n v="198"/>
        <n v="895"/>
        <n v="1636"/>
        <n v="978"/>
        <n v="819"/>
        <n v="407"/>
        <n v="684"/>
        <n v="371"/>
        <n v="726"/>
        <n v="913"/>
        <n v="1235"/>
        <n v="805"/>
        <n v="472"/>
        <n v="1287"/>
        <n v="755"/>
        <n v="770"/>
        <n v="536"/>
        <n v="874"/>
        <n v="725"/>
        <n v="482"/>
        <n v="1733"/>
        <n v="357"/>
        <n v="511"/>
        <n v="223"/>
        <n v="679"/>
        <n v="419"/>
        <n v="196"/>
        <n v="319"/>
        <n v="614"/>
        <n v="625"/>
        <n v="411"/>
        <n v="841"/>
        <n v="235"/>
        <n v="801"/>
        <n v="258"/>
        <n v="76"/>
        <n v="631"/>
        <n v="310"/>
      </sharedItems>
    </cacheField>
    <cacheField name="Buy" numFmtId="0">
      <sharedItems containsSemiMixedTypes="0" containsString="0" containsNumber="1" minValue="0" maxValue="11132674064.640001"/>
    </cacheField>
    <cacheField name="sell" numFmtId="0">
      <sharedItems containsSemiMixedTypes="0" containsString="0" containsNumber="1" minValue="0" maxValue="9384409.0600000005"/>
    </cacheField>
    <cacheField name="Buy_Quantity" numFmtId="0">
      <sharedItems containsSemiMixedTypes="0" containsString="0" containsNumber="1" containsInteger="1" minValue="0" maxValue="2092"/>
    </cacheField>
  </cacheFields>
  <extLst>
    <ext xmlns:x14="http://schemas.microsoft.com/office/spreadsheetml/2009/9/main" uri="{725AE2AE-9491-48be-B2B4-4EB974FC3084}">
      <x14:pivotCacheDefinition pivotCacheId="2034921344"/>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 LAKSHMI PRASANNA" refreshedDate="45891.898319675929" createdVersion="8" refreshedVersion="8" minRefreshableVersion="3" recordCount="1032" xr:uid="{8030760C-0C91-4DF5-82F2-898E0BF1B587}">
  <cacheSource type="worksheet">
    <worksheetSource ref="A1:K1033" sheet="fact_daily_prices"/>
  </cacheSource>
  <cacheFields count="11">
    <cacheField name="date" numFmtId="22">
      <sharedItems containsSemiMixedTypes="0" containsNonDate="0" containsDate="1" containsString="0" minDate="2025-01-01T00:00:00" maxDate="2025-07-01T00:00:00"/>
    </cacheField>
    <cacheField name="company_id" numFmtId="0">
      <sharedItems count="8">
        <s v="COMP001"/>
        <s v="COMP002"/>
        <s v="COMP003"/>
        <s v="COMP004"/>
        <s v="COMP005"/>
        <s v="COMP006"/>
        <s v="COMP007"/>
        <s v="COMP008"/>
      </sharedItems>
    </cacheField>
    <cacheField name="open" numFmtId="0">
      <sharedItems containsSemiMixedTypes="0" containsString="0" containsNumber="1" minValue="212.44" maxValue="2306.96"/>
    </cacheField>
    <cacheField name="high" numFmtId="0">
      <sharedItems containsSemiMixedTypes="0" containsString="0" containsNumber="1" minValue="215.26" maxValue="2324.77"/>
    </cacheField>
    <cacheField name="low" numFmtId="0">
      <sharedItems containsSemiMixedTypes="0" containsString="0" containsNumber="1" minValue="209.62" maxValue="2289.15"/>
    </cacheField>
    <cacheField name="close" numFmtId="0">
      <sharedItems containsSemiMixedTypes="0" containsString="0" containsNumber="1" minValue="213.57" maxValue="2304.4"/>
    </cacheField>
    <cacheField name="volume" numFmtId="0">
      <sharedItems containsSemiMixedTypes="0" containsString="0" containsNumber="1" containsInteger="1" minValue="1009" maxValue="49998" count="1021">
        <n v="42106"/>
        <n v="9680"/>
        <n v="36153"/>
        <n v="9120"/>
        <n v="21445"/>
        <n v="32065"/>
        <n v="46936"/>
        <n v="21932"/>
        <n v="44016"/>
        <n v="2154"/>
        <n v="13183"/>
        <n v="6539"/>
        <n v="49354"/>
        <n v="3200"/>
        <n v="12969"/>
        <n v="47760"/>
        <n v="26876"/>
        <n v="47214"/>
        <n v="5555"/>
        <n v="18429"/>
        <n v="4436"/>
        <n v="31746"/>
        <n v="40790"/>
        <n v="41764"/>
        <n v="45080"/>
        <n v="19589"/>
        <n v="48202"/>
        <n v="4420"/>
        <n v="1699"/>
        <n v="36743"/>
        <n v="27641"/>
        <n v="1569"/>
        <n v="46681"/>
        <n v="36777"/>
        <n v="46017"/>
        <n v="13533"/>
        <n v="20190"/>
        <n v="11647"/>
        <n v="25376"/>
        <n v="13039"/>
        <n v="26547"/>
        <n v="33097"/>
        <n v="34621"/>
        <n v="23677"/>
        <n v="43675"/>
        <n v="16338"/>
        <n v="20508"/>
        <n v="22606"/>
        <n v="33093"/>
        <n v="8987"/>
        <n v="47185"/>
        <n v="18214"/>
        <n v="26945"/>
        <n v="2150"/>
        <n v="2081"/>
        <n v="47175"/>
        <n v="46543"/>
        <n v="14500"/>
        <n v="48893"/>
        <n v="2679"/>
        <n v="28932"/>
        <n v="14296"/>
        <n v="30124"/>
        <n v="36247"/>
        <n v="38220"/>
        <n v="33580"/>
        <n v="24289"/>
        <n v="42975"/>
        <n v="39646"/>
        <n v="23687"/>
        <n v="7833"/>
        <n v="6052"/>
        <n v="41770"/>
        <n v="18450"/>
        <n v="39494"/>
        <n v="35850"/>
        <n v="24132"/>
        <n v="1417"/>
        <n v="18209"/>
        <n v="1412"/>
        <n v="24548"/>
        <n v="19888"/>
        <n v="18506"/>
        <n v="35911"/>
        <n v="45811"/>
        <n v="48320"/>
        <n v="45912"/>
        <n v="1698"/>
        <n v="8400"/>
        <n v="18101"/>
        <n v="6486"/>
        <n v="38259"/>
        <n v="41419"/>
        <n v="2062"/>
        <n v="12174"/>
        <n v="24714"/>
        <n v="7801"/>
        <n v="18337"/>
        <n v="2542"/>
        <n v="28569"/>
        <n v="23556"/>
        <n v="14807"/>
        <n v="27256"/>
        <n v="26731"/>
        <n v="35578"/>
        <n v="26289"/>
        <n v="45482"/>
        <n v="4709"/>
        <n v="14116"/>
        <n v="40298"/>
        <n v="34982"/>
        <n v="18312"/>
        <n v="37395"/>
        <n v="38678"/>
        <n v="12003"/>
        <n v="14843"/>
        <n v="39413"/>
        <n v="45597"/>
        <n v="25504"/>
        <n v="12023"/>
        <n v="1667"/>
        <n v="37487"/>
        <n v="28355"/>
        <n v="39810"/>
        <n v="14216"/>
        <n v="32471"/>
        <n v="46445"/>
        <n v="11136"/>
        <n v="24793"/>
        <n v="11589"/>
        <n v="14046"/>
        <n v="5324"/>
        <n v="42427"/>
        <n v="42605"/>
        <n v="48077"/>
        <n v="1846"/>
        <n v="23700"/>
        <n v="43101"/>
        <n v="46587"/>
        <n v="40001"/>
        <n v="2917"/>
        <n v="48362"/>
        <n v="1009"/>
        <n v="40809"/>
        <n v="9512"/>
        <n v="28534"/>
        <n v="29253"/>
        <n v="13219"/>
        <n v="9567"/>
        <n v="9162"/>
        <n v="44925"/>
        <n v="42832"/>
        <n v="22204"/>
        <n v="1077"/>
        <n v="15060"/>
        <n v="10510"/>
        <n v="8804"/>
        <n v="19574"/>
        <n v="12246"/>
        <n v="37455"/>
        <n v="42157"/>
        <n v="25519"/>
        <n v="6788"/>
        <n v="1922"/>
        <n v="2120"/>
        <n v="3336"/>
        <n v="33265"/>
        <n v="47197"/>
        <n v="7371"/>
        <n v="36996"/>
        <n v="19755"/>
        <n v="17478"/>
        <n v="34561"/>
        <n v="13298"/>
        <n v="45165"/>
        <n v="11541"/>
        <n v="8783"/>
        <n v="27215"/>
        <n v="38219"/>
        <n v="39727"/>
        <n v="45409"/>
        <n v="45327"/>
        <n v="35560"/>
        <n v="2645"/>
        <n v="36840"/>
        <n v="3708"/>
        <n v="40224"/>
        <n v="26150"/>
        <n v="8973"/>
        <n v="37368"/>
        <n v="14490"/>
        <n v="6299"/>
        <n v="38148"/>
        <n v="11395"/>
        <n v="5944"/>
        <n v="25917"/>
        <n v="21806"/>
        <n v="27838"/>
        <n v="28965"/>
        <n v="21908"/>
        <n v="24570"/>
        <n v="49302"/>
        <n v="39000"/>
        <n v="13342"/>
        <n v="35249"/>
        <n v="48190"/>
        <n v="20846"/>
        <n v="11998"/>
        <n v="9519"/>
        <n v="7722"/>
        <n v="14575"/>
        <n v="32821"/>
        <n v="13175"/>
        <n v="22389"/>
        <n v="7150"/>
        <n v="21079"/>
        <n v="32419"/>
        <n v="24236"/>
        <n v="35177"/>
        <n v="15596"/>
        <n v="46960"/>
        <n v="44861"/>
        <n v="49285"/>
        <n v="21607"/>
        <n v="28856"/>
        <n v="42196"/>
        <n v="18685"/>
        <n v="42401"/>
        <n v="9996"/>
        <n v="27665"/>
        <n v="40952"/>
        <n v="13875"/>
        <n v="41760"/>
        <n v="31987"/>
        <n v="28529"/>
        <n v="25027"/>
        <n v="21609"/>
        <n v="20250"/>
        <n v="25063"/>
        <n v="32463"/>
        <n v="24150"/>
        <n v="24863"/>
        <n v="49275"/>
        <n v="13112"/>
        <n v="1481"/>
        <n v="35888"/>
        <n v="35008"/>
        <n v="46080"/>
        <n v="35020"/>
        <n v="21581"/>
        <n v="5090"/>
        <n v="37408"/>
        <n v="2341"/>
        <n v="13254"/>
        <n v="3421"/>
        <n v="12918"/>
        <n v="47617"/>
        <n v="5806"/>
        <n v="45064"/>
        <n v="28570"/>
        <n v="12745"/>
        <n v="15288"/>
        <n v="4342"/>
        <n v="24411"/>
        <n v="4093"/>
        <n v="45413"/>
        <n v="40214"/>
        <n v="49901"/>
        <n v="6626"/>
        <n v="20982"/>
        <n v="20440"/>
        <n v="39158"/>
        <n v="22563"/>
        <n v="4380"/>
        <n v="21017"/>
        <n v="18343"/>
        <n v="16251"/>
        <n v="12536"/>
        <n v="9712"/>
        <n v="6109"/>
        <n v="17967"/>
        <n v="37935"/>
        <n v="30009"/>
        <n v="27143"/>
        <n v="4762"/>
        <n v="39559"/>
        <n v="31811"/>
        <n v="23431"/>
        <n v="7368"/>
        <n v="24116"/>
        <n v="44201"/>
        <n v="11361"/>
        <n v="10078"/>
        <n v="39850"/>
        <n v="27015"/>
        <n v="37679"/>
        <n v="14629"/>
        <n v="34226"/>
        <n v="28961"/>
        <n v="22288"/>
        <n v="16313"/>
        <n v="2560"/>
        <n v="21022"/>
        <n v="29380"/>
        <n v="25363"/>
        <n v="1661"/>
        <n v="26658"/>
        <n v="29706"/>
        <n v="47286"/>
        <n v="8005"/>
        <n v="35839"/>
        <n v="26963"/>
        <n v="49689"/>
        <n v="7563"/>
        <n v="13003"/>
        <n v="46350"/>
        <n v="43229"/>
        <n v="34297"/>
        <n v="28490"/>
        <n v="13765"/>
        <n v="23861"/>
        <n v="45965"/>
        <n v="31523"/>
        <n v="36046"/>
        <n v="46893"/>
        <n v="3113"/>
        <n v="14760"/>
        <n v="13588"/>
        <n v="45738"/>
        <n v="6724"/>
        <n v="43240"/>
        <n v="24499"/>
        <n v="7099"/>
        <n v="7116"/>
        <n v="10847"/>
        <n v="2742"/>
        <n v="35707"/>
        <n v="48614"/>
        <n v="16360"/>
        <n v="29404"/>
        <n v="34997"/>
        <n v="36057"/>
        <n v="46272"/>
        <n v="7638"/>
        <n v="14605"/>
        <n v="33556"/>
        <n v="18275"/>
        <n v="42974"/>
        <n v="38380"/>
        <n v="49320"/>
        <n v="23473"/>
        <n v="25089"/>
        <n v="30259"/>
        <n v="31659"/>
        <n v="48055"/>
        <n v="27984"/>
        <n v="38873"/>
        <n v="8848"/>
        <n v="20614"/>
        <n v="49508"/>
        <n v="5114"/>
        <n v="34768"/>
        <n v="4712"/>
        <n v="27200"/>
        <n v="38574"/>
        <n v="32324"/>
        <n v="29144"/>
        <n v="45298"/>
        <n v="26537"/>
        <n v="29441"/>
        <n v="27523"/>
        <n v="33779"/>
        <n v="28598"/>
        <n v="26519"/>
        <n v="27987"/>
        <n v="34174"/>
        <n v="28764"/>
        <n v="9906"/>
        <n v="38650"/>
        <n v="8151"/>
        <n v="43652"/>
        <n v="43641"/>
        <n v="35905"/>
        <n v="49478"/>
        <n v="4654"/>
        <n v="9636"/>
        <n v="36262"/>
        <n v="21733"/>
        <n v="7430"/>
        <n v="32497"/>
        <n v="47332"/>
        <n v="38846"/>
        <n v="6448"/>
        <n v="7406"/>
        <n v="33003"/>
        <n v="44108"/>
        <n v="42779"/>
        <n v="16422"/>
        <n v="34535"/>
        <n v="27715"/>
        <n v="39908"/>
        <n v="5481"/>
        <n v="38605"/>
        <n v="41761"/>
        <n v="23740"/>
        <n v="17052"/>
        <n v="1163"/>
        <n v="11634"/>
        <n v="30300"/>
        <n v="38487"/>
        <n v="15056"/>
        <n v="44404"/>
        <n v="4191"/>
        <n v="4631"/>
        <n v="21281"/>
        <n v="42674"/>
        <n v="24253"/>
        <n v="8099"/>
        <n v="48684"/>
        <n v="27724"/>
        <n v="29758"/>
        <n v="25034"/>
        <n v="23804"/>
        <n v="49355"/>
        <n v="39278"/>
        <n v="28065"/>
        <n v="11759"/>
        <n v="14279"/>
        <n v="36144"/>
        <n v="12824"/>
        <n v="43600"/>
        <n v="21669"/>
        <n v="21131"/>
        <n v="34548"/>
        <n v="10503"/>
        <n v="17905"/>
        <n v="27806"/>
        <n v="40896"/>
        <n v="15291"/>
        <n v="34453"/>
        <n v="31841"/>
        <n v="11736"/>
        <n v="35964"/>
        <n v="15215"/>
        <n v="30334"/>
        <n v="21714"/>
        <n v="49908"/>
        <n v="25858"/>
        <n v="47486"/>
        <n v="4754"/>
        <n v="9706"/>
        <n v="30725"/>
        <n v="37068"/>
        <n v="37495"/>
        <n v="17832"/>
        <n v="43815"/>
        <n v="4081"/>
        <n v="15042"/>
        <n v="38900"/>
        <n v="44241"/>
        <n v="27832"/>
        <n v="41372"/>
        <n v="35546"/>
        <n v="24762"/>
        <n v="10596"/>
        <n v="2013"/>
        <n v="39356"/>
        <n v="15537"/>
        <n v="34848"/>
        <n v="44590"/>
        <n v="17087"/>
        <n v="7643"/>
        <n v="1161"/>
        <n v="29731"/>
        <n v="13693"/>
        <n v="22817"/>
        <n v="49831"/>
        <n v="6469"/>
        <n v="34937"/>
        <n v="26051"/>
        <n v="34787"/>
        <n v="46253"/>
        <n v="19394"/>
        <n v="49998"/>
        <n v="31268"/>
        <n v="47698"/>
        <n v="36525"/>
        <n v="24284"/>
        <n v="6017"/>
        <n v="23436"/>
        <n v="26279"/>
        <n v="20715"/>
        <n v="30312"/>
        <n v="14493"/>
        <n v="8736"/>
        <n v="46603"/>
        <n v="38481"/>
        <n v="1162"/>
        <n v="33591"/>
        <n v="8896"/>
        <n v="31508"/>
        <n v="41785"/>
        <n v="48299"/>
        <n v="32358"/>
        <n v="49330"/>
        <n v="40110"/>
        <n v="37727"/>
        <n v="19745"/>
        <n v="35521"/>
        <n v="23360"/>
        <n v="7588"/>
        <n v="25259"/>
        <n v="34365"/>
        <n v="33316"/>
        <n v="19474"/>
        <n v="13109"/>
        <n v="24383"/>
        <n v="19351"/>
        <n v="20330"/>
        <n v="6075"/>
        <n v="49200"/>
        <n v="14074"/>
        <n v="35228"/>
        <n v="7816"/>
        <n v="30492"/>
        <n v="33808"/>
        <n v="15849"/>
        <n v="6374"/>
        <n v="32600"/>
        <n v="1778"/>
        <n v="31462"/>
        <n v="45900"/>
        <n v="3044"/>
        <n v="26634"/>
        <n v="45096"/>
        <n v="35215"/>
        <n v="43856"/>
        <n v="17789"/>
        <n v="31483"/>
        <n v="19230"/>
        <n v="22909"/>
        <n v="47571"/>
        <n v="12190"/>
        <n v="21389"/>
        <n v="27512"/>
        <n v="5378"/>
        <n v="25000"/>
        <n v="30538"/>
        <n v="31519"/>
        <n v="44056"/>
        <n v="38418"/>
        <n v="31502"/>
        <n v="13605"/>
        <n v="23760"/>
        <n v="5648"/>
        <n v="45602"/>
        <n v="5492"/>
        <n v="22386"/>
        <n v="45199"/>
        <n v="13743"/>
        <n v="34755"/>
        <n v="14146"/>
        <n v="1726"/>
        <n v="47737"/>
        <n v="25995"/>
        <n v="11651"/>
        <n v="17715"/>
        <n v="6889"/>
        <n v="35610"/>
        <n v="13497"/>
        <n v="41486"/>
        <n v="12777"/>
        <n v="28997"/>
        <n v="29669"/>
        <n v="49438"/>
        <n v="10428"/>
        <n v="40832"/>
        <n v="35587"/>
        <n v="36426"/>
        <n v="11213"/>
        <n v="43849"/>
        <n v="40758"/>
        <n v="16434"/>
        <n v="2141"/>
        <n v="46734"/>
        <n v="17390"/>
        <n v="28840"/>
        <n v="41379"/>
        <n v="45014"/>
        <n v="12120"/>
        <n v="1929"/>
        <n v="49613"/>
        <n v="19284"/>
        <n v="20799"/>
        <n v="25323"/>
        <n v="38226"/>
        <n v="27417"/>
        <n v="3169"/>
        <n v="9036"/>
        <n v="1785"/>
        <n v="21538"/>
        <n v="37575"/>
        <n v="4236"/>
        <n v="9556"/>
        <n v="47633"/>
        <n v="5857"/>
        <n v="27132"/>
        <n v="10714"/>
        <n v="16996"/>
        <n v="27762"/>
        <n v="20554"/>
        <n v="47840"/>
        <n v="49980"/>
        <n v="36428"/>
        <n v="39975"/>
        <n v="27421"/>
        <n v="29308"/>
        <n v="8684"/>
        <n v="1557"/>
        <n v="1882"/>
        <n v="39635"/>
        <n v="13982"/>
        <n v="29064"/>
        <n v="13991"/>
        <n v="31386"/>
        <n v="22083"/>
        <n v="42862"/>
        <n v="49456"/>
        <n v="3384"/>
        <n v="15482"/>
        <n v="47092"/>
        <n v="25566"/>
        <n v="37188"/>
        <n v="20337"/>
        <n v="18611"/>
        <n v="21536"/>
        <n v="11503"/>
        <n v="11886"/>
        <n v="10764"/>
        <n v="43727"/>
        <n v="42160"/>
        <n v="11433"/>
        <n v="22281"/>
        <n v="3745"/>
        <n v="6818"/>
        <n v="31116"/>
        <n v="18908"/>
        <n v="21093"/>
        <n v="21963"/>
        <n v="21936"/>
        <n v="28606"/>
        <n v="45245"/>
        <n v="29572"/>
        <n v="32131"/>
        <n v="42475"/>
        <n v="12908"/>
        <n v="17616"/>
        <n v="44369"/>
        <n v="32226"/>
        <n v="14379"/>
        <n v="9682"/>
        <n v="33983"/>
        <n v="25734"/>
        <n v="43736"/>
        <n v="48464"/>
        <n v="12185"/>
        <n v="20167"/>
        <n v="28076"/>
        <n v="23973"/>
        <n v="2932"/>
        <n v="39405"/>
        <n v="28882"/>
        <n v="7474"/>
        <n v="14979"/>
        <n v="13867"/>
        <n v="31527"/>
        <n v="6451"/>
        <n v="40954"/>
        <n v="31873"/>
        <n v="26372"/>
        <n v="30290"/>
        <n v="6366"/>
        <n v="11717"/>
        <n v="24360"/>
        <n v="37435"/>
        <n v="42045"/>
        <n v="19020"/>
        <n v="20710"/>
        <n v="5967"/>
        <n v="6722"/>
        <n v="38212"/>
        <n v="13297"/>
        <n v="20702"/>
        <n v="21127"/>
        <n v="29482"/>
        <n v="41546"/>
        <n v="20149"/>
        <n v="5956"/>
        <n v="16417"/>
        <n v="33598"/>
        <n v="21584"/>
        <n v="44361"/>
        <n v="13996"/>
        <n v="23626"/>
        <n v="2132"/>
        <n v="40065"/>
        <n v="3179"/>
        <n v="48857"/>
        <n v="40464"/>
        <n v="14869"/>
        <n v="32555"/>
        <n v="47976"/>
        <n v="46095"/>
        <n v="48068"/>
        <n v="17673"/>
        <n v="8415"/>
        <n v="38726"/>
        <n v="33252"/>
        <n v="35148"/>
        <n v="47694"/>
        <n v="39402"/>
        <n v="11179"/>
        <n v="31206"/>
        <n v="23412"/>
        <n v="36517"/>
        <n v="17589"/>
        <n v="8214"/>
        <n v="28127"/>
        <n v="19375"/>
        <n v="11014"/>
        <n v="31881"/>
        <n v="4551"/>
        <n v="29483"/>
        <n v="12156"/>
        <n v="39078"/>
        <n v="11728"/>
        <n v="21238"/>
        <n v="20456"/>
        <n v="34276"/>
        <n v="14050"/>
        <n v="38125"/>
        <n v="37176"/>
        <n v="1174"/>
        <n v="34919"/>
        <n v="25618"/>
        <n v="44833"/>
        <n v="46814"/>
        <n v="21306"/>
        <n v="39055"/>
        <n v="40194"/>
        <n v="49367"/>
        <n v="36531"/>
        <n v="4731"/>
        <n v="27113"/>
        <n v="21452"/>
        <n v="42334"/>
        <n v="22074"/>
        <n v="17199"/>
        <n v="20581"/>
        <n v="17523"/>
        <n v="11808"/>
        <n v="1887"/>
        <n v="17402"/>
        <n v="13253"/>
        <n v="47220"/>
        <n v="46270"/>
        <n v="39709"/>
        <n v="16166"/>
        <n v="39556"/>
        <n v="41505"/>
        <n v="2988"/>
        <n v="33115"/>
        <n v="6520"/>
        <n v="14045"/>
        <n v="31954"/>
        <n v="22113"/>
        <n v="44939"/>
        <n v="27829"/>
        <n v="32870"/>
        <n v="38275"/>
        <n v="9328"/>
        <n v="36010"/>
        <n v="9640"/>
        <n v="38004"/>
        <n v="13207"/>
        <n v="29916"/>
        <n v="20071"/>
        <n v="16810"/>
        <n v="26396"/>
        <n v="40082"/>
        <n v="41142"/>
        <n v="48897"/>
        <n v="40579"/>
        <n v="34272"/>
        <n v="1717"/>
        <n v="30100"/>
        <n v="44949"/>
        <n v="44442"/>
        <n v="39759"/>
        <n v="12064"/>
        <n v="7476"/>
        <n v="23463"/>
        <n v="27946"/>
        <n v="23335"/>
        <n v="23010"/>
        <n v="44626"/>
        <n v="34665"/>
        <n v="15683"/>
        <n v="45535"/>
        <n v="22639"/>
        <n v="4439"/>
        <n v="12577"/>
        <n v="25255"/>
        <n v="36931"/>
        <n v="36740"/>
        <n v="18374"/>
        <n v="1489"/>
        <n v="20275"/>
        <n v="33821"/>
        <n v="39712"/>
        <n v="2629"/>
        <n v="46450"/>
        <n v="19945"/>
        <n v="5886"/>
        <n v="17767"/>
        <n v="13226"/>
        <n v="48788"/>
        <n v="49564"/>
        <n v="11006"/>
        <n v="21324"/>
        <n v="30063"/>
        <n v="2093"/>
        <n v="6710"/>
        <n v="34457"/>
        <n v="1365"/>
        <n v="25476"/>
        <n v="33001"/>
        <n v="22372"/>
        <n v="28923"/>
        <n v="10306"/>
        <n v="38228"/>
        <n v="20212"/>
        <n v="5594"/>
        <n v="30179"/>
        <n v="33933"/>
        <n v="18375"/>
        <n v="37607"/>
        <n v="47287"/>
        <n v="11776"/>
        <n v="9210"/>
        <n v="40850"/>
        <n v="12094"/>
        <n v="7838"/>
        <n v="5996"/>
        <n v="15211"/>
        <n v="25229"/>
        <n v="29554"/>
        <n v="40605"/>
        <n v="26515"/>
        <n v="33254"/>
        <n v="1917"/>
        <n v="40104"/>
        <n v="10941"/>
        <n v="22133"/>
        <n v="13192"/>
        <n v="22259"/>
        <n v="48269"/>
        <n v="6213"/>
        <n v="26520"/>
        <n v="43570"/>
        <n v="12413"/>
        <n v="24513"/>
        <n v="30299"/>
        <n v="23250"/>
        <n v="2262"/>
        <n v="41150"/>
        <n v="29850"/>
        <n v="47830"/>
        <n v="34998"/>
        <n v="15715"/>
        <n v="14232"/>
        <n v="26500"/>
        <n v="23449"/>
        <n v="26338"/>
        <n v="46961"/>
        <n v="20539"/>
        <n v="15119"/>
        <n v="35710"/>
        <n v="26479"/>
        <n v="18033"/>
        <n v="18420"/>
        <n v="12349"/>
        <n v="13453"/>
        <n v="16830"/>
        <n v="46066"/>
        <n v="11692"/>
        <n v="25423"/>
        <n v="2961"/>
        <n v="14255"/>
        <n v="44919"/>
        <n v="43358"/>
        <n v="32521"/>
        <n v="32349"/>
        <n v="33703"/>
        <n v="5247"/>
        <n v="11703"/>
        <n v="13392"/>
        <n v="7305"/>
        <n v="13427"/>
        <n v="3230"/>
        <n v="27177"/>
        <n v="47040"/>
        <n v="14780"/>
        <n v="39652"/>
        <n v="26901"/>
        <n v="17260"/>
        <n v="42430"/>
        <n v="14026"/>
        <n v="43946"/>
        <n v="8347"/>
        <n v="5668"/>
        <n v="35484"/>
        <n v="35028"/>
        <n v="31266"/>
        <n v="15011"/>
        <n v="40019"/>
        <n v="31663"/>
        <n v="42691"/>
        <n v="32417"/>
        <n v="47326"/>
        <n v="22031"/>
        <n v="30432"/>
        <n v="21884"/>
        <n v="44618"/>
        <n v="21142"/>
        <n v="9848"/>
        <n v="43222"/>
        <n v="10968"/>
        <n v="10275"/>
        <n v="1406"/>
        <n v="45036"/>
        <n v="3618"/>
        <n v="40696"/>
        <n v="15719"/>
        <n v="25042"/>
        <n v="27514"/>
        <n v="46487"/>
        <n v="23908"/>
        <n v="38952"/>
        <n v="48929"/>
        <n v="30134"/>
        <n v="47799"/>
        <n v="38292"/>
        <n v="6313"/>
        <n v="5887"/>
        <n v="4558"/>
        <n v="37343"/>
        <n v="40887"/>
        <n v="32601"/>
        <n v="24099"/>
        <n v="20094"/>
        <n v="2657"/>
        <n v="4164"/>
        <n v="20601"/>
        <n v="5552"/>
        <n v="3671"/>
        <n v="4722"/>
        <n v="22438"/>
        <n v="33247"/>
        <n v="21435"/>
        <n v="28386"/>
        <n v="3123"/>
        <n v="48216"/>
        <n v="14001"/>
        <n v="49174"/>
        <n v="36739"/>
        <n v="30166"/>
        <n v="26592"/>
        <n v="7782"/>
        <n v="9307"/>
        <n v="39346"/>
        <n v="22164"/>
        <n v="3941"/>
        <n v="46865"/>
        <n v="26359"/>
        <n v="9378"/>
        <n v="14675"/>
        <n v="36113"/>
        <n v="6877"/>
        <n v="5686"/>
        <n v="13205"/>
        <n v="17524"/>
        <n v="17848"/>
        <n v="39724"/>
        <n v="30301"/>
        <n v="29310"/>
        <n v="39892"/>
        <n v="24324"/>
        <n v="4092"/>
        <n v="25860"/>
        <n v="26763"/>
        <n v="40876"/>
        <n v="42789"/>
        <n v="1691"/>
        <n v="32730"/>
        <n v="23766"/>
        <n v="18695"/>
        <n v="26491"/>
        <n v="34045"/>
        <n v="31497"/>
        <n v="47686"/>
        <n v="44485"/>
        <n v="11068"/>
        <n v="1287"/>
        <n v="36131"/>
        <n v="41975"/>
        <n v="4178"/>
        <n v="27627"/>
        <n v="36422"/>
        <n v="8135"/>
        <n v="24238"/>
      </sharedItems>
    </cacheField>
    <cacheField name="Returns" numFmtId="0">
      <sharedItems containsSemiMixedTypes="0" containsString="0" containsNumber="1" minValue="-3.6085963279465276E-2" maxValue="4.1823580533024304E-2"/>
    </cacheField>
    <cacheField name="Total Market" numFmtId="0">
      <sharedItems containsSemiMixedTypes="0" containsString="0" containsNumber="1" minValue="276136.54000000004" maxValue="110841975.95999999"/>
    </cacheField>
    <cacheField name="Sector_id" numFmtId="0">
      <sharedItems/>
    </cacheField>
    <cacheField name="Sector_Name" numFmtId="0">
      <sharedItems count="5">
        <s v="Information Technology"/>
        <s v="Financials"/>
        <s v="Energy"/>
        <s v="Consumer Discretionary"/>
        <s v="Healthcare"/>
      </sharedItems>
    </cacheField>
  </cacheFields>
  <extLst>
    <ext xmlns:x14="http://schemas.microsoft.com/office/spreadsheetml/2009/9/main" uri="{725AE2AE-9491-48be-B2B4-4EB974FC3084}">
      <x14:pivotCacheDefinition pivotCacheId="155727651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 LAKSHMI PRASANNA" refreshedDate="45891.898320601853" createdVersion="8" refreshedVersion="8" minRefreshableVersion="3" recordCount="80" xr:uid="{EA44BFF3-48C2-4CAB-9649-14169B6746EF}">
  <cacheSource type="worksheet">
    <worksheetSource name="Merge1"/>
  </cacheSource>
  <cacheFields count="7">
    <cacheField name="portfolio_id" numFmtId="0">
      <sharedItems/>
    </cacheField>
    <cacheField name="company_id" numFmtId="0">
      <sharedItems/>
    </cacheField>
    <cacheField name="date" numFmtId="22">
      <sharedItems containsSemiMixedTypes="0" containsNonDate="0" containsDate="1" containsString="0" minDate="2025-01-10T00:00:00" maxDate="2025-06-06T00:00:00"/>
    </cacheField>
    <cacheField name="quantity" numFmtId="0">
      <sharedItems containsSemiMixedTypes="0" containsString="0" containsNumber="1" containsInteger="1" minValue="202" maxValue="934"/>
    </cacheField>
    <cacheField name="fact_daily_prices.company_id" numFmtId="0">
      <sharedItems/>
    </cacheField>
    <cacheField name="fact_daily_prices.close" numFmtId="0">
      <sharedItems containsSemiMixedTypes="0" containsString="0" containsNumber="1" minValue="231.31" maxValue="2198.52"/>
    </cacheField>
    <cacheField name="Quantity_Heild" numFmtId="0">
      <sharedItems containsSemiMixedTypes="0" containsString="0" containsNumber="1" minValue="49380.92" maxValue="2033915.7599999998"/>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 LAKSHMI PRASANNA" refreshedDate="45891.89832083333" createdVersion="8" refreshedVersion="8" minRefreshableVersion="3" recordCount="8" xr:uid="{2B26C6EB-27B7-4E84-B1BC-082992FF18D4}">
  <cacheSource type="worksheet">
    <worksheetSource name="Table16"/>
  </cacheSource>
  <cacheFields count="13">
    <cacheField name="company_id" numFmtId="0">
      <sharedItems count="8">
        <s v="COMP001"/>
        <s v="COMP002"/>
        <s v="COMP003"/>
        <s v="COMP004"/>
        <s v="COMP005"/>
        <s v="COMP006"/>
        <s v="COMP007"/>
        <s v="COMP008"/>
      </sharedItems>
    </cacheField>
    <cacheField name="Initial _Price" numFmtId="22">
      <sharedItems containsSemiMixedTypes="0" containsNonDate="0" containsDate="1" containsString="0" minDate="2025-01-01T00:00:00" maxDate="2025-01-02T00:00:00"/>
    </cacheField>
    <cacheField name="Latest_Price" numFmtId="22">
      <sharedItems containsSemiMixedTypes="0" containsNonDate="0" containsDate="1" containsString="0" minDate="2025-06-30T00:00:00" maxDate="2025-07-01T00:00:00"/>
    </cacheField>
    <cacheField name="initial_Value" numFmtId="2">
      <sharedItems containsSemiMixedTypes="0" containsString="0" containsNumber="1" minValue="110035.88" maxValue="1592095.82"/>
    </cacheField>
    <cacheField name="Latest_Value" numFmtId="2">
      <sharedItems containsSemiMixedTypes="0" containsString="0" containsNumber="1" minValue="118878.22" maxValue="1837813.3900000001"/>
    </cacheField>
    <cacheField name="portfolio_return" numFmtId="10">
      <sharedItems containsSemiMixedTypes="0" containsString="0" containsNumber="1" minValue="-11.42003584943239" maxValue="39.630943931866582"/>
    </cacheField>
    <cacheField name="port" numFmtId="2">
      <sharedItems containsSemiMixedTypes="0" containsString="0" containsNumber="1" minValue="-0.11420035849432389" maxValue="0.3963094393186658"/>
    </cacheField>
    <cacheField name="return rate" numFmtId="2">
      <sharedItems containsSemiMixedTypes="0" containsString="0" containsNumber="1" minValue="-0.16420035849432391" maxValue="0.34630943931866581"/>
    </cacheField>
    <cacheField name="volatility" numFmtId="2">
      <sharedItems containsSemiMixedTypes="0" containsString="0" containsNumber="1" minValue="0.16095558741129645" maxValue="0.16095558741129645"/>
    </cacheField>
    <cacheField name="sharp_ratio" numFmtId="2">
      <sharedItems containsSemiMixedTypes="0" containsString="0" containsNumber="1" minValue="0.31064469897669922" maxValue="0.31064469897669944"/>
    </cacheField>
    <cacheField name="dividend_per_share" numFmtId="0">
      <sharedItems containsSemiMixedTypes="0" containsString="0" containsNumber="1" minValue="0" maxValue="33.880000000000003"/>
    </cacheField>
    <cacheField name="share_price" numFmtId="0">
      <sharedItems containsSemiMixedTypes="0" containsString="0" containsNumber="1" minValue="222.38" maxValue="2271.71"/>
    </cacheField>
    <cacheField name="Column1" numFmtId="2">
      <sharedItems containsSemiMixedTypes="0" containsString="0" containsNumber="1" minValue="0" maxValue="12.015469016997931"/>
    </cacheField>
  </cacheFields>
  <extLst>
    <ext xmlns:x14="http://schemas.microsoft.com/office/spreadsheetml/2009/9/main" uri="{725AE2AE-9491-48be-B2B4-4EB974FC3084}">
      <x14:pivotCacheDefinition pivotCacheId="1876660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0.31494248922377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3">
  <r>
    <x v="0"/>
    <n v="0"/>
    <n v="2226.41"/>
    <n v="2072787.71"/>
    <n v="1"/>
    <x v="0"/>
    <x v="0"/>
    <n v="0"/>
    <n v="2072787.71"/>
    <n v="0"/>
  </r>
  <r>
    <x v="1"/>
    <n v="304197.32"/>
    <n v="0"/>
    <n v="-72398962.159999996"/>
    <n v="0"/>
    <x v="1"/>
    <x v="1"/>
    <n v="72398962.159999996"/>
    <n v="0"/>
    <n v="238"/>
  </r>
  <r>
    <x v="2"/>
    <n v="235665.9"/>
    <n v="0"/>
    <n v="-72113765.399999991"/>
    <n v="0"/>
    <x v="1"/>
    <x v="1"/>
    <n v="72113765.399999991"/>
    <n v="0"/>
    <n v="306"/>
  </r>
  <r>
    <x v="3"/>
    <n v="612835.19999999995"/>
    <n v="0"/>
    <n v="-294160896"/>
    <n v="0"/>
    <x v="1"/>
    <x v="1"/>
    <n v="294160896"/>
    <n v="0"/>
    <n v="480"/>
  </r>
  <r>
    <x v="4"/>
    <n v="389376.68"/>
    <n v="810.71"/>
    <n v="-119209728.38"/>
    <n v="0"/>
    <x v="1"/>
    <x v="2"/>
    <n v="119928017.44"/>
    <n v="718289.06"/>
    <n v="308"/>
  </r>
  <r>
    <x v="5"/>
    <n v="1111581.81"/>
    <n v="226.75"/>
    <n v="-854581249.13999999"/>
    <n v="0"/>
    <x v="1"/>
    <x v="3"/>
    <n v="854806411.88999999"/>
    <n v="225162.75"/>
    <n v="769"/>
  </r>
  <r>
    <x v="6"/>
    <n v="150371.63999999998"/>
    <n v="602.63"/>
    <n v="-15709822.719999999"/>
    <n v="0"/>
    <x v="1"/>
    <x v="4"/>
    <n v="16240137.119999999"/>
    <n v="530314.4"/>
    <n v="108"/>
  </r>
  <r>
    <x v="7"/>
    <n v="239876.94"/>
    <n v="236.99"/>
    <n v="-75045933.719999999"/>
    <n v="0"/>
    <x v="1"/>
    <x v="5"/>
    <n v="75081482.219999999"/>
    <n v="35548.5"/>
    <n v="313"/>
  </r>
  <r>
    <x v="8"/>
    <n v="230554.35"/>
    <n v="0"/>
    <n v="-20058228.449999999"/>
    <n v="0"/>
    <x v="1"/>
    <x v="1"/>
    <n v="20058228.449999999"/>
    <n v="0"/>
    <n v="87"/>
  </r>
  <r>
    <x v="9"/>
    <n v="2634731.84"/>
    <n v="0"/>
    <n v="-2676887549.4400001"/>
    <n v="0"/>
    <x v="1"/>
    <x v="1"/>
    <n v="2676887549.4400001"/>
    <n v="0"/>
    <n v="1016"/>
  </r>
  <r>
    <x v="10"/>
    <n v="0"/>
    <n v="1185.76"/>
    <n v="62845.279999999999"/>
    <n v="1"/>
    <x v="0"/>
    <x v="6"/>
    <n v="0"/>
    <n v="62845.279999999999"/>
    <n v="0"/>
  </r>
  <r>
    <x v="11"/>
    <n v="2317561.0699999998"/>
    <n v="0"/>
    <n v="-2880728410.0099998"/>
    <n v="0"/>
    <x v="1"/>
    <x v="1"/>
    <n v="2880728410.0099998"/>
    <n v="0"/>
    <n v="1243"/>
  </r>
  <r>
    <x v="12"/>
    <n v="0"/>
    <n v="1264.4100000000001"/>
    <n v="2107771.4700000002"/>
    <n v="1"/>
    <x v="0"/>
    <x v="7"/>
    <n v="0"/>
    <n v="2107771.4700000002"/>
    <n v="0"/>
  </r>
  <r>
    <x v="13"/>
    <n v="0"/>
    <n v="2172.1799999999998"/>
    <n v="1935412.38"/>
    <n v="1"/>
    <x v="0"/>
    <x v="8"/>
    <n v="0"/>
    <n v="1935412.38"/>
    <n v="0"/>
  </r>
  <r>
    <x v="14"/>
    <n v="233777.06"/>
    <n v="0"/>
    <n v="-229802849.97999999"/>
    <n v="0"/>
    <x v="1"/>
    <x v="1"/>
    <n v="229802849.97999999"/>
    <n v="0"/>
    <n v="983"/>
  </r>
  <r>
    <x v="15"/>
    <n v="154900.62"/>
    <n v="0"/>
    <n v="-19517478.120000001"/>
    <n v="0"/>
    <x v="1"/>
    <x v="1"/>
    <n v="19517478.120000001"/>
    <n v="0"/>
    <n v="126"/>
  </r>
  <r>
    <x v="16"/>
    <n v="954956.79999999993"/>
    <n v="0"/>
    <n v="-855641292.79999995"/>
    <n v="0"/>
    <x v="1"/>
    <x v="1"/>
    <n v="855641292.79999995"/>
    <n v="0"/>
    <n v="896"/>
  </r>
  <r>
    <x v="17"/>
    <n v="2702540.94"/>
    <n v="0"/>
    <n v="-2051228573.46"/>
    <n v="0"/>
    <x v="1"/>
    <x v="1"/>
    <n v="2051228573.46"/>
    <n v="0"/>
    <n v="759"/>
  </r>
  <r>
    <x v="18"/>
    <n v="0"/>
    <n v="239.25"/>
    <n v="176805.75"/>
    <n v="1"/>
    <x v="0"/>
    <x v="9"/>
    <n v="0"/>
    <n v="176805.75"/>
    <n v="0"/>
  </r>
  <r>
    <x v="19"/>
    <n v="0"/>
    <n v="480.54"/>
    <n v="324364.5"/>
    <n v="1"/>
    <x v="0"/>
    <x v="10"/>
    <n v="0"/>
    <n v="324364.5"/>
    <n v="0"/>
  </r>
  <r>
    <x v="20"/>
    <n v="3799035"/>
    <n v="0"/>
    <n v="-5128697250"/>
    <n v="0"/>
    <x v="1"/>
    <x v="1"/>
    <n v="5128697250"/>
    <n v="0"/>
    <n v="1350"/>
  </r>
  <r>
    <x v="21"/>
    <n v="45379.839999999997"/>
    <n v="0"/>
    <n v="-7986851.8399999999"/>
    <n v="0"/>
    <x v="1"/>
    <x v="1"/>
    <n v="7986851.8399999999"/>
    <n v="0"/>
    <n v="176"/>
  </r>
  <r>
    <x v="22"/>
    <n v="289313.64"/>
    <n v="0"/>
    <n v="-61623805.32"/>
    <n v="0"/>
    <x v="1"/>
    <x v="1"/>
    <n v="61623805.32"/>
    <n v="0"/>
    <n v="213"/>
  </r>
  <r>
    <x v="23"/>
    <n v="493606.1"/>
    <n v="0"/>
    <n v="-186089499.69999999"/>
    <n v="0"/>
    <x v="1"/>
    <x v="1"/>
    <n v="186089499.69999999"/>
    <n v="0"/>
    <n v="377"/>
  </r>
  <r>
    <x v="24"/>
    <n v="0"/>
    <n v="1105.99"/>
    <n v="864884.18"/>
    <n v="1"/>
    <x v="0"/>
    <x v="11"/>
    <n v="0"/>
    <n v="864884.18"/>
    <n v="0"/>
  </r>
  <r>
    <x v="25"/>
    <n v="62611.9"/>
    <n v="0"/>
    <n v="-4069773.5"/>
    <n v="0"/>
    <x v="1"/>
    <x v="1"/>
    <n v="4069773.5"/>
    <n v="0"/>
    <n v="65"/>
  </r>
  <r>
    <x v="26"/>
    <n v="0"/>
    <n v="1317.94"/>
    <n v="369023.2"/>
    <n v="1"/>
    <x v="0"/>
    <x v="12"/>
    <n v="0"/>
    <n v="369023.2"/>
    <n v="0"/>
  </r>
  <r>
    <x v="27"/>
    <n v="2946310.6199999996"/>
    <n v="0"/>
    <n v="-3046485181.0799994"/>
    <n v="0"/>
    <x v="1"/>
    <x v="1"/>
    <n v="3046485181.0799994"/>
    <n v="0"/>
    <n v="1034"/>
  </r>
  <r>
    <x v="28"/>
    <n v="1105795.4000000001"/>
    <n v="0"/>
    <n v="-957618816.4000001"/>
    <n v="0"/>
    <x v="1"/>
    <x v="1"/>
    <n v="957618816.4000001"/>
    <n v="0"/>
    <n v="866"/>
  </r>
  <r>
    <x v="29"/>
    <n v="1338622.3"/>
    <n v="0"/>
    <n v="-1191373847"/>
    <n v="0"/>
    <x v="1"/>
    <x v="1"/>
    <n v="1191373847"/>
    <n v="0"/>
    <n v="890"/>
  </r>
  <r>
    <x v="30"/>
    <n v="569011.05000000005"/>
    <n v="0"/>
    <n v="-486504447.75000006"/>
    <n v="0"/>
    <x v="1"/>
    <x v="1"/>
    <n v="486504447.75000006"/>
    <n v="0"/>
    <n v="855"/>
  </r>
  <r>
    <x v="31"/>
    <n v="191582.82"/>
    <n v="0"/>
    <n v="-158438992.14000002"/>
    <n v="0"/>
    <x v="1"/>
    <x v="1"/>
    <n v="158438992.14000002"/>
    <n v="0"/>
    <n v="827"/>
  </r>
  <r>
    <x v="32"/>
    <n v="0"/>
    <n v="257.04000000000002"/>
    <n v="158850.72"/>
    <n v="1"/>
    <x v="0"/>
    <x v="13"/>
    <n v="0"/>
    <n v="158850.72"/>
    <n v="0"/>
  </r>
  <r>
    <x v="33"/>
    <n v="184010.97"/>
    <n v="0"/>
    <n v="-141136413.99000001"/>
    <n v="0"/>
    <x v="1"/>
    <x v="1"/>
    <n v="141136413.99000001"/>
    <n v="0"/>
    <n v="767"/>
  </r>
  <r>
    <x v="34"/>
    <n v="0"/>
    <n v="2888.7699999999995"/>
    <n v="3111205.2899999996"/>
    <n v="1"/>
    <x v="0"/>
    <x v="14"/>
    <n v="0"/>
    <n v="3111205.2899999996"/>
    <n v="0"/>
  </r>
  <r>
    <x v="35"/>
    <n v="210793.44"/>
    <n v="2172.5700000000002"/>
    <n v="-65485119.18"/>
    <n v="0"/>
    <x v="1"/>
    <x v="15"/>
    <n v="65767553.280000001"/>
    <n v="282434.10000000003"/>
    <n v="312"/>
  </r>
  <r>
    <x v="36"/>
    <n v="240052.84"/>
    <n v="0"/>
    <n v="-106343408.12"/>
    <n v="0"/>
    <x v="1"/>
    <x v="1"/>
    <n v="106343408.12"/>
    <n v="0"/>
    <n v="443"/>
  </r>
  <r>
    <x v="37"/>
    <n v="230006.81999999998"/>
    <n v="0"/>
    <n v="-88092612.059999987"/>
    <n v="0"/>
    <x v="1"/>
    <x v="1"/>
    <n v="88092612.059999987"/>
    <n v="0"/>
    <n v="383"/>
  </r>
  <r>
    <x v="38"/>
    <n v="0"/>
    <n v="1353.28"/>
    <n v="155627.19999999998"/>
    <n v="1"/>
    <x v="0"/>
    <x v="16"/>
    <n v="0"/>
    <n v="155627.19999999998"/>
    <n v="0"/>
  </r>
  <r>
    <x v="39"/>
    <n v="95503.05"/>
    <n v="0"/>
    <n v="-38678735.25"/>
    <n v="0"/>
    <x v="1"/>
    <x v="1"/>
    <n v="38678735.25"/>
    <n v="0"/>
    <n v="405"/>
  </r>
  <r>
    <x v="40"/>
    <n v="255413.76000000001"/>
    <n v="1061.79"/>
    <n v="-114248045.55"/>
    <n v="0"/>
    <x v="1"/>
    <x v="17"/>
    <n v="114425364.48"/>
    <n v="177318.93"/>
    <n v="448"/>
  </r>
  <r>
    <x v="41"/>
    <n v="351538.1"/>
    <n v="0"/>
    <n v="-62925319.899999999"/>
    <n v="0"/>
    <x v="1"/>
    <x v="1"/>
    <n v="62925319.899999999"/>
    <n v="0"/>
    <n v="179"/>
  </r>
  <r>
    <x v="42"/>
    <n v="1103830.2"/>
    <n v="0"/>
    <n v="-596068308"/>
    <n v="0"/>
    <x v="1"/>
    <x v="1"/>
    <n v="596068308"/>
    <n v="0"/>
    <n v="540"/>
  </r>
  <r>
    <x v="43"/>
    <n v="0"/>
    <n v="1230.1199999999999"/>
    <n v="253404.71999999997"/>
    <n v="1"/>
    <x v="0"/>
    <x v="18"/>
    <n v="0"/>
    <n v="253404.71999999997"/>
    <n v="0"/>
  </r>
  <r>
    <x v="44"/>
    <n v="100431.24"/>
    <n v="0"/>
    <n v="-44390608.080000006"/>
    <n v="0"/>
    <x v="1"/>
    <x v="1"/>
    <n v="44390608.080000006"/>
    <n v="0"/>
    <n v="442"/>
  </r>
  <r>
    <x v="45"/>
    <n v="361920"/>
    <n v="0"/>
    <n v="-225838080"/>
    <n v="0"/>
    <x v="1"/>
    <x v="1"/>
    <n v="225838080"/>
    <n v="0"/>
    <n v="624"/>
  </r>
  <r>
    <x v="46"/>
    <n v="0"/>
    <n v="236.56"/>
    <n v="132473.60000000001"/>
    <n v="1"/>
    <x v="0"/>
    <x v="19"/>
    <n v="0"/>
    <n v="132473.60000000001"/>
    <n v="0"/>
  </r>
  <r>
    <x v="47"/>
    <n v="0"/>
    <n v="215.63"/>
    <n v="153744.19"/>
    <n v="1"/>
    <x v="0"/>
    <x v="20"/>
    <n v="0"/>
    <n v="153744.19"/>
    <n v="0"/>
  </r>
  <r>
    <x v="48"/>
    <n v="0"/>
    <n v="1238.8399999999999"/>
    <n v="1235123.48"/>
    <n v="1"/>
    <x v="0"/>
    <x v="21"/>
    <n v="0"/>
    <n v="1235123.48"/>
    <n v="0"/>
  </r>
  <r>
    <x v="49"/>
    <n v="949545.87"/>
    <n v="0"/>
    <n v="-724503498.80999994"/>
    <n v="0"/>
    <x v="1"/>
    <x v="1"/>
    <n v="724503498.80999994"/>
    <n v="0"/>
    <n v="763"/>
  </r>
  <r>
    <x v="50"/>
    <n v="344902.04000000004"/>
    <n v="0"/>
    <n v="-90364334.480000004"/>
    <n v="0"/>
    <x v="1"/>
    <x v="1"/>
    <n v="90364334.480000004"/>
    <n v="0"/>
    <n v="262"/>
  </r>
  <r>
    <x v="51"/>
    <n v="817049.7"/>
    <n v="0"/>
    <n v="-546606249.29999995"/>
    <n v="0"/>
    <x v="1"/>
    <x v="1"/>
    <n v="546606249.29999995"/>
    <n v="0"/>
    <n v="669"/>
  </r>
  <r>
    <x v="52"/>
    <n v="0"/>
    <n v="495.01"/>
    <n v="51481.04"/>
    <n v="1"/>
    <x v="0"/>
    <x v="22"/>
    <n v="0"/>
    <n v="51481.04"/>
    <n v="0"/>
  </r>
  <r>
    <x v="53"/>
    <n v="0"/>
    <n v="1249.6300000000001"/>
    <n v="803512.09000000008"/>
    <n v="1"/>
    <x v="0"/>
    <x v="23"/>
    <n v="0"/>
    <n v="803512.09000000008"/>
    <n v="0"/>
  </r>
  <r>
    <x v="54"/>
    <n v="0"/>
    <n v="227.67"/>
    <n v="160962.69"/>
    <n v="1"/>
    <x v="0"/>
    <x v="24"/>
    <n v="0"/>
    <n v="160962.69"/>
    <n v="0"/>
  </r>
  <r>
    <x v="55"/>
    <n v="128560.04999999999"/>
    <n v="645.04"/>
    <n v="-70054906.609999999"/>
    <n v="0"/>
    <x v="1"/>
    <x v="25"/>
    <n v="70065227.25"/>
    <n v="10320.64"/>
    <n v="545"/>
  </r>
  <r>
    <x v="56"/>
    <n v="0"/>
    <n v="739.55"/>
    <n v="543569.25"/>
    <n v="1"/>
    <x v="0"/>
    <x v="26"/>
    <n v="0"/>
    <n v="543569.25"/>
    <n v="0"/>
  </r>
  <r>
    <x v="57"/>
    <n v="2005058.19"/>
    <n v="0"/>
    <n v="-1878739524.03"/>
    <n v="0"/>
    <x v="1"/>
    <x v="1"/>
    <n v="1878739524.03"/>
    <n v="0"/>
    <n v="937"/>
  </r>
  <r>
    <x v="58"/>
    <n v="0"/>
    <n v="573.79999999999995"/>
    <n v="456744.8"/>
    <n v="1"/>
    <x v="0"/>
    <x v="27"/>
    <n v="0"/>
    <n v="456744.8"/>
    <n v="0"/>
  </r>
  <r>
    <x v="59"/>
    <n v="66034.5"/>
    <n v="0"/>
    <n v="-6933622.5"/>
    <n v="0"/>
    <x v="1"/>
    <x v="1"/>
    <n v="6933622.5"/>
    <n v="0"/>
    <n v="105"/>
  </r>
  <r>
    <x v="60"/>
    <n v="849760.47"/>
    <n v="0"/>
    <n v="-678958615.52999997"/>
    <n v="0"/>
    <x v="1"/>
    <x v="1"/>
    <n v="678958615.52999997"/>
    <n v="0"/>
    <n v="799"/>
  </r>
  <r>
    <x v="61"/>
    <n v="1298161.6199999999"/>
    <n v="0"/>
    <n v="-1281285518.9399998"/>
    <n v="0"/>
    <x v="1"/>
    <x v="1"/>
    <n v="1281285518.9399998"/>
    <n v="0"/>
    <n v="987"/>
  </r>
  <r>
    <x v="62"/>
    <n v="801078.84"/>
    <n v="468.06"/>
    <n v="-292823683.86000001"/>
    <n v="0"/>
    <x v="1"/>
    <x v="28"/>
    <n v="293194855.44"/>
    <n v="371171.58"/>
    <n v="366"/>
  </r>
  <r>
    <x v="63"/>
    <n v="543770.46"/>
    <n v="0"/>
    <n v="-518757018.83999997"/>
    <n v="0"/>
    <x v="1"/>
    <x v="1"/>
    <n v="518757018.83999997"/>
    <n v="0"/>
    <n v="954"/>
  </r>
  <r>
    <x v="64"/>
    <n v="292179"/>
    <n v="2714.2400000000002"/>
    <n v="-80629246.879999995"/>
    <n v="0"/>
    <x v="1"/>
    <x v="29"/>
    <n v="87653700"/>
    <n v="7024453.120000001"/>
    <n v="300"/>
  </r>
  <r>
    <x v="65"/>
    <n v="0"/>
    <n v="2159.0500000000002"/>
    <n v="1021230.6500000001"/>
    <n v="1"/>
    <x v="0"/>
    <x v="30"/>
    <n v="0"/>
    <n v="1021230.6500000001"/>
    <n v="0"/>
  </r>
  <r>
    <x v="66"/>
    <n v="0"/>
    <n v="625.25"/>
    <n v="548969.5"/>
    <n v="1"/>
    <x v="0"/>
    <x v="31"/>
    <n v="0"/>
    <n v="548969.5"/>
    <n v="0"/>
  </r>
  <r>
    <x v="67"/>
    <n v="2391123.54"/>
    <n v="0"/>
    <n v="-2424599269.5599999"/>
    <n v="0"/>
    <x v="1"/>
    <x v="1"/>
    <n v="2424599269.5599999"/>
    <n v="0"/>
    <n v="1014"/>
  </r>
  <r>
    <x v="68"/>
    <n v="1094499.8999999999"/>
    <n v="3491.49"/>
    <n v="-910690090.67999995"/>
    <n v="0"/>
    <x v="1"/>
    <x v="32"/>
    <n v="912812916.5999999"/>
    <n v="2122825.92"/>
    <n v="834"/>
  </r>
  <r>
    <x v="69"/>
    <n v="263654.82"/>
    <n v="1582.66"/>
    <n v="-110664290.73999999"/>
    <n v="0"/>
    <x v="1"/>
    <x v="33"/>
    <n v="113107917.78"/>
    <n v="2443627.04"/>
    <n v="429"/>
  </r>
  <r>
    <x v="70"/>
    <n v="0"/>
    <n v="2326.09"/>
    <n v="3014612.64"/>
    <n v="1"/>
    <x v="0"/>
    <x v="34"/>
    <n v="0"/>
    <n v="3014612.64"/>
    <n v="0"/>
  </r>
  <r>
    <x v="71"/>
    <n v="0"/>
    <n v="630.6"/>
    <n v="602223"/>
    <n v="1"/>
    <x v="0"/>
    <x v="35"/>
    <n v="0"/>
    <n v="602223"/>
    <n v="0"/>
  </r>
  <r>
    <x v="72"/>
    <n v="0"/>
    <n v="1378.7"/>
    <n v="941652.1"/>
    <n v="1"/>
    <x v="0"/>
    <x v="36"/>
    <n v="0"/>
    <n v="941652.1"/>
    <n v="0"/>
  </r>
  <r>
    <x v="73"/>
    <n v="0"/>
    <n v="233.74"/>
    <n v="49552.880000000005"/>
    <n v="1"/>
    <x v="0"/>
    <x v="37"/>
    <n v="0"/>
    <n v="49552.880000000005"/>
    <n v="0"/>
  </r>
  <r>
    <x v="74"/>
    <n v="0"/>
    <n v="1268.8699999999999"/>
    <n v="697878.49999999988"/>
    <n v="1"/>
    <x v="0"/>
    <x v="38"/>
    <n v="0"/>
    <n v="697878.49999999988"/>
    <n v="0"/>
  </r>
  <r>
    <x v="75"/>
    <n v="134649.06"/>
    <n v="551.13"/>
    <n v="-73488074.609999999"/>
    <n v="0"/>
    <x v="1"/>
    <x v="39"/>
    <n v="73518386.760000005"/>
    <n v="30312.15"/>
    <n v="546"/>
  </r>
  <r>
    <x v="76"/>
    <n v="0"/>
    <n v="244.75"/>
    <n v="139507.5"/>
    <n v="1"/>
    <x v="0"/>
    <x v="40"/>
    <n v="0"/>
    <n v="139507.5"/>
    <n v="0"/>
  </r>
  <r>
    <x v="77"/>
    <n v="366868.92000000004"/>
    <n v="0"/>
    <n v="-164724145.08000001"/>
    <n v="0"/>
    <x v="1"/>
    <x v="1"/>
    <n v="164724145.08000001"/>
    <n v="0"/>
    <n v="449"/>
  </r>
  <r>
    <x v="78"/>
    <n v="65431.17"/>
    <n v="0"/>
    <n v="-16946673.030000001"/>
    <n v="0"/>
    <x v="1"/>
    <x v="1"/>
    <n v="16946673.030000001"/>
    <n v="0"/>
    <n v="259"/>
  </r>
  <r>
    <x v="79"/>
    <n v="541032.4800000001"/>
    <n v="0"/>
    <n v="-233726031.36000004"/>
    <n v="0"/>
    <x v="1"/>
    <x v="1"/>
    <n v="233726031.36000004"/>
    <n v="0"/>
    <n v="432"/>
  </r>
  <r>
    <x v="80"/>
    <n v="321507.8"/>
    <n v="0"/>
    <n v="-47583154.399999999"/>
    <n v="0"/>
    <x v="1"/>
    <x v="1"/>
    <n v="47583154.399999999"/>
    <n v="0"/>
    <n v="148"/>
  </r>
  <r>
    <x v="81"/>
    <n v="1948174.15"/>
    <n v="0"/>
    <n v="-2444958558.25"/>
    <n v="0"/>
    <x v="1"/>
    <x v="1"/>
    <n v="2444958558.25"/>
    <n v="0"/>
    <n v="1255"/>
  </r>
  <r>
    <x v="82"/>
    <n v="857006.87"/>
    <n v="0"/>
    <n v="-215108724.37"/>
    <n v="0"/>
    <x v="1"/>
    <x v="1"/>
    <n v="215108724.37"/>
    <n v="0"/>
    <n v="251"/>
  </r>
  <r>
    <x v="83"/>
    <n v="208756.80000000002"/>
    <n v="0"/>
    <n v="-59495688.000000007"/>
    <n v="0"/>
    <x v="1"/>
    <x v="1"/>
    <n v="59495688.000000007"/>
    <n v="0"/>
    <n v="285"/>
  </r>
  <r>
    <x v="84"/>
    <n v="0"/>
    <n v="2582.1999999999998"/>
    <n v="3612497.8"/>
    <n v="1"/>
    <x v="0"/>
    <x v="41"/>
    <n v="0"/>
    <n v="3612497.8"/>
    <n v="0"/>
  </r>
  <r>
    <x v="85"/>
    <n v="0"/>
    <n v="1067.04"/>
    <n v="1907867.52"/>
    <n v="1"/>
    <x v="0"/>
    <x v="42"/>
    <n v="0"/>
    <n v="1907867.52"/>
    <n v="0"/>
  </r>
  <r>
    <x v="86"/>
    <n v="453034.19"/>
    <n v="1345.81"/>
    <n v="-249100002.66"/>
    <n v="0"/>
    <x v="1"/>
    <x v="43"/>
    <n v="250527907.06999999"/>
    <n v="1427904.41"/>
    <n v="553"/>
  </r>
  <r>
    <x v="87"/>
    <n v="0"/>
    <n v="1047.57"/>
    <n v="453597.81"/>
    <n v="1"/>
    <x v="0"/>
    <x v="44"/>
    <n v="0"/>
    <n v="453597.81"/>
    <n v="0"/>
  </r>
  <r>
    <x v="88"/>
    <n v="3443788.16"/>
    <n v="0"/>
    <n v="-4501031125.1199999"/>
    <n v="0"/>
    <x v="1"/>
    <x v="1"/>
    <n v="4501031125.1199999"/>
    <n v="0"/>
    <n v="1307"/>
  </r>
  <r>
    <x v="89"/>
    <n v="1002461.2999999999"/>
    <n v="0"/>
    <n v="-967375154.49999988"/>
    <n v="0"/>
    <x v="1"/>
    <x v="1"/>
    <n v="967375154.49999988"/>
    <n v="0"/>
    <n v="965"/>
  </r>
  <r>
    <x v="90"/>
    <n v="0"/>
    <n v="742.82"/>
    <n v="698250.8"/>
    <n v="1"/>
    <x v="0"/>
    <x v="45"/>
    <n v="0"/>
    <n v="698250.8"/>
    <n v="0"/>
  </r>
  <r>
    <x v="91"/>
    <n v="142262.75"/>
    <n v="0"/>
    <n v="-24895981.25"/>
    <n v="0"/>
    <x v="1"/>
    <x v="1"/>
    <n v="24895981.25"/>
    <n v="0"/>
    <n v="175"/>
  </r>
  <r>
    <x v="92"/>
    <n v="235904.09999999998"/>
    <n v="0"/>
    <n v="-90115366.199999988"/>
    <n v="0"/>
    <x v="1"/>
    <x v="1"/>
    <n v="90115366.199999988"/>
    <n v="0"/>
    <n v="382"/>
  </r>
  <r>
    <x v="93"/>
    <n v="0"/>
    <n v="1233.1099999999999"/>
    <n v="446385.81999999995"/>
    <n v="1"/>
    <x v="0"/>
    <x v="46"/>
    <n v="0"/>
    <n v="446385.81999999995"/>
    <n v="0"/>
  </r>
  <r>
    <x v="94"/>
    <n v="0"/>
    <n v="265.17"/>
    <n v="163344.72"/>
    <n v="1"/>
    <x v="0"/>
    <x v="47"/>
    <n v="0"/>
    <n v="163344.72"/>
    <n v="0"/>
  </r>
  <r>
    <x v="95"/>
    <n v="5321545.9200000009"/>
    <n v="0"/>
    <n v="-11132674064.640001"/>
    <n v="0"/>
    <x v="1"/>
    <x v="1"/>
    <n v="11132674064.640001"/>
    <n v="0"/>
    <n v="2092"/>
  </r>
  <r>
    <x v="96"/>
    <n v="0"/>
    <n v="553.74"/>
    <n v="245860.56"/>
    <n v="1"/>
    <x v="0"/>
    <x v="48"/>
    <n v="0"/>
    <n v="245860.56"/>
    <n v="0"/>
  </r>
  <r>
    <x v="97"/>
    <n v="143764.08000000002"/>
    <n v="232.48"/>
    <n v="-86644730.560000002"/>
    <n v="0"/>
    <x v="1"/>
    <x v="49"/>
    <n v="86833504.320000008"/>
    <n v="188773.75999999998"/>
    <n v="604"/>
  </r>
  <r>
    <x v="98"/>
    <n v="0"/>
    <n v="1028.25"/>
    <n v="891492.75"/>
    <n v="1"/>
    <x v="0"/>
    <x v="50"/>
    <n v="0"/>
    <n v="891492.75"/>
    <n v="0"/>
  </r>
  <r>
    <x v="99"/>
    <n v="106128.75"/>
    <n v="0"/>
    <n v="-48288581.25"/>
    <n v="0"/>
    <x v="1"/>
    <x v="1"/>
    <n v="48288581.25"/>
    <n v="0"/>
    <n v="455"/>
  </r>
  <r>
    <x v="100"/>
    <n v="0"/>
    <n v="453.22"/>
    <n v="73421.64"/>
    <n v="1"/>
    <x v="0"/>
    <x v="51"/>
    <n v="0"/>
    <n v="73421.64"/>
    <n v="0"/>
  </r>
  <r>
    <x v="101"/>
    <n v="128194.9"/>
    <n v="617.54999999999995"/>
    <n v="-69366005"/>
    <n v="0"/>
    <x v="1"/>
    <x v="52"/>
    <n v="69866220.5"/>
    <n v="500215.49999999994"/>
    <n v="545"/>
  </r>
  <r>
    <x v="102"/>
    <n v="217971"/>
    <n v="0"/>
    <n v="-195519987"/>
    <n v="0"/>
    <x v="1"/>
    <x v="1"/>
    <n v="195519987"/>
    <n v="0"/>
    <n v="897"/>
  </r>
  <r>
    <x v="103"/>
    <n v="460893.3"/>
    <n v="571.29"/>
    <n v="-325687602.86999995"/>
    <n v="0"/>
    <x v="1"/>
    <x v="53"/>
    <n v="325851563.09999996"/>
    <n v="163960.22999999998"/>
    <n v="707"/>
  </r>
  <r>
    <x v="104"/>
    <n v="3437373.36"/>
    <n v="0"/>
    <n v="-4970441878.5599995"/>
    <n v="0"/>
    <x v="1"/>
    <x v="1"/>
    <n v="4970441878.5599995"/>
    <n v="0"/>
    <n v="1446"/>
  </r>
  <r>
    <x v="105"/>
    <n v="528272.70000000007"/>
    <n v="0"/>
    <n v="-459597249.00000006"/>
    <n v="0"/>
    <x v="1"/>
    <x v="1"/>
    <n v="459597249.00000006"/>
    <n v="0"/>
    <n v="870"/>
  </r>
  <r>
    <x v="106"/>
    <n v="0"/>
    <n v="1421.4499999999998"/>
    <n v="1289255.1499999999"/>
    <n v="1"/>
    <x v="0"/>
    <x v="54"/>
    <n v="0"/>
    <n v="1289255.1499999999"/>
    <n v="0"/>
  </r>
  <r>
    <x v="107"/>
    <n v="0"/>
    <n v="644.04"/>
    <n v="592516.79999999993"/>
    <n v="1"/>
    <x v="0"/>
    <x v="55"/>
    <n v="0"/>
    <n v="592516.79999999993"/>
    <n v="0"/>
  </r>
  <r>
    <x v="108"/>
    <n v="189650.5"/>
    <n v="0"/>
    <n v="-154565157.5"/>
    <n v="0"/>
    <x v="1"/>
    <x v="1"/>
    <n v="154565157.5"/>
    <n v="0"/>
    <n v="815"/>
  </r>
  <r>
    <x v="109"/>
    <n v="0"/>
    <n v="608.29"/>
    <n v="549285.87"/>
    <n v="1"/>
    <x v="0"/>
    <x v="56"/>
    <n v="0"/>
    <n v="549285.87"/>
    <n v="0"/>
  </r>
  <r>
    <x v="110"/>
    <n v="292539.39999999997"/>
    <n v="0"/>
    <n v="-99463395.999999985"/>
    <n v="0"/>
    <x v="1"/>
    <x v="1"/>
    <n v="99463395.999999985"/>
    <n v="0"/>
    <n v="340"/>
  </r>
  <r>
    <x v="111"/>
    <n v="0"/>
    <n v="806.08"/>
    <n v="412712.96000000002"/>
    <n v="1"/>
    <x v="0"/>
    <x v="57"/>
    <n v="0"/>
    <n v="412712.96000000002"/>
    <n v="0"/>
  </r>
  <r>
    <x v="112"/>
    <n v="0"/>
    <n v="258.60000000000002"/>
    <n v="77838.600000000006"/>
    <n v="1"/>
    <x v="0"/>
    <x v="58"/>
    <n v="0"/>
    <n v="77838.600000000006"/>
    <n v="0"/>
  </r>
  <r>
    <x v="113"/>
    <n v="0"/>
    <n v="801.23"/>
    <n v="743541.44000000006"/>
    <n v="1"/>
    <x v="0"/>
    <x v="59"/>
    <n v="0"/>
    <n v="743541.44000000006"/>
    <n v="0"/>
  </r>
  <r>
    <x v="114"/>
    <n v="0"/>
    <n v="1248.3900000000001"/>
    <n v="146061.63"/>
    <n v="1"/>
    <x v="0"/>
    <x v="60"/>
    <n v="0"/>
    <n v="146061.63"/>
    <n v="0"/>
  </r>
  <r>
    <x v="115"/>
    <n v="124918.43000000001"/>
    <n v="0"/>
    <n v="-11367577.130000001"/>
    <n v="0"/>
    <x v="1"/>
    <x v="1"/>
    <n v="11367577.130000001"/>
    <n v="0"/>
    <n v="91"/>
  </r>
  <r>
    <x v="116"/>
    <n v="243750.39"/>
    <n v="601.14"/>
    <n v="-95231236.230000004"/>
    <n v="0"/>
    <x v="1"/>
    <x v="61"/>
    <n v="95793903.270000011"/>
    <n v="562667.04"/>
    <n v="393"/>
  </r>
  <r>
    <x v="117"/>
    <n v="30460.22"/>
    <n v="1399.8400000000001"/>
    <n v="666831.96"/>
    <n v="1"/>
    <x v="0"/>
    <x v="62"/>
    <n v="426443.08"/>
    <n v="1093275.04"/>
    <n v="14"/>
  </r>
  <r>
    <x v="118"/>
    <n v="0"/>
    <n v="756.15"/>
    <n v="530817.29999999993"/>
    <n v="1"/>
    <x v="0"/>
    <x v="63"/>
    <n v="0"/>
    <n v="530817.29999999993"/>
    <n v="0"/>
  </r>
  <r>
    <x v="119"/>
    <n v="106744.96000000001"/>
    <n v="540.29999999999995"/>
    <n v="-47363567.680000007"/>
    <n v="0"/>
    <x v="1"/>
    <x v="64"/>
    <n v="47821742.080000006"/>
    <n v="458174.39999999997"/>
    <n v="448"/>
  </r>
  <r>
    <x v="120"/>
    <n v="159068.44"/>
    <n v="0"/>
    <n v="-103712622.88"/>
    <n v="0"/>
    <x v="1"/>
    <x v="1"/>
    <n v="103712622.88"/>
    <n v="0"/>
    <n v="652"/>
  </r>
  <r>
    <x v="121"/>
    <n v="79351.460000000006"/>
    <n v="0"/>
    <n v="-9363472.2800000012"/>
    <n v="0"/>
    <x v="1"/>
    <x v="1"/>
    <n v="9363472.2800000012"/>
    <n v="0"/>
    <n v="118"/>
  </r>
  <r>
    <x v="122"/>
    <n v="446488.05"/>
    <n v="0"/>
    <n v="-392462995.94999999"/>
    <n v="0"/>
    <x v="1"/>
    <x v="1"/>
    <n v="392462995.94999999"/>
    <n v="0"/>
    <n v="879"/>
  </r>
  <r>
    <x v="123"/>
    <n v="1567710.21"/>
    <n v="0"/>
    <n v="-1095829436.79"/>
    <n v="0"/>
    <x v="1"/>
    <x v="1"/>
    <n v="1095829436.79"/>
    <n v="0"/>
    <n v="699"/>
  </r>
  <r>
    <x v="124"/>
    <n v="0"/>
    <n v="766.69"/>
    <n v="510615.54000000004"/>
    <n v="1"/>
    <x v="0"/>
    <x v="65"/>
    <n v="0"/>
    <n v="510615.54000000004"/>
    <n v="0"/>
  </r>
  <r>
    <x v="125"/>
    <n v="0"/>
    <n v="897.61"/>
    <n v="832982.08"/>
    <n v="1"/>
    <x v="0"/>
    <x v="59"/>
    <n v="0"/>
    <n v="832982.08"/>
    <n v="0"/>
  </r>
  <r>
    <x v="126"/>
    <n v="2509476"/>
    <n v="0"/>
    <n v="-3011371200"/>
    <n v="0"/>
    <x v="1"/>
    <x v="1"/>
    <n v="3011371200"/>
    <n v="0"/>
    <n v="1200"/>
  </r>
  <r>
    <x v="127"/>
    <n v="1594462.66"/>
    <n v="1989.4"/>
    <n v="-1148332372.4599998"/>
    <n v="0"/>
    <x v="1"/>
    <x v="66"/>
    <n v="1149607577.8599999"/>
    <n v="1275205.4000000001"/>
    <n v="721"/>
  </r>
  <r>
    <x v="128"/>
    <n v="0"/>
    <n v="1298.26"/>
    <n v="499830.1"/>
    <n v="1"/>
    <x v="0"/>
    <x v="67"/>
    <n v="0"/>
    <n v="499830.1"/>
    <n v="0"/>
  </r>
  <r>
    <x v="129"/>
    <n v="1194981.5999999999"/>
    <n v="0"/>
    <n v="-707429107.19999993"/>
    <n v="0"/>
    <x v="1"/>
    <x v="1"/>
    <n v="707429107.19999993"/>
    <n v="0"/>
    <n v="592"/>
  </r>
  <r>
    <x v="130"/>
    <n v="959692.80000000005"/>
    <n v="0"/>
    <n v="-681381888"/>
    <n v="0"/>
    <x v="1"/>
    <x v="1"/>
    <n v="681381888"/>
    <n v="0"/>
    <n v="710"/>
  </r>
  <r>
    <x v="131"/>
    <n v="0"/>
    <n v="3581.4900000000002"/>
    <n v="5515494.6000000006"/>
    <n v="1"/>
    <x v="0"/>
    <x v="68"/>
    <n v="0"/>
    <n v="5515494.6000000006"/>
    <n v="0"/>
  </r>
  <r>
    <x v="132"/>
    <n v="953720.57000000007"/>
    <n v="0"/>
    <n v="-1143510963.4300001"/>
    <n v="0"/>
    <x v="1"/>
    <x v="1"/>
    <n v="1143510963.4300001"/>
    <n v="0"/>
    <n v="1199"/>
  </r>
  <r>
    <x v="133"/>
    <n v="0"/>
    <n v="4625.1400000000003"/>
    <n v="9384409.0600000005"/>
    <n v="1"/>
    <x v="0"/>
    <x v="69"/>
    <n v="0"/>
    <n v="9384409.0600000005"/>
    <n v="0"/>
  </r>
  <r>
    <x v="134"/>
    <n v="0"/>
    <n v="584.11"/>
    <n v="494157.06"/>
    <n v="1"/>
    <x v="0"/>
    <x v="70"/>
    <n v="0"/>
    <n v="494157.06"/>
    <n v="0"/>
  </r>
  <r>
    <x v="135"/>
    <n v="0"/>
    <n v="1316.23"/>
    <n v="1024026.9400000001"/>
    <n v="1"/>
    <x v="0"/>
    <x v="71"/>
    <n v="0"/>
    <n v="1024026.9400000001"/>
    <n v="0"/>
  </r>
  <r>
    <x v="136"/>
    <n v="3502674.5599999996"/>
    <n v="0"/>
    <n v="-5240001141.7599993"/>
    <n v="0"/>
    <x v="1"/>
    <x v="1"/>
    <n v="5240001141.7599993"/>
    <n v="0"/>
    <n v="1496"/>
  </r>
  <r>
    <x v="137"/>
    <n v="211119.30000000002"/>
    <n v="0"/>
    <n v="-66502579.500000007"/>
    <n v="0"/>
    <x v="1"/>
    <x v="1"/>
    <n v="66502579.500000007"/>
    <n v="0"/>
    <n v="315"/>
  </r>
  <r>
    <x v="138"/>
    <n v="0"/>
    <n v="783.15000000000009"/>
    <n v="746341.95000000007"/>
    <n v="1"/>
    <x v="0"/>
    <x v="72"/>
    <n v="0"/>
    <n v="746341.95000000007"/>
    <n v="0"/>
  </r>
  <r>
    <x v="139"/>
    <n v="848162.47000000009"/>
    <n v="0"/>
    <n v="-533494193.63000005"/>
    <n v="0"/>
    <x v="1"/>
    <x v="1"/>
    <n v="533494193.63000005"/>
    <n v="0"/>
    <n v="629"/>
  </r>
  <r>
    <x v="140"/>
    <n v="737025.8"/>
    <n v="0"/>
    <n v="-717863129.20000005"/>
    <n v="0"/>
    <x v="1"/>
    <x v="1"/>
    <n v="717863129.20000005"/>
    <n v="0"/>
    <n v="974"/>
  </r>
  <r>
    <x v="141"/>
    <n v="620826.70000000007"/>
    <n v="0"/>
    <n v="-298617642.70000005"/>
    <n v="0"/>
    <x v="1"/>
    <x v="1"/>
    <n v="298617642.70000005"/>
    <n v="0"/>
    <n v="481"/>
  </r>
  <r>
    <x v="142"/>
    <n v="199905.69999999998"/>
    <n v="0"/>
    <n v="-168120693.69999999"/>
    <n v="0"/>
    <x v="1"/>
    <x v="1"/>
    <n v="168120693.69999999"/>
    <n v="0"/>
    <n v="841"/>
  </r>
  <r>
    <x v="143"/>
    <n v="1456622.39"/>
    <n v="0"/>
    <n v="-1880499505.4899998"/>
    <n v="0"/>
    <x v="1"/>
    <x v="1"/>
    <n v="1880499505.4899998"/>
    <n v="0"/>
    <n v="1291"/>
  </r>
  <r>
    <x v="144"/>
    <n v="1673461.1"/>
    <n v="245.53"/>
    <n v="-1367177451.78"/>
    <n v="0"/>
    <x v="1"/>
    <x v="73"/>
    <n v="1367217718.7"/>
    <n v="40266.92"/>
    <n v="817"/>
  </r>
  <r>
    <x v="145"/>
    <n v="599459.06000000006"/>
    <n v="0"/>
    <n v="-431011064.14000005"/>
    <n v="0"/>
    <x v="1"/>
    <x v="1"/>
    <n v="431011064.14000005"/>
    <n v="0"/>
    <n v="719"/>
  </r>
  <r>
    <x v="146"/>
    <n v="0"/>
    <n v="647.63"/>
    <n v="509684.81"/>
    <n v="1"/>
    <x v="0"/>
    <x v="74"/>
    <n v="0"/>
    <n v="509684.81"/>
    <n v="0"/>
  </r>
  <r>
    <x v="147"/>
    <n v="396172.79999999999"/>
    <n v="540.99"/>
    <n v="-112410455.22"/>
    <n v="0"/>
    <x v="1"/>
    <x v="75"/>
    <n v="112909248"/>
    <n v="498792.78"/>
    <n v="285"/>
  </r>
  <r>
    <x v="148"/>
    <n v="427546.6"/>
    <n v="2099.87"/>
    <n v="-241747409.90999997"/>
    <n v="0"/>
    <x v="1"/>
    <x v="76"/>
    <n v="243274015.39999998"/>
    <n v="1526605.49"/>
    <n v="569"/>
  </r>
  <r>
    <x v="149"/>
    <n v="0"/>
    <n v="1426.78"/>
    <n v="2489731.1"/>
    <n v="1"/>
    <x v="0"/>
    <x v="77"/>
    <n v="0"/>
    <n v="2489731.1"/>
    <n v="0"/>
  </r>
  <r>
    <x v="150"/>
    <n v="102303.45"/>
    <n v="0"/>
    <n v="-15652427.85"/>
    <n v="0"/>
    <x v="1"/>
    <x v="1"/>
    <n v="15652427.85"/>
    <n v="0"/>
    <n v="153"/>
  </r>
  <r>
    <x v="151"/>
    <n v="0"/>
    <n v="993.17"/>
    <n v="717068.74"/>
    <n v="1"/>
    <x v="0"/>
    <x v="78"/>
    <n v="0"/>
    <n v="717068.74"/>
    <n v="0"/>
  </r>
  <r>
    <x v="152"/>
    <n v="102085.92"/>
    <n v="0"/>
    <n v="-44101117.439999998"/>
    <n v="0"/>
    <x v="1"/>
    <x v="1"/>
    <n v="44101117.439999998"/>
    <n v="0"/>
    <n v="432"/>
  </r>
  <r>
    <x v="153"/>
    <n v="0"/>
    <n v="1599.33"/>
    <n v="419024.45999999996"/>
    <n v="1"/>
    <x v="0"/>
    <x v="79"/>
    <n v="0"/>
    <n v="419024.45999999996"/>
    <n v="0"/>
  </r>
  <r>
    <x v="154"/>
    <n v="23374.890000000003"/>
    <n v="0"/>
    <n v="-2314114.1100000003"/>
    <n v="0"/>
    <x v="1"/>
    <x v="1"/>
    <n v="2314114.1100000003"/>
    <n v="0"/>
    <n v="99"/>
  </r>
  <r>
    <x v="155"/>
    <n v="0"/>
    <n v="2174.5700000000002"/>
    <n v="1167744.0900000001"/>
    <n v="1"/>
    <x v="0"/>
    <x v="80"/>
    <n v="0"/>
    <n v="1167744.0900000001"/>
    <n v="0"/>
  </r>
  <r>
    <x v="156"/>
    <n v="0"/>
    <n v="227.17"/>
    <n v="129486.9"/>
    <n v="1"/>
    <x v="0"/>
    <x v="40"/>
    <n v="0"/>
    <n v="129486.9"/>
    <n v="0"/>
  </r>
  <r>
    <x v="157"/>
    <n v="210302.12"/>
    <n v="0"/>
    <n v="-60356708.439999998"/>
    <n v="0"/>
    <x v="1"/>
    <x v="1"/>
    <n v="60356708.439999998"/>
    <n v="0"/>
    <n v="287"/>
  </r>
  <r>
    <x v="158"/>
    <n v="893936.16"/>
    <n v="0"/>
    <n v="-615922014.24000001"/>
    <n v="0"/>
    <x v="1"/>
    <x v="1"/>
    <n v="615922014.24000001"/>
    <n v="0"/>
    <n v="689"/>
  </r>
  <r>
    <x v="159"/>
    <n v="1480821.3199999998"/>
    <n v="0"/>
    <n v="-916628397.07999992"/>
    <n v="0"/>
    <x v="1"/>
    <x v="1"/>
    <n v="916628397.07999992"/>
    <n v="0"/>
    <n v="619"/>
  </r>
  <r>
    <x v="160"/>
    <n v="0"/>
    <n v="3054.11"/>
    <n v="5784484.3399999999"/>
    <n v="1"/>
    <x v="0"/>
    <x v="81"/>
    <n v="0"/>
    <n v="5784484.3399999999"/>
    <n v="0"/>
  </r>
  <r>
    <x v="161"/>
    <n v="1295701.92"/>
    <n v="0"/>
    <n v="-839614844.15999997"/>
    <n v="0"/>
    <x v="1"/>
    <x v="1"/>
    <n v="839614844.15999997"/>
    <n v="0"/>
    <n v="648"/>
  </r>
  <r>
    <x v="162"/>
    <n v="44333.46"/>
    <n v="596.24"/>
    <n v="-2318919.46"/>
    <n v="0"/>
    <x v="1"/>
    <x v="82"/>
    <n v="2527007.2199999997"/>
    <n v="208087.76"/>
    <n v="57"/>
  </r>
  <r>
    <x v="163"/>
    <n v="630176.6399999999"/>
    <n v="2148.14"/>
    <n v="-593838455.83999979"/>
    <n v="0"/>
    <x v="1"/>
    <x v="83"/>
    <n v="594886748.15999985"/>
    <n v="1048292.32"/>
    <n v="944"/>
  </r>
  <r>
    <x v="164"/>
    <n v="1521086.5999999996"/>
    <n v="0"/>
    <n v="-1539339639.1999996"/>
    <n v="0"/>
    <x v="1"/>
    <x v="1"/>
    <n v="1539339639.1999996"/>
    <n v="0"/>
    <n v="1012"/>
  </r>
  <r>
    <x v="165"/>
    <n v="0"/>
    <n v="238.22"/>
    <n v="120777.54"/>
    <n v="1"/>
    <x v="0"/>
    <x v="84"/>
    <n v="0"/>
    <n v="120777.54"/>
    <n v="0"/>
  </r>
  <r>
    <x v="166"/>
    <n v="518723.18999999994"/>
    <n v="585.70000000000005"/>
    <n v="-200329441.82999998"/>
    <n v="0"/>
    <x v="1"/>
    <x v="85"/>
    <n v="200745874.52999997"/>
    <n v="416432.7"/>
    <n v="387"/>
  </r>
  <r>
    <x v="167"/>
    <n v="867110.6399999999"/>
    <n v="0"/>
    <n v="-1564267594.5599997"/>
    <n v="0"/>
    <x v="1"/>
    <x v="1"/>
    <n v="1564267594.5599997"/>
    <n v="0"/>
    <n v="1804"/>
  </r>
  <r>
    <x v="168"/>
    <n v="432758.04000000004"/>
    <n v="0"/>
    <n v="-247537598.88000003"/>
    <n v="0"/>
    <x v="1"/>
    <x v="1"/>
    <n v="247537598.88000003"/>
    <n v="0"/>
    <n v="572"/>
  </r>
  <r>
    <x v="169"/>
    <n v="1712533.68"/>
    <n v="233.9"/>
    <n v="-1356288081.0599999"/>
    <n v="0"/>
    <x v="1"/>
    <x v="86"/>
    <n v="1356326674.5599999"/>
    <n v="38593.5"/>
    <n v="792"/>
  </r>
  <r>
    <x v="170"/>
    <n v="0"/>
    <n v="244.94"/>
    <n v="238081.68"/>
    <n v="1"/>
    <x v="0"/>
    <x v="87"/>
    <n v="0"/>
    <n v="238081.68"/>
    <n v="0"/>
  </r>
  <r>
    <x v="171"/>
    <n v="337596"/>
    <n v="1302.05"/>
    <n v="-187818114.55000001"/>
    <n v="0"/>
    <x v="1"/>
    <x v="88"/>
    <n v="189053760"/>
    <n v="1235645.45"/>
    <n v="560"/>
  </r>
  <r>
    <x v="172"/>
    <n v="764509.84"/>
    <n v="231.98"/>
    <n v="-736905364.84000003"/>
    <n v="0"/>
    <x v="1"/>
    <x v="89"/>
    <n v="736987485.75999999"/>
    <n v="82120.92"/>
    <n v="964"/>
  </r>
  <r>
    <x v="173"/>
    <n v="0"/>
    <n v="234.26"/>
    <n v="206148.8"/>
    <n v="1"/>
    <x v="0"/>
    <x v="4"/>
    <n v="0"/>
    <n v="206148.8"/>
    <n v="0"/>
  </r>
  <r>
    <x v="174"/>
    <n v="196785.59"/>
    <n v="0"/>
    <n v="-165496681.19"/>
    <n v="0"/>
    <x v="1"/>
    <x v="1"/>
    <n v="165496681.19"/>
    <n v="0"/>
    <n v="841"/>
  </r>
  <r>
    <x v="175"/>
    <n v="278089.60000000003"/>
    <n v="0"/>
    <n v="-119578528.00000001"/>
    <n v="0"/>
    <x v="1"/>
    <x v="1"/>
    <n v="119578528.00000001"/>
    <n v="0"/>
    <n v="430"/>
  </r>
  <r>
    <x v="176"/>
    <n v="218457"/>
    <n v="0"/>
    <n v="-203165010"/>
    <n v="0"/>
    <x v="1"/>
    <x v="1"/>
    <n v="203165010"/>
    <n v="0"/>
    <n v="930"/>
  </r>
  <r>
    <x v="177"/>
    <n v="0"/>
    <n v="1231.9000000000001"/>
    <n v="41884.600000000006"/>
    <n v="1"/>
    <x v="0"/>
    <x v="90"/>
    <n v="0"/>
    <n v="41884.600000000006"/>
    <n v="0"/>
  </r>
  <r>
    <x v="178"/>
    <n v="2027281.08"/>
    <n v="1285.5"/>
    <n v="-1828502123.1600001"/>
    <n v="0"/>
    <x v="1"/>
    <x v="91"/>
    <n v="1828607534.1600001"/>
    <n v="105411"/>
    <n v="902"/>
  </r>
  <r>
    <x v="179"/>
    <n v="355636.26"/>
    <n v="627.29999999999995"/>
    <n v="-126393811.02000001"/>
    <n v="0"/>
    <x v="1"/>
    <x v="92"/>
    <n v="126962144.82000001"/>
    <n v="568333.79999999993"/>
    <n v="357"/>
  </r>
  <r>
    <x v="180"/>
    <n v="0"/>
    <n v="2156.16"/>
    <n v="1696897.92"/>
    <n v="1"/>
    <x v="0"/>
    <x v="74"/>
    <n v="0"/>
    <n v="1696897.92"/>
    <n v="0"/>
  </r>
  <r>
    <x v="181"/>
    <n v="515562.05999999994"/>
    <n v="1415.6399999999999"/>
    <n v="-393881727.29999995"/>
    <n v="0"/>
    <x v="1"/>
    <x v="93"/>
    <n v="395436100.01999998"/>
    <n v="1554372.72"/>
    <n v="767"/>
  </r>
  <r>
    <x v="182"/>
    <n v="198653.55000000002"/>
    <n v="0"/>
    <n v="-162299950.35000002"/>
    <n v="0"/>
    <x v="1"/>
    <x v="1"/>
    <n v="162299950.35000002"/>
    <n v="0"/>
    <n v="817"/>
  </r>
  <r>
    <x v="183"/>
    <n v="626046.89"/>
    <n v="0"/>
    <n v="-619160374.21000004"/>
    <n v="0"/>
    <x v="1"/>
    <x v="1"/>
    <n v="619160374.21000004"/>
    <n v="0"/>
    <n v="989"/>
  </r>
  <r>
    <x v="184"/>
    <n v="60152.5"/>
    <n v="0"/>
    <n v="-3007625"/>
    <n v="0"/>
    <x v="1"/>
    <x v="1"/>
    <n v="3007625"/>
    <n v="0"/>
    <n v="50"/>
  </r>
  <r>
    <x v="185"/>
    <n v="551556.23"/>
    <n v="232.29"/>
    <n v="-506795854.10000002"/>
    <n v="0"/>
    <x v="1"/>
    <x v="94"/>
    <n v="506880175.37"/>
    <n v="84321.27"/>
    <n v="919"/>
  </r>
  <r>
    <x v="186"/>
    <n v="178332.12"/>
    <n v="0"/>
    <n v="-50646322.079999998"/>
    <n v="0"/>
    <x v="1"/>
    <x v="1"/>
    <n v="50646322.079999998"/>
    <n v="0"/>
    <n v="284"/>
  </r>
  <r>
    <x v="187"/>
    <n v="73303.12"/>
    <n v="1038.8"/>
    <n v="-5616518.1600000001"/>
    <n v="0"/>
    <x v="1"/>
    <x v="95"/>
    <n v="6450674.5599999996"/>
    <n v="834156.39999999991"/>
    <n v="88"/>
  </r>
  <r>
    <x v="188"/>
    <n v="197964.4"/>
    <n v="814.88"/>
    <n v="-161578673.75999999"/>
    <n v="0"/>
    <x v="1"/>
    <x v="96"/>
    <n v="162330808"/>
    <n v="752134.24"/>
    <n v="820"/>
  </r>
  <r>
    <x v="189"/>
    <n v="0"/>
    <n v="1236.33"/>
    <n v="1420543.17"/>
    <n v="1"/>
    <x v="0"/>
    <x v="97"/>
    <n v="0"/>
    <n v="1420543.17"/>
    <n v="0"/>
  </r>
  <r>
    <x v="190"/>
    <n v="327392.52"/>
    <n v="2503.21"/>
    <n v="-176335711.85000002"/>
    <n v="0"/>
    <x v="1"/>
    <x v="98"/>
    <n v="178756315.92000002"/>
    <n v="2420604.0699999998"/>
    <n v="546"/>
  </r>
  <r>
    <x v="191"/>
    <n v="0"/>
    <n v="2123.2399999999998"/>
    <n v="496838.16"/>
    <n v="1"/>
    <x v="0"/>
    <x v="99"/>
    <n v="0"/>
    <n v="496838.16"/>
    <n v="0"/>
  </r>
  <r>
    <x v="192"/>
    <n v="534716.27999999991"/>
    <n v="0"/>
    <n v="-501563870.63999993"/>
    <n v="0"/>
    <x v="1"/>
    <x v="1"/>
    <n v="501563870.63999993"/>
    <n v="0"/>
    <n v="938"/>
  </r>
  <r>
    <x v="193"/>
    <n v="0"/>
    <n v="1994.02"/>
    <n v="175473.76"/>
    <n v="1"/>
    <x v="0"/>
    <x v="100"/>
    <n v="0"/>
    <n v="175473.76"/>
    <n v="0"/>
  </r>
  <r>
    <x v="194"/>
    <n v="251941.62"/>
    <n v="0"/>
    <n v="-82888792.980000004"/>
    <n v="0"/>
    <x v="1"/>
    <x v="1"/>
    <n v="82888792.980000004"/>
    <n v="0"/>
    <n v="329"/>
  </r>
  <r>
    <x v="195"/>
    <n v="0"/>
    <n v="631.78"/>
    <n v="605877.02"/>
    <n v="1"/>
    <x v="0"/>
    <x v="101"/>
    <n v="0"/>
    <n v="605877.02"/>
    <n v="0"/>
  </r>
  <r>
    <x v="196"/>
    <n v="752258.88"/>
    <n v="0"/>
    <n v="-561937383.36000001"/>
    <n v="0"/>
    <x v="1"/>
    <x v="1"/>
    <n v="561937383.36000001"/>
    <n v="0"/>
    <n v="747"/>
  </r>
  <r>
    <x v="197"/>
    <n v="1578621.3900000001"/>
    <n v="0"/>
    <n v="-1936968445.5300002"/>
    <n v="0"/>
    <x v="1"/>
    <x v="1"/>
    <n v="1936968445.5300002"/>
    <n v="0"/>
    <n v="1227"/>
  </r>
  <r>
    <x v="198"/>
    <n v="0"/>
    <n v="639.54"/>
    <n v="196338.78"/>
    <n v="1"/>
    <x v="0"/>
    <x v="102"/>
    <n v="0"/>
    <n v="196338.78"/>
    <n v="0"/>
  </r>
  <r>
    <x v="199"/>
    <n v="226064.25"/>
    <n v="0"/>
    <n v="-217699872.75"/>
    <n v="0"/>
    <x v="1"/>
    <x v="1"/>
    <n v="217699872.75"/>
    <n v="0"/>
    <n v="963"/>
  </r>
  <r>
    <x v="200"/>
    <n v="480780.13999999996"/>
    <n v="0"/>
    <n v="-395682055.21999997"/>
    <n v="0"/>
    <x v="1"/>
    <x v="1"/>
    <n v="395682055.21999997"/>
    <n v="0"/>
    <n v="823"/>
  </r>
  <r>
    <x v="201"/>
    <n v="0"/>
    <n v="246.71"/>
    <n v="71299.19"/>
    <n v="1"/>
    <x v="0"/>
    <x v="103"/>
    <n v="0"/>
    <n v="71299.19"/>
    <n v="0"/>
  </r>
  <r>
    <x v="202"/>
    <n v="1424488.8"/>
    <n v="0"/>
    <n v="-1675198828.8"/>
    <n v="0"/>
    <x v="1"/>
    <x v="1"/>
    <n v="1675198828.8"/>
    <n v="0"/>
    <n v="1176"/>
  </r>
  <r>
    <x v="203"/>
    <n v="0"/>
    <n v="486.92"/>
    <n v="215218.64"/>
    <n v="1"/>
    <x v="0"/>
    <x v="104"/>
    <n v="0"/>
    <n v="215218.64"/>
    <n v="0"/>
  </r>
  <r>
    <x v="204"/>
    <n v="0"/>
    <n v="1193.78"/>
    <n v="1049332.6199999999"/>
    <n v="1"/>
    <x v="0"/>
    <x v="105"/>
    <n v="0"/>
    <n v="1049332.6199999999"/>
    <n v="0"/>
  </r>
  <r>
    <x v="205"/>
    <n v="558796.82999999996"/>
    <n v="0"/>
    <n v="-300073897.70999998"/>
    <n v="0"/>
    <x v="1"/>
    <x v="1"/>
    <n v="300073897.70999998"/>
    <n v="0"/>
    <n v="537"/>
  </r>
  <r>
    <x v="206"/>
    <n v="579839.46"/>
    <n v="1366.78"/>
    <n v="-273524961.33999997"/>
    <n v="0"/>
    <x v="1"/>
    <x v="106"/>
    <n v="274843904.03999996"/>
    <n v="1318942.7"/>
    <n v="474"/>
  </r>
  <r>
    <x v="207"/>
    <n v="0"/>
    <n v="2383.3000000000002"/>
    <n v="1000986.0000000001"/>
    <n v="1"/>
    <x v="0"/>
    <x v="107"/>
    <n v="0"/>
    <n v="1000986.0000000001"/>
    <n v="0"/>
  </r>
  <r>
    <x v="208"/>
    <n v="1375172.26"/>
    <n v="0"/>
    <n v="-1164770904.22"/>
    <n v="0"/>
    <x v="1"/>
    <x v="1"/>
    <n v="1164770904.22"/>
    <n v="0"/>
    <n v="847"/>
  </r>
  <r>
    <x v="209"/>
    <n v="399132.8"/>
    <n v="0"/>
    <n v="-127323363.2"/>
    <n v="0"/>
    <x v="1"/>
    <x v="1"/>
    <n v="127323363.2"/>
    <n v="0"/>
    <n v="319"/>
  </r>
  <r>
    <x v="210"/>
    <n v="180775.44"/>
    <n v="2205.96"/>
    <n v="-138245866.92000002"/>
    <n v="0"/>
    <x v="1"/>
    <x v="108"/>
    <n v="139920190.56"/>
    <n v="1674323.6400000001"/>
    <n v="774"/>
  </r>
  <r>
    <x v="211"/>
    <n v="1012577.94"/>
    <n v="230.82"/>
    <n v="-543600627.65999997"/>
    <n v="0"/>
    <x v="1"/>
    <x v="65"/>
    <n v="543754353.77999997"/>
    <n v="153726.12"/>
    <n v="537"/>
  </r>
  <r>
    <x v="212"/>
    <n v="0"/>
    <n v="732.03"/>
    <n v="127373.22"/>
    <n v="1"/>
    <x v="0"/>
    <x v="109"/>
    <n v="0"/>
    <n v="127373.22"/>
    <n v="0"/>
  </r>
  <r>
    <x v="213"/>
    <n v="264022"/>
    <n v="0"/>
    <n v="-58084840"/>
    <n v="0"/>
    <x v="1"/>
    <x v="1"/>
    <n v="58084840"/>
    <n v="0"/>
    <n v="220"/>
  </r>
  <r>
    <x v="214"/>
    <n v="0"/>
    <n v="1235.9099999999999"/>
    <n v="955358.42999999993"/>
    <n v="1"/>
    <x v="0"/>
    <x v="110"/>
    <n v="0"/>
    <n v="955358.42999999993"/>
    <n v="0"/>
  </r>
  <r>
    <x v="215"/>
    <n v="0"/>
    <n v="1285.6500000000001"/>
    <n v="591399"/>
    <n v="1"/>
    <x v="0"/>
    <x v="111"/>
    <n v="0"/>
    <n v="591399"/>
    <n v="0"/>
  </r>
  <r>
    <x v="216"/>
    <n v="478602.25999999995"/>
    <n v="0"/>
    <n v="-372352558.27999997"/>
    <n v="0"/>
    <x v="1"/>
    <x v="1"/>
    <n v="372352558.27999997"/>
    <n v="0"/>
    <n v="778"/>
  </r>
  <r>
    <x v="217"/>
    <n v="0"/>
    <n v="231.43"/>
    <n v="156678.11000000002"/>
    <n v="1"/>
    <x v="0"/>
    <x v="112"/>
    <n v="0"/>
    <n v="156678.11000000002"/>
    <n v="0"/>
  </r>
  <r>
    <x v="218"/>
    <n v="3244803.03"/>
    <n v="2151.77"/>
    <n v="-4292431144.0699997"/>
    <n v="0"/>
    <x v="1"/>
    <x v="18"/>
    <n v="4292874408.6899996"/>
    <n v="443264.62"/>
    <n v="1323"/>
  </r>
  <r>
    <x v="219"/>
    <n v="0"/>
    <n v="1232.26"/>
    <n v="1106569.48"/>
    <n v="1"/>
    <x v="0"/>
    <x v="113"/>
    <n v="0"/>
    <n v="1106569.48"/>
    <n v="0"/>
  </r>
  <r>
    <x v="220"/>
    <n v="0"/>
    <n v="1306.0500000000002"/>
    <n v="1470612.3000000003"/>
    <n v="1"/>
    <x v="0"/>
    <x v="114"/>
    <n v="0"/>
    <n v="1470612.3000000003"/>
    <n v="0"/>
  </r>
  <r>
    <x v="221"/>
    <n v="0"/>
    <n v="798.76"/>
    <n v="611850.16"/>
    <n v="1"/>
    <x v="0"/>
    <x v="115"/>
    <n v="0"/>
    <n v="611850.16"/>
    <n v="0"/>
  </r>
  <r>
    <x v="222"/>
    <n v="649512.93000000005"/>
    <n v="0"/>
    <n v="-337097210.67000002"/>
    <n v="0"/>
    <x v="1"/>
    <x v="1"/>
    <n v="337097210.67000002"/>
    <n v="0"/>
    <n v="519"/>
  </r>
  <r>
    <x v="223"/>
    <n v="0"/>
    <n v="588.69000000000005"/>
    <n v="450347.85000000003"/>
    <n v="1"/>
    <x v="0"/>
    <x v="116"/>
    <n v="0"/>
    <n v="450347.85000000003"/>
    <n v="0"/>
  </r>
  <r>
    <x v="224"/>
    <n v="0"/>
    <n v="1978.0900000000001"/>
    <n v="1782259.09"/>
    <n v="1"/>
    <x v="0"/>
    <x v="117"/>
    <n v="0"/>
    <n v="1782259.09"/>
    <n v="0"/>
  </r>
  <r>
    <x v="225"/>
    <n v="1104899.74"/>
    <n v="0"/>
    <n v="-1539125337.8199999"/>
    <n v="0"/>
    <x v="1"/>
    <x v="1"/>
    <n v="1539125337.8199999"/>
    <n v="0"/>
    <n v="1393"/>
  </r>
  <r>
    <x v="226"/>
    <n v="0"/>
    <n v="567.42999999999995"/>
    <n v="94193.37999999999"/>
    <n v="1"/>
    <x v="0"/>
    <x v="118"/>
    <n v="0"/>
    <n v="94193.37999999999"/>
    <n v="0"/>
  </r>
  <r>
    <x v="227"/>
    <n v="591318.49"/>
    <n v="0"/>
    <n v="-159064673.81"/>
    <n v="0"/>
    <x v="1"/>
    <x v="1"/>
    <n v="159064673.81"/>
    <n v="0"/>
    <n v="269"/>
  </r>
  <r>
    <x v="228"/>
    <n v="0"/>
    <n v="240.8"/>
    <n v="240559.2"/>
    <n v="1"/>
    <x v="0"/>
    <x v="119"/>
    <n v="0"/>
    <n v="240559.2"/>
    <n v="0"/>
  </r>
  <r>
    <x v="229"/>
    <n v="0"/>
    <n v="2715.4900000000002"/>
    <n v="2340752.3800000004"/>
    <n v="1"/>
    <x v="0"/>
    <x v="120"/>
    <n v="0"/>
    <n v="2340752.3800000004"/>
    <n v="0"/>
  </r>
  <r>
    <x v="230"/>
    <n v="0"/>
    <n v="2384.77"/>
    <n v="2504008.5"/>
    <n v="1"/>
    <x v="0"/>
    <x v="121"/>
    <n v="0"/>
    <n v="2504008.5"/>
    <n v="0"/>
  </r>
  <r>
    <x v="231"/>
    <n v="0"/>
    <n v="260.02"/>
    <n v="82166.319999999992"/>
    <n v="1"/>
    <x v="0"/>
    <x v="122"/>
    <n v="0"/>
    <n v="82166.319999999992"/>
    <n v="0"/>
  </r>
  <r>
    <x v="232"/>
    <n v="2907027.98"/>
    <n v="0"/>
    <n v="-3273313505.48"/>
    <n v="0"/>
    <x v="1"/>
    <x v="1"/>
    <n v="3273313505.48"/>
    <n v="0"/>
    <n v="1126"/>
  </r>
  <r>
    <x v="233"/>
    <n v="557522"/>
    <n v="582.94000000000005"/>
    <n v="-155568689.31999999"/>
    <n v="0"/>
    <x v="1"/>
    <x v="75"/>
    <n v="156106160"/>
    <n v="537470.68000000005"/>
    <n v="280"/>
  </r>
  <r>
    <x v="234"/>
    <n v="182306.40000000002"/>
    <n v="0"/>
    <n v="-134906736.00000003"/>
    <n v="0"/>
    <x v="1"/>
    <x v="1"/>
    <n v="134906736.00000003"/>
    <n v="0"/>
    <n v="740"/>
  </r>
  <r>
    <x v="235"/>
    <n v="0"/>
    <n v="756.52"/>
    <n v="652876.76"/>
    <n v="1"/>
    <x v="0"/>
    <x v="123"/>
    <n v="0"/>
    <n v="652876.76"/>
    <n v="0"/>
  </r>
  <r>
    <x v="236"/>
    <n v="352938.23999999999"/>
    <n v="439.81"/>
    <n v="-202754978.42000002"/>
    <n v="0"/>
    <x v="1"/>
    <x v="124"/>
    <n v="203292426.24000001"/>
    <n v="537447.81999999995"/>
    <n v="576"/>
  </r>
  <r>
    <x v="237"/>
    <n v="0"/>
    <n v="1435.97"/>
    <n v="387711.9"/>
    <n v="1"/>
    <x v="0"/>
    <x v="125"/>
    <n v="0"/>
    <n v="387711.9"/>
    <n v="0"/>
  </r>
  <r>
    <x v="238"/>
    <n v="41509.519999999997"/>
    <n v="0"/>
    <n v="-2158495.04"/>
    <n v="0"/>
    <x v="1"/>
    <x v="1"/>
    <n v="2158495.04"/>
    <n v="0"/>
    <n v="52"/>
  </r>
  <r>
    <x v="239"/>
    <n v="0"/>
    <n v="2448.2400000000002"/>
    <n v="2360103.3600000003"/>
    <n v="1"/>
    <x v="0"/>
    <x v="126"/>
    <n v="0"/>
    <n v="2360103.3600000003"/>
    <n v="0"/>
  </r>
  <r>
    <x v="240"/>
    <n v="85699.900000000009"/>
    <n v="0"/>
    <n v="-28966566.200000003"/>
    <n v="0"/>
    <x v="1"/>
    <x v="1"/>
    <n v="28966566.200000003"/>
    <n v="0"/>
    <n v="338"/>
  </r>
  <r>
    <x v="241"/>
    <n v="217928.08000000002"/>
    <n v="1076.9099999999999"/>
    <n v="-75168941.300000012"/>
    <n v="0"/>
    <x v="1"/>
    <x v="127"/>
    <n v="76928612.24000001"/>
    <n v="1759670.9399999997"/>
    <n v="353"/>
  </r>
  <r>
    <x v="242"/>
    <n v="1687734.16"/>
    <n v="0"/>
    <n v="-1606722920.3199999"/>
    <n v="0"/>
    <x v="1"/>
    <x v="1"/>
    <n v="1606722920.3199999"/>
    <n v="0"/>
    <n v="952"/>
  </r>
  <r>
    <x v="243"/>
    <n v="46893.2"/>
    <n v="0"/>
    <n v="-1875728"/>
    <n v="0"/>
    <x v="1"/>
    <x v="1"/>
    <n v="1875728"/>
    <n v="0"/>
    <n v="40"/>
  </r>
  <r>
    <x v="244"/>
    <n v="464764.12000000005"/>
    <n v="0"/>
    <n v="-355079787.68000007"/>
    <n v="0"/>
    <x v="1"/>
    <x v="1"/>
    <n v="355079787.68000007"/>
    <n v="0"/>
    <n v="764"/>
  </r>
  <r>
    <x v="245"/>
    <n v="1166163.2"/>
    <n v="0"/>
    <n v="-1498519712"/>
    <n v="0"/>
    <x v="1"/>
    <x v="1"/>
    <n v="1498519712"/>
    <n v="0"/>
    <n v="1285"/>
  </r>
  <r>
    <x v="246"/>
    <n v="0"/>
    <n v="783.17"/>
    <n v="176213.25"/>
    <n v="1"/>
    <x v="0"/>
    <x v="128"/>
    <n v="0"/>
    <n v="176213.25"/>
    <n v="0"/>
  </r>
  <r>
    <x v="247"/>
    <n v="0"/>
    <n v="540.85"/>
    <n v="120068.70000000001"/>
    <n v="1"/>
    <x v="0"/>
    <x v="129"/>
    <n v="0"/>
    <n v="120068.70000000001"/>
    <n v="0"/>
  </r>
  <r>
    <x v="248"/>
    <n v="0"/>
    <n v="1187.55"/>
    <n v="78378.3"/>
    <n v="1"/>
    <x v="0"/>
    <x v="130"/>
    <n v="0"/>
    <n v="78378.3"/>
    <n v="0"/>
  </r>
  <r>
    <x v="249"/>
    <n v="1511667.2999999998"/>
    <n v="0"/>
    <n v="-1080842119.4999998"/>
    <n v="0"/>
    <x v="1"/>
    <x v="1"/>
    <n v="1080842119.4999998"/>
    <n v="0"/>
    <n v="715"/>
  </r>
  <r>
    <x v="250"/>
    <n v="3274254.3299999996"/>
    <n v="237.07"/>
    <n v="-4521698289.8699999"/>
    <n v="0"/>
    <x v="1"/>
    <x v="131"/>
    <n v="4521745229.7299995"/>
    <n v="46939.86"/>
    <n v="1381"/>
  </r>
  <r>
    <x v="251"/>
    <n v="127872.8"/>
    <n v="0"/>
    <n v="-28132016"/>
    <n v="0"/>
    <x v="1"/>
    <x v="1"/>
    <n v="28132016"/>
    <n v="0"/>
    <n v="220"/>
  </r>
  <r>
    <x v="252"/>
    <n v="0"/>
    <n v="243.78"/>
    <n v="218183.1"/>
    <n v="1"/>
    <x v="0"/>
    <x v="132"/>
    <n v="0"/>
    <n v="218183.1"/>
    <n v="0"/>
  </r>
  <r>
    <x v="253"/>
    <n v="0"/>
    <n v="1542.03"/>
    <n v="2522761.08"/>
    <n v="1"/>
    <x v="0"/>
    <x v="133"/>
    <n v="0"/>
    <n v="2522761.08"/>
    <n v="0"/>
  </r>
  <r>
    <x v="254"/>
    <n v="3172413.1499999994"/>
    <n v="0"/>
    <n v="-1912965129.4499996"/>
    <n v="0"/>
    <x v="1"/>
    <x v="1"/>
    <n v="1912965129.4499996"/>
    <n v="0"/>
    <n v="603"/>
  </r>
  <r>
    <x v="255"/>
    <n v="81236.099999999991"/>
    <n v="496.46"/>
    <n v="-26322375.119999997"/>
    <n v="0"/>
    <x v="1"/>
    <x v="134"/>
    <n v="26807912.999999996"/>
    <n v="485537.88"/>
    <n v="330"/>
  </r>
  <r>
    <x v="256"/>
    <n v="3120162.75"/>
    <n v="0"/>
    <n v="-3229368446.25"/>
    <n v="0"/>
    <x v="1"/>
    <x v="1"/>
    <n v="3229368446.25"/>
    <n v="0"/>
    <n v="1035"/>
  </r>
  <r>
    <x v="257"/>
    <n v="859909.6"/>
    <n v="0"/>
    <n v="-756720448"/>
    <n v="0"/>
    <x v="1"/>
    <x v="1"/>
    <n v="756720448"/>
    <n v="0"/>
    <n v="880"/>
  </r>
  <r>
    <x v="258"/>
    <n v="0"/>
    <n v="235.23"/>
    <n v="192653.37"/>
    <n v="1"/>
    <x v="0"/>
    <x v="135"/>
    <n v="0"/>
    <n v="192653.37"/>
    <n v="0"/>
  </r>
  <r>
    <x v="259"/>
    <n v="124194"/>
    <n v="0"/>
    <n v="-65201850"/>
    <n v="0"/>
    <x v="1"/>
    <x v="1"/>
    <n v="65201850"/>
    <n v="0"/>
    <n v="525"/>
  </r>
  <r>
    <x v="260"/>
    <n v="31688.55"/>
    <n v="626.77"/>
    <n v="-4022858.86"/>
    <n v="0"/>
    <x v="1"/>
    <x v="136"/>
    <n v="4277954.25"/>
    <n v="255095.38999999998"/>
    <n v="135"/>
  </r>
  <r>
    <x v="261"/>
    <n v="439120.98"/>
    <n v="0"/>
    <n v="-354370630.86000001"/>
    <n v="0"/>
    <x v="1"/>
    <x v="1"/>
    <n v="354370630.86000001"/>
    <n v="0"/>
    <n v="807"/>
  </r>
  <r>
    <x v="262"/>
    <n v="0"/>
    <n v="2901.13"/>
    <n v="1984372.9200000002"/>
    <n v="1"/>
    <x v="0"/>
    <x v="137"/>
    <n v="0"/>
    <n v="1984372.9200000002"/>
    <n v="0"/>
  </r>
  <r>
    <x v="263"/>
    <n v="0"/>
    <n v="1468.96"/>
    <n v="544984.16"/>
    <n v="1"/>
    <x v="0"/>
    <x v="138"/>
    <n v="0"/>
    <n v="544984.16"/>
    <n v="0"/>
  </r>
  <r>
    <x v="264"/>
    <n v="141475.51999999999"/>
    <n v="0"/>
    <n v="-86017116.159999996"/>
    <n v="0"/>
    <x v="1"/>
    <x v="1"/>
    <n v="86017116.159999996"/>
    <n v="0"/>
    <n v="608"/>
  </r>
  <r>
    <x v="265"/>
    <n v="0"/>
    <n v="1196.23"/>
    <n v="868462.98"/>
    <n v="1"/>
    <x v="0"/>
    <x v="139"/>
    <n v="0"/>
    <n v="868462.98"/>
    <n v="0"/>
  </r>
  <r>
    <x v="266"/>
    <n v="330758.08"/>
    <n v="0"/>
    <n v="-201100912.64000002"/>
    <n v="0"/>
    <x v="1"/>
    <x v="1"/>
    <n v="201100912.64000002"/>
    <n v="0"/>
    <n v="608"/>
  </r>
  <r>
    <x v="267"/>
    <n v="189612.00000000003"/>
    <n v="1254.46"/>
    <n v="-135375318.02000004"/>
    <n v="0"/>
    <x v="1"/>
    <x v="140"/>
    <n v="136520640.00000003"/>
    <n v="1145321.98"/>
    <n v="720"/>
  </r>
  <r>
    <x v="268"/>
    <n v="87186.880000000005"/>
    <n v="1894.02"/>
    <n v="-30443152.180000003"/>
    <n v="0"/>
    <x v="1"/>
    <x v="141"/>
    <n v="32782266.880000003"/>
    <n v="2339114.7000000002"/>
    <n v="376"/>
  </r>
  <r>
    <x v="269"/>
    <n v="440382.95"/>
    <n v="3759.8900000000003"/>
    <n v="-289827950.30000001"/>
    <n v="0"/>
    <x v="1"/>
    <x v="142"/>
    <n v="292854661.75"/>
    <n v="3026711.45"/>
    <n v="665"/>
  </r>
  <r>
    <x v="270"/>
    <n v="56331.96"/>
    <n v="0"/>
    <n v="-12843686.879999999"/>
    <n v="0"/>
    <x v="1"/>
    <x v="1"/>
    <n v="12843686.879999999"/>
    <n v="0"/>
    <n v="228"/>
  </r>
  <r>
    <x v="271"/>
    <n v="0"/>
    <n v="821.15"/>
    <n v="387582.8"/>
    <n v="1"/>
    <x v="0"/>
    <x v="143"/>
    <n v="0"/>
    <n v="387582.8"/>
    <n v="0"/>
  </r>
  <r>
    <x v="272"/>
    <n v="0"/>
    <n v="1188.6599999999999"/>
    <n v="1529805.42"/>
    <n v="1"/>
    <x v="0"/>
    <x v="144"/>
    <n v="0"/>
    <n v="1529805.42"/>
    <n v="0"/>
  </r>
  <r>
    <x v="273"/>
    <n v="199138.00000000003"/>
    <n v="0"/>
    <n v="-67706920.000000015"/>
    <n v="0"/>
    <x v="1"/>
    <x v="1"/>
    <n v="67706920.000000015"/>
    <n v="0"/>
    <n v="340"/>
  </r>
  <r>
    <x v="274"/>
    <n v="1098509.0599999998"/>
    <n v="0"/>
    <n v="-920550592.27999985"/>
    <n v="0"/>
    <x v="1"/>
    <x v="1"/>
    <n v="920550592.27999985"/>
    <n v="0"/>
    <n v="838"/>
  </r>
  <r>
    <x v="275"/>
    <n v="0"/>
    <n v="232.66"/>
    <n v="175658.3"/>
    <n v="1"/>
    <x v="0"/>
    <x v="145"/>
    <n v="0"/>
    <n v="175658.3"/>
    <n v="0"/>
  </r>
  <r>
    <x v="276"/>
    <n v="0"/>
    <n v="617.91"/>
    <n v="595665.24"/>
    <n v="1"/>
    <x v="0"/>
    <x v="126"/>
    <n v="0"/>
    <n v="595665.24"/>
    <n v="0"/>
  </r>
  <r>
    <x v="277"/>
    <n v="636044.41999999993"/>
    <n v="0"/>
    <n v="-285583944.57999998"/>
    <n v="0"/>
    <x v="1"/>
    <x v="1"/>
    <n v="285583944.57999998"/>
    <n v="0"/>
    <n v="449"/>
  </r>
  <r>
    <x v="278"/>
    <n v="325430.90999999997"/>
    <n v="0"/>
    <n v="-157183129.53"/>
    <n v="0"/>
    <x v="1"/>
    <x v="1"/>
    <n v="157183129.53"/>
    <n v="0"/>
    <n v="483"/>
  </r>
  <r>
    <x v="279"/>
    <n v="3539088.84"/>
    <n v="0"/>
    <n v="-4062873988.3199997"/>
    <n v="0"/>
    <x v="1"/>
    <x v="1"/>
    <n v="4062873988.3199997"/>
    <n v="0"/>
    <n v="1148"/>
  </r>
  <r>
    <x v="280"/>
    <n v="543855.87"/>
    <n v="0"/>
    <n v="-298576872.63"/>
    <n v="0"/>
    <x v="1"/>
    <x v="1"/>
    <n v="298576872.63"/>
    <n v="0"/>
    <n v="549"/>
  </r>
  <r>
    <x v="281"/>
    <n v="134676.5"/>
    <n v="1379.83"/>
    <n v="-22505918.399999999"/>
    <n v="0"/>
    <x v="1"/>
    <x v="146"/>
    <n v="23568387.5"/>
    <n v="1062469.0999999999"/>
    <n v="175"/>
  </r>
  <r>
    <x v="282"/>
    <n v="804301.16"/>
    <n v="0"/>
    <n v="-794649546.08000004"/>
    <n v="0"/>
    <x v="1"/>
    <x v="1"/>
    <n v="794649546.08000004"/>
    <n v="0"/>
    <n v="988"/>
  </r>
  <r>
    <x v="283"/>
    <n v="12896.24"/>
    <n v="473.97"/>
    <n v="-468141.5199999999"/>
    <n v="0"/>
    <x v="1"/>
    <x v="147"/>
    <n v="722189.44"/>
    <n v="254047.92"/>
    <n v="56"/>
  </r>
  <r>
    <x v="284"/>
    <n v="2994569.83"/>
    <n v="585.1"/>
    <n v="-2661661201.4699998"/>
    <n v="0"/>
    <x v="1"/>
    <x v="148"/>
    <n v="2662172578.8699999"/>
    <n v="511377.4"/>
    <n v="889"/>
  </r>
  <r>
    <x v="285"/>
    <n v="80346.880000000005"/>
    <n v="0"/>
    <n v="-10284400.640000001"/>
    <n v="0"/>
    <x v="1"/>
    <x v="1"/>
    <n v="10284400.640000001"/>
    <n v="0"/>
    <n v="128"/>
  </r>
  <r>
    <x v="286"/>
    <n v="0"/>
    <n v="2264.2600000000002"/>
    <n v="2549556.7600000002"/>
    <n v="1"/>
    <x v="0"/>
    <x v="114"/>
    <n v="0"/>
    <n v="2549556.7600000002"/>
    <n v="0"/>
  </r>
  <r>
    <x v="287"/>
    <n v="0"/>
    <n v="1993.48"/>
    <n v="1445273"/>
    <n v="1"/>
    <x v="0"/>
    <x v="149"/>
    <n v="0"/>
    <n v="1445273"/>
    <n v="0"/>
  </r>
  <r>
    <x v="288"/>
    <n v="0"/>
    <n v="2638.33"/>
    <n v="1271675.06"/>
    <n v="1"/>
    <x v="0"/>
    <x v="150"/>
    <n v="0"/>
    <n v="1271675.06"/>
    <n v="0"/>
  </r>
  <r>
    <x v="289"/>
    <n v="566959.9"/>
    <n v="0"/>
    <n v="-422385125.5"/>
    <n v="0"/>
    <x v="1"/>
    <x v="1"/>
    <n v="422385125.5"/>
    <n v="0"/>
    <n v="745"/>
  </r>
  <r>
    <x v="290"/>
    <n v="161511.41999999998"/>
    <n v="0"/>
    <n v="-38601229.379999995"/>
    <n v="0"/>
    <x v="1"/>
    <x v="1"/>
    <n v="38601229.379999995"/>
    <n v="0"/>
    <n v="239"/>
  </r>
  <r>
    <x v="291"/>
    <n v="170036.55000000002"/>
    <n v="1929.68"/>
    <n v="-118572070.91000001"/>
    <n v="0"/>
    <x v="1"/>
    <x v="151"/>
    <n v="121916206.35000001"/>
    <n v="3344135.44"/>
    <n v="717"/>
  </r>
  <r>
    <x v="292"/>
    <n v="0"/>
    <n v="1014.5600000000001"/>
    <n v="362197.92000000004"/>
    <n v="1"/>
    <x v="0"/>
    <x v="152"/>
    <n v="0"/>
    <n v="362197.92000000004"/>
    <n v="0"/>
  </r>
  <r>
    <x v="293"/>
    <n v="526801.44999999995"/>
    <n v="0"/>
    <n v="-129066355.24999999"/>
    <n v="0"/>
    <x v="1"/>
    <x v="1"/>
    <n v="129066355.24999999"/>
    <n v="0"/>
    <n v="245"/>
  </r>
  <r>
    <x v="294"/>
    <n v="65160.5"/>
    <n v="0"/>
    <n v="-3258025"/>
    <n v="0"/>
    <x v="1"/>
    <x v="1"/>
    <n v="3258025"/>
    <n v="0"/>
    <n v="50"/>
  </r>
  <r>
    <x v="295"/>
    <n v="487709.1"/>
    <n v="237.47"/>
    <n v="-416869933.32999998"/>
    <n v="0"/>
    <x v="1"/>
    <x v="153"/>
    <n v="416991280.5"/>
    <n v="121347.17"/>
    <n v="855"/>
  </r>
  <r>
    <x v="296"/>
    <n v="0"/>
    <n v="991.56"/>
    <n v="221117.87999999998"/>
    <n v="1"/>
    <x v="0"/>
    <x v="154"/>
    <n v="0"/>
    <n v="221117.87999999998"/>
    <n v="0"/>
  </r>
  <r>
    <x v="297"/>
    <n v="1066427.04"/>
    <n v="0"/>
    <n v="-923525816.63999999"/>
    <n v="0"/>
    <x v="1"/>
    <x v="1"/>
    <n v="923525816.63999999"/>
    <n v="0"/>
    <n v="866"/>
  </r>
  <r>
    <x v="298"/>
    <n v="159051.6"/>
    <n v="244.76"/>
    <n v="-102899244.75999999"/>
    <n v="0"/>
    <x v="1"/>
    <x v="155"/>
    <n v="103065436.8"/>
    <n v="166192.04"/>
    <n v="648"/>
  </r>
  <r>
    <x v="299"/>
    <n v="946594.06"/>
    <n v="0"/>
    <n v="-737396772.74000001"/>
    <n v="0"/>
    <x v="1"/>
    <x v="1"/>
    <n v="737396772.74000001"/>
    <n v="0"/>
    <n v="779"/>
  </r>
  <r>
    <x v="300"/>
    <n v="536046.75"/>
    <n v="0"/>
    <n v="-495843243.75"/>
    <n v="0"/>
    <x v="1"/>
    <x v="1"/>
    <n v="495843243.75"/>
    <n v="0"/>
    <n v="925"/>
  </r>
  <r>
    <x v="301"/>
    <n v="218396.79"/>
    <n v="0"/>
    <n v="-33414708.870000001"/>
    <n v="0"/>
    <x v="1"/>
    <x v="1"/>
    <n v="33414708.870000001"/>
    <n v="0"/>
    <n v="153"/>
  </r>
  <r>
    <x v="302"/>
    <n v="0"/>
    <n v="238.96"/>
    <n v="100124.24"/>
    <n v="1"/>
    <x v="0"/>
    <x v="156"/>
    <n v="0"/>
    <n v="100124.24"/>
    <n v="0"/>
  </r>
  <r>
    <x v="303"/>
    <n v="0"/>
    <n v="512.34"/>
    <n v="100418.64"/>
    <n v="1"/>
    <x v="0"/>
    <x v="157"/>
    <n v="0"/>
    <n v="100418.64"/>
    <n v="0"/>
  </r>
  <r>
    <x v="304"/>
    <n v="939628.5"/>
    <n v="0"/>
    <n v="-673713634.5"/>
    <n v="0"/>
    <x v="1"/>
    <x v="1"/>
    <n v="673713634.5"/>
    <n v="0"/>
    <n v="717"/>
  </r>
  <r>
    <x v="305"/>
    <n v="0"/>
    <n v="664.41"/>
    <n v="211946.78999999998"/>
    <n v="1"/>
    <x v="0"/>
    <x v="158"/>
    <n v="0"/>
    <n v="211946.78999999998"/>
    <n v="0"/>
  </r>
  <r>
    <x v="306"/>
    <n v="900718.41999999993"/>
    <n v="0"/>
    <n v="-989889543.57999992"/>
    <n v="0"/>
    <x v="1"/>
    <x v="1"/>
    <n v="989889543.57999992"/>
    <n v="0"/>
    <n v="1099"/>
  </r>
  <r>
    <x v="307"/>
    <n v="581880.5"/>
    <n v="0"/>
    <n v="-538239462.5"/>
    <n v="0"/>
    <x v="1"/>
    <x v="1"/>
    <n v="538239462.5"/>
    <n v="0"/>
    <n v="925"/>
  </r>
  <r>
    <x v="308"/>
    <n v="0"/>
    <n v="1306.9000000000001"/>
    <n v="1133082.3"/>
    <n v="1"/>
    <x v="0"/>
    <x v="50"/>
    <n v="0"/>
    <n v="1133082.3"/>
    <n v="0"/>
  </r>
  <r>
    <x v="309"/>
    <n v="118868.04999999999"/>
    <n v="1370.03"/>
    <n v="-54907917.029999994"/>
    <n v="0"/>
    <x v="1"/>
    <x v="159"/>
    <n v="55749115.449999996"/>
    <n v="841198.41999999993"/>
    <n v="469"/>
  </r>
  <r>
    <x v="310"/>
    <n v="231119.46000000002"/>
    <n v="0"/>
    <n v="-208469752.92000002"/>
    <n v="0"/>
    <x v="1"/>
    <x v="1"/>
    <n v="208469752.92000002"/>
    <n v="0"/>
    <n v="902"/>
  </r>
  <r>
    <x v="311"/>
    <n v="0"/>
    <n v="1361.27"/>
    <n v="850793.75"/>
    <n v="1"/>
    <x v="0"/>
    <x v="160"/>
    <n v="0"/>
    <n v="850793.75"/>
    <n v="0"/>
  </r>
  <r>
    <x v="312"/>
    <n v="1579328.84"/>
    <n v="0"/>
    <n v="-2773301443.04"/>
    <n v="0"/>
    <x v="1"/>
    <x v="1"/>
    <n v="2773301443.04"/>
    <n v="0"/>
    <n v="1756"/>
  </r>
  <r>
    <x v="313"/>
    <n v="0"/>
    <n v="1040.8499999999999"/>
    <n v="427789.35"/>
    <n v="1"/>
    <x v="0"/>
    <x v="161"/>
    <n v="0"/>
    <n v="427789.35"/>
    <n v="0"/>
  </r>
  <r>
    <x v="314"/>
    <n v="0"/>
    <n v="1428.79"/>
    <n v="1201612.3899999999"/>
    <n v="1"/>
    <x v="0"/>
    <x v="162"/>
    <n v="0"/>
    <n v="1201612.3899999999"/>
    <n v="0"/>
  </r>
  <r>
    <x v="315"/>
    <n v="673232"/>
    <n v="0"/>
    <n v="-215434240"/>
    <n v="0"/>
    <x v="1"/>
    <x v="1"/>
    <n v="215434240"/>
    <n v="0"/>
    <n v="320"/>
  </r>
  <r>
    <x v="316"/>
    <n v="1069027.44"/>
    <n v="0"/>
    <n v="-569791625.51999998"/>
    <n v="0"/>
    <x v="1"/>
    <x v="1"/>
    <n v="569791625.51999998"/>
    <n v="0"/>
    <n v="533"/>
  </r>
  <r>
    <x v="317"/>
    <n v="199875.87"/>
    <n v="0"/>
    <n v="-78551216.909999996"/>
    <n v="0"/>
    <x v="1"/>
    <x v="1"/>
    <n v="78551216.909999996"/>
    <n v="0"/>
    <n v="393"/>
  </r>
  <r>
    <x v="318"/>
    <n v="0"/>
    <n v="231.88"/>
    <n v="54491.799999999996"/>
    <n v="1"/>
    <x v="0"/>
    <x v="163"/>
    <n v="0"/>
    <n v="54491.799999999996"/>
    <n v="0"/>
  </r>
  <r>
    <x v="319"/>
    <n v="0"/>
    <n v="591.79999999999995"/>
    <n v="474031.8"/>
    <n v="1"/>
    <x v="0"/>
    <x v="164"/>
    <n v="0"/>
    <n v="474031.8"/>
    <n v="0"/>
  </r>
  <r>
    <x v="320"/>
    <n v="1449382.98"/>
    <n v="0"/>
    <n v="-726140872.98000002"/>
    <n v="0"/>
    <x v="1"/>
    <x v="1"/>
    <n v="726140872.98000002"/>
    <n v="0"/>
    <n v="501"/>
  </r>
  <r>
    <x v="321"/>
    <n v="1611738.6"/>
    <n v="0"/>
    <n v="-1295837834.4000001"/>
    <n v="0"/>
    <x v="1"/>
    <x v="1"/>
    <n v="1295837834.4000001"/>
    <n v="0"/>
    <n v="804"/>
  </r>
  <r>
    <x v="322"/>
    <n v="454593.42000000004"/>
    <n v="0"/>
    <n v="-351855307.08000004"/>
    <n v="0"/>
    <x v="1"/>
    <x v="1"/>
    <n v="351855307.08000004"/>
    <n v="0"/>
    <n v="774"/>
  </r>
  <r>
    <x v="323"/>
    <n v="0"/>
    <n v="2218.42"/>
    <n v="572352.36"/>
    <n v="1"/>
    <x v="0"/>
    <x v="165"/>
    <n v="0"/>
    <n v="572352.36"/>
    <n v="0"/>
  </r>
  <r>
    <x v="324"/>
    <n v="9619.52"/>
    <n v="0"/>
    <n v="-153912.32000000001"/>
    <n v="0"/>
    <x v="1"/>
    <x v="1"/>
    <n v="153912.32000000001"/>
    <n v="0"/>
    <n v="16"/>
  </r>
  <r>
    <x v="325"/>
    <n v="862114.12"/>
    <n v="0"/>
    <n v="-575892232.15999997"/>
    <n v="0"/>
    <x v="1"/>
    <x v="1"/>
    <n v="575892232.15999997"/>
    <n v="0"/>
    <n v="668"/>
  </r>
  <r>
    <x v="326"/>
    <n v="159815.17000000001"/>
    <n v="0"/>
    <n v="-109153761.11000001"/>
    <n v="0"/>
    <x v="1"/>
    <x v="1"/>
    <n v="109153761.11000001"/>
    <n v="0"/>
    <n v="683"/>
  </r>
  <r>
    <x v="327"/>
    <n v="174919.5"/>
    <n v="0"/>
    <n v="-14168479.5"/>
    <n v="0"/>
    <x v="1"/>
    <x v="1"/>
    <n v="14168479.5"/>
    <n v="0"/>
    <n v="81"/>
  </r>
  <r>
    <x v="328"/>
    <n v="3106565.4"/>
    <n v="0"/>
    <n v="-5079234429"/>
    <n v="0"/>
    <x v="1"/>
    <x v="1"/>
    <n v="5079234429"/>
    <n v="0"/>
    <n v="1635"/>
  </r>
  <r>
    <x v="329"/>
    <n v="0"/>
    <n v="1382.74"/>
    <n v="105088.24"/>
    <n v="1"/>
    <x v="0"/>
    <x v="166"/>
    <n v="0"/>
    <n v="105088.24"/>
    <n v="0"/>
  </r>
  <r>
    <x v="330"/>
    <n v="965751.48"/>
    <n v="0"/>
    <n v="-721416355.55999994"/>
    <n v="0"/>
    <x v="1"/>
    <x v="1"/>
    <n v="721416355.55999994"/>
    <n v="0"/>
    <n v="747"/>
  </r>
  <r>
    <x v="331"/>
    <n v="0"/>
    <n v="567.98"/>
    <n v="358395.38"/>
    <n v="1"/>
    <x v="0"/>
    <x v="167"/>
    <n v="0"/>
    <n v="358395.38"/>
    <n v="0"/>
  </r>
  <r>
    <x v="332"/>
    <n v="0"/>
    <n v="1524.28"/>
    <n v="472526.8"/>
    <n v="1"/>
    <x v="0"/>
    <x v="168"/>
    <n v="0"/>
    <n v="472526.8"/>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2">
  <r>
    <d v="2025-01-01T00:00:00"/>
    <x v="0"/>
    <n v="796.56"/>
    <n v="800.79"/>
    <n v="792.33"/>
    <n v="800.53"/>
    <x v="0"/>
    <n v="0"/>
    <n v="33707116.18"/>
    <s v="SEC01"/>
    <x v="0"/>
  </r>
  <r>
    <d v="2025-01-02T00:00:00"/>
    <x v="0"/>
    <n v="805.97"/>
    <n v="809.55"/>
    <n v="802.39"/>
    <n v="803.94"/>
    <x v="1"/>
    <n v="4.2416100704033653E-3"/>
    <n v="7782139.2000000002"/>
    <s v="SEC01"/>
    <x v="0"/>
  </r>
  <r>
    <d v="2025-01-03T00:00:00"/>
    <x v="0"/>
    <n v="809.42"/>
    <n v="818.12"/>
    <n v="800.72"/>
    <n v="806.96"/>
    <x v="2"/>
    <n v="3.742440765341506E-3"/>
    <n v="29174024.880000003"/>
    <s v="SEC01"/>
    <x v="0"/>
  </r>
  <r>
    <d v="2025-01-06T00:00:00"/>
    <x v="0"/>
    <n v="818.82"/>
    <n v="831.19"/>
    <n v="806.45"/>
    <n v="817.5"/>
    <x v="3"/>
    <n v="1.2892966360856224E-2"/>
    <n v="7455600"/>
    <s v="SEC01"/>
    <x v="0"/>
  </r>
  <r>
    <d v="2025-01-07T00:00:00"/>
    <x v="0"/>
    <n v="805.15"/>
    <n v="813.57"/>
    <n v="796.72"/>
    <n v="811.73"/>
    <x v="4"/>
    <n v="-7.1082749190001376E-3"/>
    <n v="17407549.850000001"/>
    <s v="SEC01"/>
    <x v="0"/>
  </r>
  <r>
    <d v="2025-01-08T00:00:00"/>
    <x v="0"/>
    <n v="810.34"/>
    <n v="817.79"/>
    <n v="802.88"/>
    <n v="806.57"/>
    <x v="5"/>
    <n v="-6.3974608527467766E-3"/>
    <n v="25862667.050000001"/>
    <s v="SEC01"/>
    <x v="0"/>
  </r>
  <r>
    <d v="2025-01-09T00:00:00"/>
    <x v="0"/>
    <n v="804.7"/>
    <n v="816.71"/>
    <n v="792.7"/>
    <n v="800.97"/>
    <x v="6"/>
    <n v="-6.9915227786309384E-3"/>
    <n v="37594327.920000002"/>
    <s v="SEC01"/>
    <x v="0"/>
  </r>
  <r>
    <d v="2025-01-10T00:00:00"/>
    <x v="0"/>
    <n v="793.07"/>
    <n v="795.72"/>
    <n v="790.42"/>
    <n v="791.89"/>
    <x v="7"/>
    <n v="-1.1466238997840661E-2"/>
    <n v="17367731.48"/>
    <s v="SEC01"/>
    <x v="0"/>
  </r>
  <r>
    <d v="2025-01-13T00:00:00"/>
    <x v="0"/>
    <n v="768.48"/>
    <n v="780.24"/>
    <n v="756.73"/>
    <n v="766.43"/>
    <x v="8"/>
    <n v="-3.3218950197669767E-2"/>
    <n v="33735182.879999995"/>
    <s v="SEC01"/>
    <x v="0"/>
  </r>
  <r>
    <d v="2025-01-14T00:00:00"/>
    <x v="0"/>
    <n v="772.58"/>
    <n v="780.18"/>
    <n v="764.98"/>
    <n v="775.85"/>
    <x v="9"/>
    <n v="1.214152220145656E-2"/>
    <n v="1671180.9000000001"/>
    <s v="SEC01"/>
    <x v="0"/>
  </r>
  <r>
    <d v="2025-01-15T00:00:00"/>
    <x v="0"/>
    <n v="787.6"/>
    <n v="797.49"/>
    <n v="777.72"/>
    <n v="784.06"/>
    <x v="10"/>
    <n v="1.0471137412952993E-2"/>
    <n v="10336262.979999999"/>
    <s v="SEC01"/>
    <x v="0"/>
  </r>
  <r>
    <d v="2025-01-16T00:00:00"/>
    <x v="0"/>
    <n v="768.68"/>
    <n v="782.43"/>
    <n v="754.94"/>
    <n v="769.33"/>
    <x v="11"/>
    <n v="-1.9146530097617281E-2"/>
    <n v="5030648.87"/>
    <s v="SEC01"/>
    <x v="0"/>
  </r>
  <r>
    <d v="2025-01-17T00:00:00"/>
    <x v="0"/>
    <n v="767.61"/>
    <n v="779.13"/>
    <n v="756.09"/>
    <n v="765.38"/>
    <x v="12"/>
    <n v="-5.1608351407144756E-3"/>
    <n v="37774564.520000003"/>
    <s v="SEC01"/>
    <x v="0"/>
  </r>
  <r>
    <d v="2025-01-20T00:00:00"/>
    <x v="0"/>
    <n v="754.13"/>
    <n v="764.08"/>
    <n v="744.17"/>
    <n v="758.43"/>
    <x v="13"/>
    <n v="-9.1636670490355676E-3"/>
    <n v="2426976"/>
    <s v="SEC01"/>
    <x v="0"/>
  </r>
  <r>
    <d v="2025-01-21T00:00:00"/>
    <x v="0"/>
    <n v="750.75"/>
    <n v="752"/>
    <n v="749.5"/>
    <n v="751.92"/>
    <x v="14"/>
    <n v="-8.6578359399936047E-3"/>
    <n v="9751650.4799999986"/>
    <s v="SEC01"/>
    <x v="0"/>
  </r>
  <r>
    <d v="2025-01-22T00:00:00"/>
    <x v="0"/>
    <n v="732.39"/>
    <n v="742.23"/>
    <n v="722.55"/>
    <n v="732.1"/>
    <x v="15"/>
    <n v="-2.7072804261712793E-2"/>
    <n v="34965096"/>
    <s v="SEC01"/>
    <x v="0"/>
  </r>
  <r>
    <d v="2025-01-23T00:00:00"/>
    <x v="0"/>
    <n v="727.63"/>
    <n v="729.04"/>
    <n v="726.22"/>
    <n v="726.49"/>
    <x v="16"/>
    <n v="-7.7220608680092133E-3"/>
    <n v="19525145.240000002"/>
    <s v="SEC01"/>
    <x v="0"/>
  </r>
  <r>
    <d v="2025-01-24T00:00:00"/>
    <x v="0"/>
    <n v="730.78"/>
    <n v="734.77"/>
    <n v="726.79"/>
    <n v="732.15"/>
    <x v="17"/>
    <n v="7.7306562862800906E-3"/>
    <n v="34567730.100000001"/>
    <s v="SEC01"/>
    <x v="0"/>
  </r>
  <r>
    <d v="2025-01-27T00:00:00"/>
    <x v="0"/>
    <n v="759.45"/>
    <n v="767.23"/>
    <n v="751.67"/>
    <n v="756.33"/>
    <x v="18"/>
    <n v="3.1970171750426483E-2"/>
    <n v="4201413.1500000004"/>
    <s v="SEC01"/>
    <x v="0"/>
  </r>
  <r>
    <d v="2025-01-28T00:00:00"/>
    <x v="0"/>
    <n v="759.3"/>
    <n v="768.01"/>
    <n v="750.6"/>
    <n v="760.27"/>
    <x v="19"/>
    <n v="5.1823694213896914E-3"/>
    <n v="14011015.83"/>
    <s v="SEC01"/>
    <x v="0"/>
  </r>
  <r>
    <d v="2025-01-29T00:00:00"/>
    <x v="0"/>
    <n v="756.07"/>
    <n v="765.34"/>
    <n v="746.8"/>
    <n v="761.63"/>
    <x v="20"/>
    <n v="1.7856439478487109E-3"/>
    <n v="3378590.68"/>
    <s v="SEC01"/>
    <x v="0"/>
  </r>
  <r>
    <d v="2025-01-30T00:00:00"/>
    <x v="0"/>
    <n v="753.7"/>
    <n v="764.24"/>
    <n v="743.16"/>
    <n v="756.88"/>
    <x v="21"/>
    <n v="-6.275763661346581E-3"/>
    <n v="24027912.48"/>
    <s v="SEC01"/>
    <x v="0"/>
  </r>
  <r>
    <d v="2025-01-31T00:00:00"/>
    <x v="0"/>
    <n v="753.55"/>
    <n v="763.3"/>
    <n v="743.8"/>
    <n v="751.35"/>
    <x v="22"/>
    <n v="-7.3600851800092798E-3"/>
    <n v="30647566.5"/>
    <s v="SEC01"/>
    <x v="0"/>
  </r>
  <r>
    <d v="2025-02-03T00:00:00"/>
    <x v="0"/>
    <n v="762.82"/>
    <n v="768.05"/>
    <n v="757.59"/>
    <n v="760.56"/>
    <x v="23"/>
    <n v="1.210949826443663E-2"/>
    <n v="31764027.839999996"/>
    <s v="SEC01"/>
    <x v="0"/>
  </r>
  <r>
    <d v="2025-02-04T00:00:00"/>
    <x v="0"/>
    <n v="762.98"/>
    <n v="771.15"/>
    <n v="754.8"/>
    <n v="763.53"/>
    <x v="24"/>
    <n v="3.8898275116891639E-3"/>
    <n v="34419932.399999999"/>
    <s v="SEC01"/>
    <x v="0"/>
  </r>
  <r>
    <d v="2025-02-05T00:00:00"/>
    <x v="0"/>
    <n v="750.42"/>
    <n v="758.28"/>
    <n v="742.55"/>
    <n v="757.62"/>
    <x v="25"/>
    <n v="-7.8007444365248649E-3"/>
    <n v="14841018.18"/>
    <s v="SEC01"/>
    <x v="0"/>
  </r>
  <r>
    <d v="2025-02-06T00:00:00"/>
    <x v="0"/>
    <n v="748.4"/>
    <n v="762.38"/>
    <n v="734.42"/>
    <n v="748.11"/>
    <x v="26"/>
    <n v="-1.2712034326502775E-2"/>
    <n v="36060398.219999999"/>
    <s v="SEC01"/>
    <x v="0"/>
  </r>
  <r>
    <d v="2025-02-07T00:00:00"/>
    <x v="0"/>
    <n v="745.23"/>
    <n v="757.93"/>
    <n v="732.53"/>
    <n v="746.77"/>
    <x v="27"/>
    <n v="-1.7943945257576388E-3"/>
    <n v="3300723.4"/>
    <s v="SEC01"/>
    <x v="0"/>
  </r>
  <r>
    <d v="2025-02-10T00:00:00"/>
    <x v="0"/>
    <n v="737.94"/>
    <n v="748.29"/>
    <n v="727.6"/>
    <n v="741.94"/>
    <x v="28"/>
    <n v="-6.5099603741541456E-3"/>
    <n v="1260556.06"/>
    <s v="SEC01"/>
    <x v="0"/>
  </r>
  <r>
    <d v="2025-02-11T00:00:00"/>
    <x v="0"/>
    <n v="746.21"/>
    <n v="754.72"/>
    <n v="737.69"/>
    <n v="742.06"/>
    <x v="29"/>
    <n v="1.6171199094398145E-4"/>
    <n v="27265510.579999998"/>
    <s v="SEC01"/>
    <x v="0"/>
  </r>
  <r>
    <d v="2025-02-12T00:00:00"/>
    <x v="0"/>
    <n v="744.05"/>
    <n v="752.7"/>
    <n v="735.41"/>
    <n v="740.1"/>
    <x v="30"/>
    <n v="-2.6482907715172578E-3"/>
    <n v="20457104.100000001"/>
    <s v="SEC01"/>
    <x v="0"/>
  </r>
  <r>
    <d v="2025-02-13T00:00:00"/>
    <x v="0"/>
    <n v="741.09"/>
    <n v="752.2"/>
    <n v="729.99"/>
    <n v="743.91"/>
    <x v="31"/>
    <n v="5.1215872887848601E-3"/>
    <n v="1167194.79"/>
    <s v="SEC01"/>
    <x v="0"/>
  </r>
  <r>
    <d v="2025-02-14T00:00:00"/>
    <x v="0"/>
    <n v="738.62"/>
    <n v="745.95"/>
    <n v="731.29"/>
    <n v="732.33"/>
    <x v="32"/>
    <n v="-1.5812543525459733E-2"/>
    <n v="34185896.730000004"/>
    <s v="SEC01"/>
    <x v="0"/>
  </r>
  <r>
    <d v="2025-02-17T00:00:00"/>
    <x v="0"/>
    <n v="739.86"/>
    <n v="751.78"/>
    <n v="727.94"/>
    <n v="742.65"/>
    <x v="33"/>
    <n v="1.3896182589375798E-2"/>
    <n v="27312439.050000001"/>
    <s v="SEC01"/>
    <x v="0"/>
  </r>
  <r>
    <d v="2025-02-18T00:00:00"/>
    <x v="0"/>
    <n v="768.97"/>
    <n v="773.2"/>
    <n v="764.74"/>
    <n v="769.29"/>
    <x v="34"/>
    <n v="3.4629333541317302E-2"/>
    <n v="35400417.93"/>
    <s v="SEC01"/>
    <x v="0"/>
  </r>
  <r>
    <d v="2025-02-19T00:00:00"/>
    <x v="0"/>
    <n v="781.47"/>
    <n v="792.7"/>
    <n v="770.24"/>
    <n v="781.13"/>
    <x v="35"/>
    <n v="1.5157528196330997E-2"/>
    <n v="10571032.289999999"/>
    <s v="SEC01"/>
    <x v="0"/>
  </r>
  <r>
    <d v="2025-02-20T00:00:00"/>
    <x v="0"/>
    <n v="783.99"/>
    <n v="789.1"/>
    <n v="778.87"/>
    <n v="783.47"/>
    <x v="36"/>
    <n v="2.9867129564629556E-3"/>
    <n v="15818259.300000001"/>
    <s v="SEC01"/>
    <x v="0"/>
  </r>
  <r>
    <d v="2025-02-21T00:00:00"/>
    <x v="0"/>
    <n v="793.71"/>
    <n v="799.06"/>
    <n v="788.35"/>
    <n v="792.41"/>
    <x v="37"/>
    <n v="1.128203833873871E-2"/>
    <n v="9229199.2699999996"/>
    <s v="SEC01"/>
    <x v="0"/>
  </r>
  <r>
    <d v="2025-02-24T00:00:00"/>
    <x v="0"/>
    <n v="785.73"/>
    <n v="796.88"/>
    <n v="774.58"/>
    <n v="782.59"/>
    <x v="38"/>
    <n v="-1.2548077537407757E-2"/>
    <n v="19859003.84"/>
    <s v="SEC01"/>
    <x v="0"/>
  </r>
  <r>
    <d v="2025-02-25T00:00:00"/>
    <x v="0"/>
    <n v="770.64"/>
    <n v="776.95"/>
    <n v="764.33"/>
    <n v="767.31"/>
    <x v="39"/>
    <n v="-1.9913724570252034E-2"/>
    <n v="10004955.09"/>
    <s v="SEC01"/>
    <x v="0"/>
  </r>
  <r>
    <d v="2025-02-26T00:00:00"/>
    <x v="0"/>
    <n v="774.29"/>
    <n v="785.89"/>
    <n v="762.68"/>
    <n v="775.01"/>
    <x v="40"/>
    <n v="9.9353556728300867E-3"/>
    <n v="20574190.469999999"/>
    <s v="SEC01"/>
    <x v="0"/>
  </r>
  <r>
    <d v="2025-02-27T00:00:00"/>
    <x v="0"/>
    <n v="776.57"/>
    <n v="783.61"/>
    <n v="769.54"/>
    <n v="769.96"/>
    <x v="41"/>
    <n v="-6.5587822744038061E-3"/>
    <n v="25483366.120000001"/>
    <s v="SEC01"/>
    <x v="0"/>
  </r>
  <r>
    <d v="2025-02-28T00:00:00"/>
    <x v="0"/>
    <n v="753.52"/>
    <n v="758.61"/>
    <n v="748.43"/>
    <n v="757.19"/>
    <x v="42"/>
    <n v="-1.6864987651712227E-2"/>
    <n v="26214674.990000002"/>
    <s v="SEC01"/>
    <x v="0"/>
  </r>
  <r>
    <d v="2025-03-03T00:00:00"/>
    <x v="0"/>
    <n v="750.31"/>
    <n v="753.93"/>
    <n v="746.69"/>
    <n v="749.01"/>
    <x v="43"/>
    <n v="-1.0921082495560891E-2"/>
    <n v="17734309.77"/>
    <s v="SEC01"/>
    <x v="0"/>
  </r>
  <r>
    <d v="2025-03-04T00:00:00"/>
    <x v="0"/>
    <n v="742.73"/>
    <n v="747.32"/>
    <n v="738.14"/>
    <n v="738.59"/>
    <x v="44"/>
    <n v="-1.4107962469028769E-2"/>
    <n v="32257918.25"/>
    <s v="SEC01"/>
    <x v="0"/>
  </r>
  <r>
    <d v="2025-03-05T00:00:00"/>
    <x v="0"/>
    <n v="738.07"/>
    <n v="740.6"/>
    <n v="735.53"/>
    <n v="740.02"/>
    <x v="45"/>
    <n v="1.9323802059403124E-3"/>
    <n v="12090446.76"/>
    <s v="SEC01"/>
    <x v="0"/>
  </r>
  <r>
    <d v="2025-03-06T00:00:00"/>
    <x v="0"/>
    <n v="742.7"/>
    <n v="747.54"/>
    <n v="737.86"/>
    <n v="745.65"/>
    <x v="46"/>
    <n v="7.550459330785215E-3"/>
    <n v="15291790.199999999"/>
    <s v="SEC01"/>
    <x v="0"/>
  </r>
  <r>
    <d v="2025-03-07T00:00:00"/>
    <x v="0"/>
    <n v="748.98"/>
    <n v="758.31"/>
    <n v="739.65"/>
    <n v="754.21"/>
    <x v="47"/>
    <n v="1.1349624109995968E-2"/>
    <n v="17049671.260000002"/>
    <s v="SEC01"/>
    <x v="0"/>
  </r>
  <r>
    <d v="2025-03-10T00:00:00"/>
    <x v="0"/>
    <n v="763.2"/>
    <n v="764.24"/>
    <n v="762.15"/>
    <n v="762.94"/>
    <x v="48"/>
    <n v="1.1442577397960544E-2"/>
    <n v="25247973.420000002"/>
    <s v="SEC01"/>
    <x v="0"/>
  </r>
  <r>
    <d v="2025-03-11T00:00:00"/>
    <x v="0"/>
    <n v="769.67"/>
    <n v="778.75"/>
    <n v="760.59"/>
    <n v="770.42"/>
    <x v="49"/>
    <n v="9.7089899016119842E-3"/>
    <n v="6923764.54"/>
    <s v="SEC01"/>
    <x v="0"/>
  </r>
  <r>
    <d v="2025-03-12T00:00:00"/>
    <x v="0"/>
    <n v="762.16"/>
    <n v="770.63"/>
    <n v="753.69"/>
    <n v="768.59"/>
    <x v="50"/>
    <n v="-2.3809833591380675E-3"/>
    <n v="36265919.149999999"/>
    <s v="SEC01"/>
    <x v="0"/>
  </r>
  <r>
    <d v="2025-03-13T00:00:00"/>
    <x v="0"/>
    <n v="759.16"/>
    <n v="767.69"/>
    <n v="750.63"/>
    <n v="762.76"/>
    <x v="51"/>
    <n v="-7.6432954009125293E-3"/>
    <n v="13892910.640000001"/>
    <s v="SEC01"/>
    <x v="0"/>
  </r>
  <r>
    <d v="2025-03-14T00:00:00"/>
    <x v="0"/>
    <n v="746.26"/>
    <n v="755.07"/>
    <n v="737.44"/>
    <n v="748.58"/>
    <x v="52"/>
    <n v="-1.8942531192390859E-2"/>
    <n v="20170488.100000001"/>
    <s v="SEC01"/>
    <x v="0"/>
  </r>
  <r>
    <d v="2025-03-17T00:00:00"/>
    <x v="0"/>
    <n v="752.09"/>
    <n v="759.59"/>
    <n v="744.59"/>
    <n v="759.2"/>
    <x v="53"/>
    <n v="1.3988408851422555E-2"/>
    <n v="1632280"/>
    <s v="SEC01"/>
    <x v="0"/>
  </r>
  <r>
    <d v="2025-03-18T00:00:00"/>
    <x v="0"/>
    <n v="759.86"/>
    <n v="768.23"/>
    <n v="751.49"/>
    <n v="757.69"/>
    <x v="54"/>
    <n v="-1.9928994707597973E-3"/>
    <n v="1576752.8900000001"/>
    <s v="SEC01"/>
    <x v="0"/>
  </r>
  <r>
    <d v="2025-03-19T00:00:00"/>
    <x v="0"/>
    <n v="757.52"/>
    <n v="767.76"/>
    <n v="747.29"/>
    <n v="753.96"/>
    <x v="55"/>
    <n v="-4.9472120536898749E-3"/>
    <n v="35568063"/>
    <s v="SEC01"/>
    <x v="0"/>
  </r>
  <r>
    <d v="2025-03-20T00:00:00"/>
    <x v="0"/>
    <n v="764.17"/>
    <n v="773.84"/>
    <n v="754.49"/>
    <n v="765.43"/>
    <x v="56"/>
    <n v="1.4985041088015775E-2"/>
    <n v="35625408.489999995"/>
    <s v="SEC01"/>
    <x v="0"/>
  </r>
  <r>
    <d v="2025-03-21T00:00:00"/>
    <x v="0"/>
    <n v="759.24"/>
    <n v="771.15"/>
    <n v="747.34"/>
    <n v="757"/>
    <x v="57"/>
    <n v="-1.1136063408190159E-2"/>
    <n v="10976500"/>
    <s v="SEC01"/>
    <x v="0"/>
  </r>
  <r>
    <d v="2025-03-24T00:00:00"/>
    <x v="0"/>
    <n v="766.59"/>
    <n v="776.48"/>
    <n v="756.7"/>
    <n v="765.18"/>
    <x v="58"/>
    <n v="1.0690295093964753E-2"/>
    <n v="37411945.739999995"/>
    <s v="SEC01"/>
    <x v="0"/>
  </r>
  <r>
    <d v="2025-03-25T00:00:00"/>
    <x v="0"/>
    <n v="773.47"/>
    <n v="779.45"/>
    <n v="767.5"/>
    <n v="768.23"/>
    <x v="59"/>
    <n v="3.970165184905651E-3"/>
    <n v="2058088.1700000002"/>
    <s v="SEC01"/>
    <x v="0"/>
  </r>
  <r>
    <d v="2025-03-26T00:00:00"/>
    <x v="0"/>
    <n v="758.72"/>
    <n v="760.84"/>
    <n v="756.61"/>
    <n v="758.43"/>
    <x v="60"/>
    <n v="-1.292142979576239E-2"/>
    <n v="21942896.759999998"/>
    <s v="SEC01"/>
    <x v="0"/>
  </r>
  <r>
    <d v="2025-03-27T00:00:00"/>
    <x v="0"/>
    <n v="758.42"/>
    <n v="759.65"/>
    <n v="757.19"/>
    <n v="757.89"/>
    <x v="61"/>
    <n v="-7.1250445315278427E-4"/>
    <n v="10834795.439999999"/>
    <s v="SEC01"/>
    <x v="0"/>
  </r>
  <r>
    <d v="2025-03-28T00:00:00"/>
    <x v="0"/>
    <n v="762.29"/>
    <n v="772.2"/>
    <n v="752.39"/>
    <n v="767.42"/>
    <x v="62"/>
    <n v="1.2418232519350517E-2"/>
    <n v="23117760.079999998"/>
    <s v="SEC01"/>
    <x v="0"/>
  </r>
  <r>
    <d v="2025-03-31T00:00:00"/>
    <x v="0"/>
    <n v="778.25"/>
    <n v="782.69"/>
    <n v="773.82"/>
    <n v="775.33"/>
    <x v="63"/>
    <n v="1.0202107489714162E-2"/>
    <n v="28103386.510000002"/>
    <s v="SEC01"/>
    <x v="0"/>
  </r>
  <r>
    <d v="2025-04-01T00:00:00"/>
    <x v="0"/>
    <n v="793.91"/>
    <n v="803.02"/>
    <n v="784.8"/>
    <n v="790.27"/>
    <x v="64"/>
    <n v="1.8904931226036596E-2"/>
    <n v="30204119.399999999"/>
    <s v="SEC01"/>
    <x v="0"/>
  </r>
  <r>
    <d v="2025-04-02T00:00:00"/>
    <x v="0"/>
    <n v="792.11"/>
    <n v="800.16"/>
    <n v="784.05"/>
    <n v="793.83"/>
    <x v="65"/>
    <n v="4.4845873801696318E-3"/>
    <n v="26656811.400000002"/>
    <s v="SEC01"/>
    <x v="0"/>
  </r>
  <r>
    <d v="2025-04-03T00:00:00"/>
    <x v="0"/>
    <n v="833.67"/>
    <n v="843.18"/>
    <n v="824.16"/>
    <n v="828.48"/>
    <x v="66"/>
    <n v="4.1823580533024304E-2"/>
    <n v="20122950.719999999"/>
    <s v="SEC01"/>
    <x v="0"/>
  </r>
  <r>
    <d v="2025-04-04T00:00:00"/>
    <x v="0"/>
    <n v="822.67"/>
    <n v="834.42"/>
    <n v="810.92"/>
    <n v="819.13"/>
    <x v="67"/>
    <n v="-1.1414549583094286E-2"/>
    <n v="35202111.75"/>
    <s v="SEC01"/>
    <x v="0"/>
  </r>
  <r>
    <d v="2025-04-07T00:00:00"/>
    <x v="0"/>
    <n v="819.26"/>
    <n v="825.96"/>
    <n v="812.56"/>
    <n v="815.22"/>
    <x v="68"/>
    <n v="-4.7962513186624077E-3"/>
    <n v="32320212.120000001"/>
    <s v="SEC01"/>
    <x v="0"/>
  </r>
  <r>
    <d v="2025-04-08T00:00:00"/>
    <x v="0"/>
    <n v="815.41"/>
    <n v="830.17"/>
    <n v="800.66"/>
    <n v="814.79"/>
    <x v="69"/>
    <n v="-5.277433449110368E-4"/>
    <n v="19299930.73"/>
    <s v="SEC01"/>
    <x v="0"/>
  </r>
  <r>
    <d v="2025-04-09T00:00:00"/>
    <x v="0"/>
    <n v="803.46"/>
    <n v="815.6"/>
    <n v="791.33"/>
    <n v="800.54"/>
    <x v="70"/>
    <n v="-1.7800484672845829E-2"/>
    <n v="6270629.8199999994"/>
    <s v="SEC01"/>
    <x v="0"/>
  </r>
  <r>
    <d v="2025-04-10T00:00:00"/>
    <x v="0"/>
    <n v="814.93"/>
    <n v="820.62"/>
    <n v="809.23"/>
    <n v="811.32"/>
    <x v="71"/>
    <n v="1.3286989104176016E-2"/>
    <n v="4910108.6400000006"/>
    <s v="SEC01"/>
    <x v="0"/>
  </r>
  <r>
    <d v="2025-04-11T00:00:00"/>
    <x v="0"/>
    <n v="817.55"/>
    <n v="829.76"/>
    <n v="805.35"/>
    <n v="820.8"/>
    <x v="72"/>
    <n v="1.1549707602339065E-2"/>
    <n v="34284816"/>
    <s v="SEC01"/>
    <x v="0"/>
  </r>
  <r>
    <d v="2025-04-14T00:00:00"/>
    <x v="0"/>
    <n v="822.58"/>
    <n v="834.67"/>
    <n v="810.5"/>
    <n v="821.2"/>
    <x v="73"/>
    <n v="4.8709206039952621E-4"/>
    <n v="15151140"/>
    <s v="SEC01"/>
    <x v="0"/>
  </r>
  <r>
    <d v="2025-04-15T00:00:00"/>
    <x v="0"/>
    <n v="816.91"/>
    <n v="819.07"/>
    <n v="814.75"/>
    <n v="815.88"/>
    <x v="74"/>
    <n v="-6.5205667500123181E-3"/>
    <n v="32222364.719999999"/>
    <s v="SEC01"/>
    <x v="0"/>
  </r>
  <r>
    <d v="2025-04-16T00:00:00"/>
    <x v="0"/>
    <n v="803.56"/>
    <n v="806.89"/>
    <n v="800.22"/>
    <n v="800.85"/>
    <x v="75"/>
    <n v="-1.8767559468065145E-2"/>
    <n v="28710472.5"/>
    <s v="SEC01"/>
    <x v="0"/>
  </r>
  <r>
    <d v="2025-04-17T00:00:00"/>
    <x v="0"/>
    <n v="790.58"/>
    <n v="798.45"/>
    <n v="782.71"/>
    <n v="793.11"/>
    <x v="76"/>
    <n v="-9.7590498165450058E-3"/>
    <n v="19139330.52"/>
    <s v="SEC01"/>
    <x v="0"/>
  </r>
  <r>
    <d v="2025-04-18T00:00:00"/>
    <x v="0"/>
    <n v="807.35"/>
    <n v="814.3"/>
    <n v="800.4"/>
    <n v="800.77"/>
    <x v="77"/>
    <n v="9.5657929243103124E-3"/>
    <n v="1134691.0900000001"/>
    <s v="SEC01"/>
    <x v="0"/>
  </r>
  <r>
    <d v="2025-04-21T00:00:00"/>
    <x v="0"/>
    <n v="796.94"/>
    <n v="802.99"/>
    <n v="790.9"/>
    <n v="798.82"/>
    <x v="78"/>
    <n v="-2.4411006234194583E-3"/>
    <n v="14545713.380000001"/>
    <s v="SEC01"/>
    <x v="0"/>
  </r>
  <r>
    <d v="2025-04-22T00:00:00"/>
    <x v="0"/>
    <n v="795.26"/>
    <n v="805.8"/>
    <n v="784.73"/>
    <n v="794.73"/>
    <x v="79"/>
    <n v="-5.1464019226655994E-3"/>
    <n v="1122158.76"/>
    <s v="SEC01"/>
    <x v="0"/>
  </r>
  <r>
    <d v="2025-04-23T00:00:00"/>
    <x v="0"/>
    <n v="796.92"/>
    <n v="800.58"/>
    <n v="793.27"/>
    <n v="799.95"/>
    <x v="80"/>
    <n v="6.5254078379899079E-3"/>
    <n v="19637172.600000001"/>
    <s v="SEC01"/>
    <x v="0"/>
  </r>
  <r>
    <d v="2025-04-24T00:00:00"/>
    <x v="0"/>
    <n v="812.75"/>
    <n v="816.48"/>
    <n v="809.02"/>
    <n v="811.9"/>
    <x v="81"/>
    <n v="1.4718561399187008E-2"/>
    <n v="16147067.199999999"/>
    <s v="SEC01"/>
    <x v="0"/>
  </r>
  <r>
    <d v="2025-04-25T00:00:00"/>
    <x v="0"/>
    <n v="814.67"/>
    <n v="824"/>
    <n v="805.35"/>
    <n v="814.73"/>
    <x v="82"/>
    <n v="3.4735433824703162E-3"/>
    <n v="15077393.380000001"/>
    <s v="SEC01"/>
    <x v="0"/>
  </r>
  <r>
    <d v="2025-04-28T00:00:00"/>
    <x v="0"/>
    <n v="818.49"/>
    <n v="824.91"/>
    <n v="812.07"/>
    <n v="818.16"/>
    <x v="83"/>
    <n v="4.1923340177959694E-3"/>
    <n v="29380943.759999998"/>
    <s v="SEC01"/>
    <x v="0"/>
  </r>
  <r>
    <d v="2025-04-29T00:00:00"/>
    <x v="0"/>
    <n v="827.71"/>
    <n v="838.3"/>
    <n v="817.12"/>
    <n v="832.62"/>
    <x v="84"/>
    <n v="1.7366866037327996E-2"/>
    <n v="38143154.82"/>
    <s v="SEC01"/>
    <x v="0"/>
  </r>
  <r>
    <d v="2025-04-30T00:00:00"/>
    <x v="0"/>
    <n v="831.98"/>
    <n v="841.83"/>
    <n v="822.13"/>
    <n v="834.67"/>
    <x v="85"/>
    <n v="2.4560604789916432E-3"/>
    <n v="40331254.399999999"/>
    <s v="SEC01"/>
    <x v="0"/>
  </r>
  <r>
    <d v="2025-05-01T00:00:00"/>
    <x v="0"/>
    <n v="830.46"/>
    <n v="835.58"/>
    <n v="825.34"/>
    <n v="831.62"/>
    <x v="86"/>
    <n v="-3.6675404631922688E-3"/>
    <n v="38181337.439999998"/>
    <s v="SEC01"/>
    <x v="0"/>
  </r>
  <r>
    <d v="2025-05-02T00:00:00"/>
    <x v="0"/>
    <n v="836.21"/>
    <n v="847.38"/>
    <n v="825.03"/>
    <n v="838.9"/>
    <x v="87"/>
    <n v="8.6780307545595101E-3"/>
    <n v="1424452.2"/>
    <s v="SEC01"/>
    <x v="0"/>
  </r>
  <r>
    <d v="2025-05-05T00:00:00"/>
    <x v="0"/>
    <n v="836.78"/>
    <n v="838.06"/>
    <n v="835.5"/>
    <n v="836.39"/>
    <x v="88"/>
    <n v="-3.000992360023423E-3"/>
    <n v="7025676"/>
    <s v="SEC01"/>
    <x v="0"/>
  </r>
  <r>
    <d v="2025-05-06T00:00:00"/>
    <x v="0"/>
    <n v="836.82"/>
    <n v="846.83"/>
    <n v="826.81"/>
    <n v="832.72"/>
    <x v="89"/>
    <n v="-4.407243731386251E-3"/>
    <n v="15073064.720000001"/>
    <s v="SEC01"/>
    <x v="0"/>
  </r>
  <r>
    <d v="2025-05-07T00:00:00"/>
    <x v="0"/>
    <n v="848.04"/>
    <n v="857.85"/>
    <n v="838.23"/>
    <n v="846.4"/>
    <x v="90"/>
    <n v="1.6162570888468751E-2"/>
    <n v="5489750.3999999994"/>
    <s v="SEC01"/>
    <x v="0"/>
  </r>
  <r>
    <d v="2025-05-08T00:00:00"/>
    <x v="0"/>
    <n v="843.42"/>
    <n v="844.89"/>
    <n v="841.94"/>
    <n v="843.49"/>
    <x v="91"/>
    <n v="-3.449951985204292E-3"/>
    <n v="32271083.91"/>
    <s v="SEC01"/>
    <x v="0"/>
  </r>
  <r>
    <d v="2025-05-09T00:00:00"/>
    <x v="0"/>
    <n v="813.13"/>
    <n v="821.3"/>
    <n v="804.96"/>
    <n v="815.93"/>
    <x v="92"/>
    <n v="-3.3777407375632791E-2"/>
    <n v="33795004.669999994"/>
    <s v="SEC01"/>
    <x v="0"/>
  </r>
  <r>
    <d v="2025-05-12T00:00:00"/>
    <x v="0"/>
    <n v="821.04"/>
    <n v="835.2"/>
    <n v="806.88"/>
    <n v="819.69"/>
    <x v="93"/>
    <n v="4.5871000012201006E-3"/>
    <n v="1690200.78"/>
    <s v="SEC01"/>
    <x v="0"/>
  </r>
  <r>
    <d v="2025-05-13T00:00:00"/>
    <x v="0"/>
    <n v="812.52"/>
    <n v="817.3"/>
    <n v="807.74"/>
    <n v="815.81"/>
    <x v="94"/>
    <n v="-4.7560093649257904E-3"/>
    <n v="9931670.9399999995"/>
    <s v="SEC01"/>
    <x v="0"/>
  </r>
  <r>
    <d v="2025-05-14T00:00:00"/>
    <x v="0"/>
    <n v="820.68"/>
    <n v="829.23"/>
    <n v="812.13"/>
    <n v="813.03"/>
    <x v="95"/>
    <n v="-3.419308020614212E-3"/>
    <n v="20093223.419999998"/>
    <s v="SEC01"/>
    <x v="0"/>
  </r>
  <r>
    <d v="2025-05-15T00:00:00"/>
    <x v="0"/>
    <n v="822.27"/>
    <n v="832.4"/>
    <n v="812.14"/>
    <n v="817.88"/>
    <x v="96"/>
    <n v="5.9299652760796484E-3"/>
    <n v="6380281.8799999999"/>
    <s v="SEC01"/>
    <x v="0"/>
  </r>
  <r>
    <d v="2025-05-16T00:00:00"/>
    <x v="0"/>
    <n v="818.66"/>
    <n v="832.18"/>
    <n v="805.13"/>
    <n v="816.37"/>
    <x v="97"/>
    <n v="-1.8496515060572912E-3"/>
    <n v="14969776.689999999"/>
    <s v="SEC01"/>
    <x v="0"/>
  </r>
  <r>
    <d v="2025-05-19T00:00:00"/>
    <x v="0"/>
    <n v="823.01"/>
    <n v="828.9"/>
    <n v="817.12"/>
    <n v="818.78"/>
    <x v="98"/>
    <n v="2.9434036004787221E-3"/>
    <n v="2081338.76"/>
    <s v="SEC01"/>
    <x v="0"/>
  </r>
  <r>
    <d v="2025-05-20T00:00:00"/>
    <x v="0"/>
    <n v="799.99"/>
    <n v="805.17"/>
    <n v="794.81"/>
    <n v="798.37"/>
    <x v="99"/>
    <n v="-2.5564587847739729E-2"/>
    <n v="22808632.530000001"/>
    <s v="SEC01"/>
    <x v="0"/>
  </r>
  <r>
    <d v="2025-05-21T00:00:00"/>
    <x v="0"/>
    <n v="795.01"/>
    <n v="803.2"/>
    <n v="786.81"/>
    <n v="789.13"/>
    <x v="100"/>
    <n v="-1.1709097360384233E-2"/>
    <n v="18588746.280000001"/>
    <s v="SEC01"/>
    <x v="0"/>
  </r>
  <r>
    <d v="2025-05-22T00:00:00"/>
    <x v="0"/>
    <n v="796.15"/>
    <n v="804.76"/>
    <n v="787.55"/>
    <n v="803.4"/>
    <x v="101"/>
    <n v="1.7762011451331817E-2"/>
    <n v="11895943.799999999"/>
    <s v="SEC01"/>
    <x v="0"/>
  </r>
  <r>
    <d v="2025-05-23T00:00:00"/>
    <x v="0"/>
    <n v="803.26"/>
    <n v="817.27"/>
    <n v="789.26"/>
    <n v="803.4"/>
    <x v="102"/>
    <n v="0"/>
    <n v="21897470.399999999"/>
    <s v="SEC01"/>
    <x v="0"/>
  </r>
  <r>
    <d v="2025-05-26T00:00:00"/>
    <x v="0"/>
    <n v="786.52"/>
    <n v="801.74"/>
    <n v="771.31"/>
    <n v="786.83"/>
    <x v="103"/>
    <n v="-2.1059186863744309E-2"/>
    <n v="21032752.73"/>
    <s v="SEC01"/>
    <x v="0"/>
  </r>
  <r>
    <d v="2025-05-27T00:00:00"/>
    <x v="0"/>
    <n v="773.67"/>
    <n v="781.89"/>
    <n v="765.46"/>
    <n v="776.45"/>
    <x v="104"/>
    <n v="-1.3368536286946996E-2"/>
    <n v="27624538.100000001"/>
    <s v="SEC01"/>
    <x v="0"/>
  </r>
  <r>
    <d v="2025-05-28T00:00:00"/>
    <x v="0"/>
    <n v="768.66"/>
    <n v="778.91"/>
    <n v="758.42"/>
    <n v="766.99"/>
    <x v="105"/>
    <n v="-1.2333928734403364E-2"/>
    <n v="20163400.109999999"/>
    <s v="SEC01"/>
    <x v="0"/>
  </r>
  <r>
    <d v="2025-05-29T00:00:00"/>
    <x v="0"/>
    <n v="774.27"/>
    <n v="782.08"/>
    <n v="766.45"/>
    <n v="768.16"/>
    <x v="106"/>
    <n v="1.5231201832950937E-3"/>
    <n v="34937453.119999997"/>
    <s v="SEC01"/>
    <x v="0"/>
  </r>
  <r>
    <d v="2025-05-30T00:00:00"/>
    <x v="0"/>
    <n v="763.01"/>
    <n v="768.04"/>
    <n v="757.97"/>
    <n v="764.17"/>
    <x v="107"/>
    <n v="-5.2213512700053774E-3"/>
    <n v="3598476.53"/>
    <s v="SEC01"/>
    <x v="0"/>
  </r>
  <r>
    <d v="2025-06-02T00:00:00"/>
    <x v="0"/>
    <n v="757.55"/>
    <n v="758.88"/>
    <n v="756.22"/>
    <n v="758.03"/>
    <x v="108"/>
    <n v="-8.0999432740128836E-3"/>
    <n v="10700351.48"/>
    <s v="SEC01"/>
    <x v="0"/>
  </r>
  <r>
    <d v="2025-06-03T00:00:00"/>
    <x v="0"/>
    <n v="758.84"/>
    <n v="770.72"/>
    <n v="746.96"/>
    <n v="758.24"/>
    <x v="109"/>
    <n v="2.7695716395868906E-4"/>
    <n v="30555555.52"/>
    <s v="SEC01"/>
    <x v="0"/>
  </r>
  <r>
    <d v="2025-06-04T00:00:00"/>
    <x v="0"/>
    <n v="760.11"/>
    <n v="771.91"/>
    <n v="748.32"/>
    <n v="763"/>
    <x v="110"/>
    <n v="6.2385321100917315E-3"/>
    <n v="26691266"/>
    <s v="SEC01"/>
    <x v="0"/>
  </r>
  <r>
    <d v="2025-06-05T00:00:00"/>
    <x v="0"/>
    <n v="763.7"/>
    <n v="767.97"/>
    <n v="759.44"/>
    <n v="760.7"/>
    <x v="111"/>
    <n v="-3.023530958327796E-3"/>
    <n v="13929938.4"/>
    <s v="SEC01"/>
    <x v="0"/>
  </r>
  <r>
    <d v="2025-06-06T00:00:00"/>
    <x v="0"/>
    <n v="749.8"/>
    <n v="758.77"/>
    <n v="740.84"/>
    <n v="755.39"/>
    <x v="112"/>
    <n v="-7.029481459908205E-3"/>
    <n v="28247809.050000001"/>
    <s v="SEC01"/>
    <x v="0"/>
  </r>
  <r>
    <d v="2025-06-09T00:00:00"/>
    <x v="0"/>
    <n v="754.74"/>
    <n v="766.27"/>
    <n v="743.21"/>
    <n v="751.57"/>
    <x v="113"/>
    <n v="-5.0826935614778877E-3"/>
    <n v="29069224.460000001"/>
    <s v="SEC01"/>
    <x v="0"/>
  </r>
  <r>
    <d v="2025-06-10T00:00:00"/>
    <x v="0"/>
    <n v="757.72"/>
    <n v="768.43"/>
    <n v="747"/>
    <n v="754.97"/>
    <x v="114"/>
    <n v="4.5034902049087737E-3"/>
    <n v="9061904.9100000001"/>
    <s v="SEC01"/>
    <x v="0"/>
  </r>
  <r>
    <d v="2025-06-11T00:00:00"/>
    <x v="0"/>
    <n v="751.46"/>
    <n v="756.2"/>
    <n v="746.72"/>
    <n v="755.08"/>
    <x v="115"/>
    <n v="1.4567992795467188E-4"/>
    <n v="11207652.440000001"/>
    <s v="SEC01"/>
    <x v="0"/>
  </r>
  <r>
    <d v="2025-06-12T00:00:00"/>
    <x v="0"/>
    <n v="761.91"/>
    <n v="763.75"/>
    <n v="760.06"/>
    <n v="762.6"/>
    <x v="116"/>
    <n v="9.8610018358247856E-3"/>
    <n v="30056353.800000001"/>
    <s v="SEC01"/>
    <x v="0"/>
  </r>
  <r>
    <d v="2025-06-13T00:00:00"/>
    <x v="0"/>
    <n v="746.54"/>
    <n v="756.24"/>
    <n v="736.84"/>
    <n v="751.81"/>
    <x v="117"/>
    <n v="-1.4352030433221263E-2"/>
    <n v="34280280.57"/>
    <s v="SEC01"/>
    <x v="0"/>
  </r>
  <r>
    <d v="2025-06-16T00:00:00"/>
    <x v="0"/>
    <n v="742.32"/>
    <n v="753.38"/>
    <n v="731.26"/>
    <n v="744.68"/>
    <x v="118"/>
    <n v="-9.5745823709512748E-3"/>
    <n v="18992318.719999999"/>
    <s v="SEC01"/>
    <x v="0"/>
  </r>
  <r>
    <d v="2025-06-17T00:00:00"/>
    <x v="0"/>
    <n v="751.82"/>
    <n v="765.92"/>
    <n v="737.73"/>
    <n v="752.15"/>
    <x v="119"/>
    <n v="9.9315296151034071E-3"/>
    <n v="9043099.4499999993"/>
    <s v="SEC01"/>
    <x v="0"/>
  </r>
  <r>
    <d v="2025-06-18T00:00:00"/>
    <x v="0"/>
    <n v="748"/>
    <n v="758.03"/>
    <n v="737.98"/>
    <n v="744.76"/>
    <x v="120"/>
    <n v="-9.9226596487458872E-3"/>
    <n v="1241514.92"/>
    <s v="SEC01"/>
    <x v="0"/>
  </r>
  <r>
    <d v="2025-06-19T00:00:00"/>
    <x v="0"/>
    <n v="759.3"/>
    <n v="763.13"/>
    <n v="755.47"/>
    <n v="758.05"/>
    <x v="121"/>
    <n v="1.7531825077501437E-2"/>
    <n v="28417020.349999998"/>
    <s v="SEC01"/>
    <x v="0"/>
  </r>
  <r>
    <d v="2025-06-20T00:00:00"/>
    <x v="0"/>
    <n v="769.99"/>
    <n v="777.22"/>
    <n v="762.76"/>
    <n v="771.77"/>
    <x v="122"/>
    <n v="1.7777317076331067E-2"/>
    <n v="21883538.349999998"/>
    <s v="SEC01"/>
    <x v="0"/>
  </r>
  <r>
    <d v="2025-06-23T00:00:00"/>
    <x v="0"/>
    <n v="786.4"/>
    <n v="791.28"/>
    <n v="781.53"/>
    <n v="785.61"/>
    <x v="123"/>
    <n v="1.761688369547235E-2"/>
    <n v="31275134.100000001"/>
    <s v="SEC01"/>
    <x v="0"/>
  </r>
  <r>
    <d v="2025-06-24T00:00:00"/>
    <x v="0"/>
    <n v="778.39"/>
    <n v="787.98"/>
    <n v="768.8"/>
    <n v="777.13"/>
    <x v="124"/>
    <n v="-1.0911945234388092E-2"/>
    <n v="11047680.08"/>
    <s v="SEC01"/>
    <x v="0"/>
  </r>
  <r>
    <d v="2025-06-25T00:00:00"/>
    <x v="0"/>
    <n v="776.58"/>
    <n v="784.47"/>
    <n v="768.69"/>
    <n v="778.07"/>
    <x v="125"/>
    <n v="1.2081175215598269E-3"/>
    <n v="25264710.970000003"/>
    <s v="SEC01"/>
    <x v="0"/>
  </r>
  <r>
    <d v="2025-06-26T00:00:00"/>
    <x v="0"/>
    <n v="767.64"/>
    <n v="775.95"/>
    <n v="759.34"/>
    <n v="773.43"/>
    <x v="126"/>
    <n v="-5.9992500937384122E-3"/>
    <n v="35921956.349999994"/>
    <s v="SEC01"/>
    <x v="0"/>
  </r>
  <r>
    <d v="2025-06-27T00:00:00"/>
    <x v="0"/>
    <n v="784.42"/>
    <n v="797.53"/>
    <n v="771.31"/>
    <n v="782.67"/>
    <x v="127"/>
    <n v="1.1805741883552467E-2"/>
    <n v="8715813.1199999992"/>
    <s v="SEC01"/>
    <x v="0"/>
  </r>
  <r>
    <d v="2025-06-30T00:00:00"/>
    <x v="0"/>
    <n v="795.75"/>
    <n v="806.56"/>
    <n v="784.95"/>
    <n v="799.87"/>
    <x v="128"/>
    <n v="2.1503494317826704E-2"/>
    <n v="19831176.91"/>
    <s v="SEC01"/>
    <x v="0"/>
  </r>
  <r>
    <d v="2025-01-01T00:00:00"/>
    <x v="1"/>
    <n v="1156.78"/>
    <n v="1172.33"/>
    <n v="1141.24"/>
    <n v="1161"/>
    <x v="129"/>
    <n v="0"/>
    <n v="13454829"/>
    <s v="SEC01"/>
    <x v="0"/>
  </r>
  <r>
    <d v="2025-01-02T00:00:00"/>
    <x v="1"/>
    <n v="1148.3800000000001"/>
    <n v="1160.76"/>
    <n v="1136.01"/>
    <n v="1156.75"/>
    <x v="130"/>
    <n v="-3.6740868813486061E-3"/>
    <n v="16247710.5"/>
    <s v="SEC01"/>
    <x v="0"/>
  </r>
  <r>
    <d v="2025-01-03T00:00:00"/>
    <x v="1"/>
    <n v="1140.48"/>
    <n v="1141.28"/>
    <n v="1139.68"/>
    <n v="1140.0999999999999"/>
    <x v="131"/>
    <n v="-1.4603982106832815E-2"/>
    <n v="6069892.3999999994"/>
    <s v="SEC01"/>
    <x v="0"/>
  </r>
  <r>
    <d v="2025-01-06T00:00:00"/>
    <x v="1"/>
    <n v="1148.73"/>
    <n v="1161.2"/>
    <n v="1136.27"/>
    <n v="1138.82"/>
    <x v="132"/>
    <n v="-1.1239704255281543E-3"/>
    <n v="48316716.140000001"/>
    <s v="SEC01"/>
    <x v="0"/>
  </r>
  <r>
    <d v="2025-01-07T00:00:00"/>
    <x v="1"/>
    <n v="1162.43"/>
    <n v="1183.74"/>
    <n v="1141.1199999999999"/>
    <n v="1161.22"/>
    <x v="133"/>
    <n v="1.9290057009007846E-2"/>
    <n v="49473778.100000001"/>
    <s v="SEC01"/>
    <x v="0"/>
  </r>
  <r>
    <d v="2025-01-08T00:00:00"/>
    <x v="1"/>
    <n v="1158.0999999999999"/>
    <n v="1175"/>
    <n v="1141.21"/>
    <n v="1152.52"/>
    <x v="134"/>
    <n v="-7.5486759448860283E-3"/>
    <n v="55409704.039999999"/>
    <s v="SEC01"/>
    <x v="0"/>
  </r>
  <r>
    <d v="2025-01-09T00:00:00"/>
    <x v="1"/>
    <n v="1170.78"/>
    <n v="1189.54"/>
    <n v="1152.02"/>
    <n v="1173.8399999999999"/>
    <x v="135"/>
    <n v="1.8162611599536509E-2"/>
    <n v="2166908.6399999997"/>
    <s v="SEC01"/>
    <x v="0"/>
  </r>
  <r>
    <d v="2025-01-10T00:00:00"/>
    <x v="1"/>
    <n v="1178.6400000000001"/>
    <n v="1190.56"/>
    <n v="1166.73"/>
    <n v="1177.96"/>
    <x v="136"/>
    <n v="3.4975720737547267E-3"/>
    <n v="27917652"/>
    <s v="SEC01"/>
    <x v="0"/>
  </r>
  <r>
    <d v="2025-01-13T00:00:00"/>
    <x v="1"/>
    <n v="1203.6400000000001"/>
    <n v="1215.0899999999999"/>
    <n v="1192.2"/>
    <n v="1196.67"/>
    <x v="137"/>
    <n v="1.5635053941353953E-2"/>
    <n v="51577673.670000002"/>
    <s v="SEC01"/>
    <x v="0"/>
  </r>
  <r>
    <d v="2025-01-14T00:00:00"/>
    <x v="1"/>
    <n v="1206.4000000000001"/>
    <n v="1217.33"/>
    <n v="1195.47"/>
    <n v="1200.26"/>
    <x v="138"/>
    <n v="2.991018612633861E-3"/>
    <n v="55916512.619999997"/>
    <s v="SEC01"/>
    <x v="0"/>
  </r>
  <r>
    <d v="2025-01-15T00:00:00"/>
    <x v="1"/>
    <n v="1194.77"/>
    <n v="1199.03"/>
    <n v="1190.5"/>
    <n v="1193.24"/>
    <x v="139"/>
    <n v="-5.8831416982333658E-3"/>
    <n v="47730793.240000002"/>
    <s v="SEC01"/>
    <x v="0"/>
  </r>
  <r>
    <d v="2025-01-16T00:00:00"/>
    <x v="1"/>
    <n v="1226.72"/>
    <n v="1237.1400000000001"/>
    <n v="1216.3"/>
    <n v="1218.43"/>
    <x v="140"/>
    <n v="2.0674146237371085E-2"/>
    <n v="3554160.31"/>
    <s v="SEC01"/>
    <x v="0"/>
  </r>
  <r>
    <d v="2025-01-17T00:00:00"/>
    <x v="1"/>
    <n v="1218.19"/>
    <n v="1225.95"/>
    <n v="1210.42"/>
    <n v="1222.18"/>
    <x v="141"/>
    <n v="3.0682878135790143E-3"/>
    <n v="59107069.160000004"/>
    <s v="SEC01"/>
    <x v="0"/>
  </r>
  <r>
    <d v="2025-01-20T00:00:00"/>
    <x v="1"/>
    <n v="1221.55"/>
    <n v="1226.31"/>
    <n v="1216.79"/>
    <n v="1225.04"/>
    <x v="142"/>
    <n v="2.3346176451380365E-3"/>
    <n v="1236065.3599999999"/>
    <s v="SEC01"/>
    <x v="0"/>
  </r>
  <r>
    <d v="2025-01-21T00:00:00"/>
    <x v="1"/>
    <n v="1237.8599999999999"/>
    <n v="1251.44"/>
    <n v="1224.27"/>
    <n v="1237.8599999999999"/>
    <x v="143"/>
    <n v="1.0356583135411062E-2"/>
    <n v="50515828.739999995"/>
    <s v="SEC01"/>
    <x v="0"/>
  </r>
  <r>
    <d v="2025-01-22T00:00:00"/>
    <x v="1"/>
    <n v="1246.55"/>
    <n v="1260.73"/>
    <n v="1232.3699999999999"/>
    <n v="1252.6600000000001"/>
    <x v="144"/>
    <n v="1.1814857982213994E-2"/>
    <n v="11915301.92"/>
    <s v="SEC01"/>
    <x v="0"/>
  </r>
  <r>
    <d v="2025-01-23T00:00:00"/>
    <x v="1"/>
    <n v="1267.57"/>
    <n v="1269.3699999999999"/>
    <n v="1265.78"/>
    <n v="1265.8499999999999"/>
    <x v="145"/>
    <n v="1.0419875972666451E-2"/>
    <n v="36119763.899999999"/>
    <s v="SEC01"/>
    <x v="0"/>
  </r>
  <r>
    <d v="2025-01-24T00:00:00"/>
    <x v="1"/>
    <n v="1245.53"/>
    <n v="1256.53"/>
    <n v="1234.54"/>
    <n v="1244.79"/>
    <x v="146"/>
    <n v="-1.6918516376256194E-2"/>
    <n v="36413841.869999997"/>
    <s v="SEC01"/>
    <x v="0"/>
  </r>
  <r>
    <d v="2025-01-27T00:00:00"/>
    <x v="1"/>
    <n v="1225.94"/>
    <n v="1237.76"/>
    <n v="1214.1099999999999"/>
    <n v="1235.1300000000001"/>
    <x v="147"/>
    <n v="-7.8210390809063442E-3"/>
    <n v="16327183.470000001"/>
    <s v="SEC01"/>
    <x v="0"/>
  </r>
  <r>
    <d v="2025-01-28T00:00:00"/>
    <x v="1"/>
    <n v="1235.55"/>
    <n v="1248.8900000000001"/>
    <n v="1222.2"/>
    <n v="1225.25"/>
    <x v="148"/>
    <n v="-8.0636604774536706E-3"/>
    <n v="11721966.75"/>
    <s v="SEC01"/>
    <x v="0"/>
  </r>
  <r>
    <d v="2025-01-29T00:00:00"/>
    <x v="1"/>
    <n v="1223.1099999999999"/>
    <n v="1237.6199999999999"/>
    <n v="1208.5899999999999"/>
    <n v="1213.57"/>
    <x v="149"/>
    <n v="-9.6244963207726495E-3"/>
    <n v="11118728.34"/>
    <s v="SEC01"/>
    <x v="0"/>
  </r>
  <r>
    <d v="2025-01-30T00:00:00"/>
    <x v="1"/>
    <n v="1192.49"/>
    <n v="1202.19"/>
    <n v="1182.8"/>
    <n v="1200.5899999999999"/>
    <x v="150"/>
    <n v="-1.0811351085716205E-2"/>
    <n v="53936505.75"/>
    <s v="SEC01"/>
    <x v="0"/>
  </r>
  <r>
    <d v="2025-01-31T00:00:00"/>
    <x v="1"/>
    <n v="1182.04"/>
    <n v="1191.9100000000001"/>
    <n v="1172.1600000000001"/>
    <n v="1190.77"/>
    <x v="151"/>
    <n v="-8.2467646984723635E-3"/>
    <n v="51003060.640000001"/>
    <s v="SEC01"/>
    <x v="0"/>
  </r>
  <r>
    <d v="2025-02-03T00:00:00"/>
    <x v="1"/>
    <n v="1195.52"/>
    <n v="1214.06"/>
    <n v="1176.98"/>
    <n v="1196.0999999999999"/>
    <x v="152"/>
    <n v="4.4561491514086846E-3"/>
    <n v="26558204.399999999"/>
    <s v="SEC01"/>
    <x v="0"/>
  </r>
  <r>
    <d v="2025-02-04T00:00:00"/>
    <x v="1"/>
    <n v="1203.27"/>
    <n v="1208.3499999999999"/>
    <n v="1198.19"/>
    <n v="1203.8599999999999"/>
    <x v="153"/>
    <n v="6.4459322512584452E-3"/>
    <n v="1296557.22"/>
    <s v="SEC01"/>
    <x v="0"/>
  </r>
  <r>
    <d v="2025-02-05T00:00:00"/>
    <x v="1"/>
    <n v="1206.0999999999999"/>
    <n v="1216.72"/>
    <n v="1195.48"/>
    <n v="1204.1300000000001"/>
    <x v="154"/>
    <n v="2.2422828099973355E-4"/>
    <n v="18134197.800000001"/>
    <s v="SEC01"/>
    <x v="0"/>
  </r>
  <r>
    <d v="2025-02-06T00:00:00"/>
    <x v="1"/>
    <n v="1196.83"/>
    <n v="1212.06"/>
    <n v="1181.5999999999999"/>
    <n v="1197.97"/>
    <x v="155"/>
    <n v="-5.1420319373607698E-3"/>
    <n v="12590664.700000001"/>
    <s v="SEC01"/>
    <x v="0"/>
  </r>
  <r>
    <d v="2025-02-07T00:00:00"/>
    <x v="1"/>
    <n v="1215.4000000000001"/>
    <n v="1235.04"/>
    <n v="1195.75"/>
    <n v="1217.6600000000001"/>
    <x v="156"/>
    <n v="1.6170359542072542E-2"/>
    <n v="10720278.640000001"/>
    <s v="SEC01"/>
    <x v="0"/>
  </r>
  <r>
    <d v="2025-02-10T00:00:00"/>
    <x v="1"/>
    <n v="1211.1199999999999"/>
    <n v="1223.8800000000001"/>
    <n v="1198.3599999999999"/>
    <n v="1216.55"/>
    <x v="157"/>
    <n v="-9.1241625909344243E-4"/>
    <n v="23812749.699999999"/>
    <s v="SEC01"/>
    <x v="0"/>
  </r>
  <r>
    <d v="2025-02-11T00:00:00"/>
    <x v="1"/>
    <n v="1234.02"/>
    <n v="1245.51"/>
    <n v="1222.54"/>
    <n v="1231.29"/>
    <x v="158"/>
    <n v="1.1971184692477004E-2"/>
    <n v="15078377.34"/>
    <s v="SEC01"/>
    <x v="0"/>
  </r>
  <r>
    <d v="2025-02-12T00:00:00"/>
    <x v="1"/>
    <n v="1220.83"/>
    <n v="1232.17"/>
    <n v="1209.49"/>
    <n v="1222.78"/>
    <x v="159"/>
    <n v="-6.9595511866402714E-3"/>
    <n v="45799224.899999999"/>
    <s v="SEC01"/>
    <x v="0"/>
  </r>
  <r>
    <d v="2025-02-13T00:00:00"/>
    <x v="1"/>
    <n v="1225.5999999999999"/>
    <n v="1235.0899999999999"/>
    <n v="1216.1099999999999"/>
    <n v="1229.46"/>
    <x v="160"/>
    <n v="5.4332796512290464E-3"/>
    <n v="51830345.219999999"/>
    <s v="SEC01"/>
    <x v="0"/>
  </r>
  <r>
    <d v="2025-02-14T00:00:00"/>
    <x v="1"/>
    <n v="1254.6300000000001"/>
    <n v="1274.23"/>
    <n v="1235.02"/>
    <n v="1250.72"/>
    <x v="161"/>
    <n v="1.6998209031597791E-2"/>
    <n v="31917123.68"/>
    <s v="SEC01"/>
    <x v="0"/>
  </r>
  <r>
    <d v="2025-02-17T00:00:00"/>
    <x v="1"/>
    <n v="1216.95"/>
    <n v="1227.3699999999999"/>
    <n v="1206.54"/>
    <n v="1210.57"/>
    <x v="162"/>
    <n v="-3.3166194437331251E-2"/>
    <n v="8217349.1599999992"/>
    <s v="SEC01"/>
    <x v="0"/>
  </r>
  <r>
    <d v="2025-02-18T00:00:00"/>
    <x v="1"/>
    <n v="1197.95"/>
    <n v="1212.81"/>
    <n v="1183.0999999999999"/>
    <n v="1200.9100000000001"/>
    <x v="163"/>
    <n v="-8.0439000424676731E-3"/>
    <n v="2308149.02"/>
    <s v="SEC01"/>
    <x v="0"/>
  </r>
  <r>
    <d v="2025-02-19T00:00:00"/>
    <x v="1"/>
    <n v="1217.92"/>
    <n v="1229.3"/>
    <n v="1206.54"/>
    <n v="1210.21"/>
    <x v="164"/>
    <n v="7.6846167194122954E-3"/>
    <n v="2565645.2000000002"/>
    <s v="SEC01"/>
    <x v="0"/>
  </r>
  <r>
    <d v="2025-02-20T00:00:00"/>
    <x v="1"/>
    <n v="1228.26"/>
    <n v="1246.52"/>
    <n v="1210"/>
    <n v="1229.1400000000001"/>
    <x v="165"/>
    <n v="1.5401012089753863E-2"/>
    <n v="4100411.0400000005"/>
    <s v="SEC01"/>
    <x v="0"/>
  </r>
  <r>
    <d v="2025-02-21T00:00:00"/>
    <x v="1"/>
    <n v="1225.97"/>
    <n v="1233.4100000000001"/>
    <n v="1218.53"/>
    <n v="1232.58"/>
    <x v="166"/>
    <n v="2.7908938973533787E-3"/>
    <n v="41001773.699999996"/>
    <s v="SEC01"/>
    <x v="0"/>
  </r>
  <r>
    <d v="2025-02-24T00:00:00"/>
    <x v="1"/>
    <n v="1230.43"/>
    <n v="1245.83"/>
    <n v="1215.03"/>
    <n v="1233.6500000000001"/>
    <x v="167"/>
    <n v="8.6734487091165533E-4"/>
    <n v="58224579.050000004"/>
    <s v="SEC01"/>
    <x v="0"/>
  </r>
  <r>
    <d v="2025-02-25T00:00:00"/>
    <x v="1"/>
    <n v="1268.18"/>
    <n v="1279.92"/>
    <n v="1256.45"/>
    <n v="1259.23"/>
    <x v="168"/>
    <n v="2.0314001413562197E-2"/>
    <n v="9281784.3300000001"/>
    <s v="SEC01"/>
    <x v="0"/>
  </r>
  <r>
    <d v="2025-02-26T00:00:00"/>
    <x v="1"/>
    <n v="1278.03"/>
    <n v="1291.6099999999999"/>
    <n v="1264.45"/>
    <n v="1279.9100000000001"/>
    <x v="169"/>
    <n v="1.615738606620783E-2"/>
    <n v="47351550.359999999"/>
    <s v="SEC01"/>
    <x v="0"/>
  </r>
  <r>
    <d v="2025-02-27T00:00:00"/>
    <x v="1"/>
    <n v="1266.96"/>
    <n v="1279.96"/>
    <n v="1253.97"/>
    <n v="1266.29"/>
    <x v="170"/>
    <n v="-1.0755830023138553E-2"/>
    <n v="25015558.949999999"/>
    <s v="SEC01"/>
    <x v="0"/>
  </r>
  <r>
    <d v="2025-02-28T00:00:00"/>
    <x v="1"/>
    <n v="1268.47"/>
    <n v="1286.77"/>
    <n v="1250.18"/>
    <n v="1268.45"/>
    <x v="171"/>
    <n v="1.7028657022350757E-3"/>
    <n v="22169969.100000001"/>
    <s v="SEC01"/>
    <x v="0"/>
  </r>
  <r>
    <d v="2025-03-03T00:00:00"/>
    <x v="1"/>
    <n v="1274.94"/>
    <n v="1289.77"/>
    <n v="1260.0999999999999"/>
    <n v="1274.52"/>
    <x v="172"/>
    <n v="4.7625772839970625E-3"/>
    <n v="44048685.719999999"/>
    <s v="SEC01"/>
    <x v="0"/>
  </r>
  <r>
    <d v="2025-03-04T00:00:00"/>
    <x v="1"/>
    <n v="1301.5"/>
    <n v="1309.29"/>
    <n v="1293.72"/>
    <n v="1302.73"/>
    <x v="173"/>
    <n v="2.1654525496457466E-2"/>
    <n v="17323703.539999999"/>
    <s v="SEC01"/>
    <x v="0"/>
  </r>
  <r>
    <d v="2025-03-05T00:00:00"/>
    <x v="1"/>
    <n v="1325.45"/>
    <n v="1342.6"/>
    <n v="1308.31"/>
    <n v="1317.33"/>
    <x v="174"/>
    <n v="1.1083023995505993E-2"/>
    <n v="59497209.449999996"/>
    <s v="SEC01"/>
    <x v="0"/>
  </r>
  <r>
    <d v="2025-03-06T00:00:00"/>
    <x v="1"/>
    <n v="1315.12"/>
    <n v="1326.48"/>
    <n v="1303.77"/>
    <n v="1315.93"/>
    <x v="175"/>
    <n v="-1.0638863769348397E-3"/>
    <n v="15187148.130000001"/>
    <s v="SEC01"/>
    <x v="0"/>
  </r>
  <r>
    <d v="2025-03-07T00:00:00"/>
    <x v="1"/>
    <n v="1315.98"/>
    <n v="1336.13"/>
    <n v="1295.82"/>
    <n v="1319.9"/>
    <x v="176"/>
    <n v="3.0078036214864967E-3"/>
    <n v="11592681.700000001"/>
    <s v="SEC01"/>
    <x v="0"/>
  </r>
  <r>
    <d v="2025-03-10T00:00:00"/>
    <x v="1"/>
    <n v="1287.8800000000001"/>
    <n v="1302.29"/>
    <n v="1273.48"/>
    <n v="1289.24"/>
    <x v="177"/>
    <n v="-2.3781452638763988E-2"/>
    <n v="35086666.600000001"/>
    <s v="SEC01"/>
    <x v="0"/>
  </r>
  <r>
    <d v="2025-03-11T00:00:00"/>
    <x v="1"/>
    <n v="1304.5999999999999"/>
    <n v="1328.15"/>
    <n v="1281.05"/>
    <n v="1305.3800000000001"/>
    <x v="178"/>
    <n v="1.2364215783909742E-2"/>
    <n v="49890318.220000006"/>
    <s v="SEC01"/>
    <x v="0"/>
  </r>
  <r>
    <d v="2025-03-12T00:00:00"/>
    <x v="1"/>
    <n v="1318.05"/>
    <n v="1340.55"/>
    <n v="1295.56"/>
    <n v="1316.36"/>
    <x v="179"/>
    <n v="8.3411832629370318E-3"/>
    <n v="52295033.719999999"/>
    <s v="SEC01"/>
    <x v="0"/>
  </r>
  <r>
    <d v="2025-03-13T00:00:00"/>
    <x v="1"/>
    <n v="1335.33"/>
    <n v="1354.35"/>
    <n v="1316.31"/>
    <n v="1336.94"/>
    <x v="180"/>
    <n v="1.5393360958607083E-2"/>
    <n v="60709108.460000001"/>
    <s v="SEC01"/>
    <x v="0"/>
  </r>
  <r>
    <d v="2025-03-14T00:00:00"/>
    <x v="1"/>
    <n v="1334.72"/>
    <n v="1336.67"/>
    <n v="1332.77"/>
    <n v="1334.83"/>
    <x v="181"/>
    <n v="-1.5807256354742757E-3"/>
    <n v="60503839.409999996"/>
    <s v="SEC01"/>
    <x v="0"/>
  </r>
  <r>
    <d v="2025-03-17T00:00:00"/>
    <x v="1"/>
    <n v="1336.36"/>
    <n v="1359.78"/>
    <n v="1312.95"/>
    <n v="1337.3"/>
    <x v="182"/>
    <n v="1.8470051596500615E-3"/>
    <n v="47554388"/>
    <s v="SEC01"/>
    <x v="0"/>
  </r>
  <r>
    <d v="2025-03-18T00:00:00"/>
    <x v="1"/>
    <n v="1317.95"/>
    <n v="1332.55"/>
    <n v="1303.3499999999999"/>
    <n v="1329.54"/>
    <x v="183"/>
    <n v="-5.8366051416279246E-3"/>
    <n v="3516633.3"/>
    <s v="SEC01"/>
    <x v="0"/>
  </r>
  <r>
    <d v="2025-03-19T00:00:00"/>
    <x v="1"/>
    <n v="1302.22"/>
    <n v="1315.64"/>
    <n v="1288.8"/>
    <n v="1310.76"/>
    <x v="184"/>
    <n v="-1.4327565687082282E-2"/>
    <n v="48288398.399999999"/>
    <s v="SEC01"/>
    <x v="0"/>
  </r>
  <r>
    <d v="2025-03-20T00:00:00"/>
    <x v="1"/>
    <n v="1305.72"/>
    <n v="1323.79"/>
    <n v="1287.6600000000001"/>
    <n v="1301.1600000000001"/>
    <x v="185"/>
    <n v="-7.3780319099879402E-3"/>
    <n v="4824701.28"/>
    <s v="SEC01"/>
    <x v="0"/>
  </r>
  <r>
    <d v="2025-03-21T00:00:00"/>
    <x v="1"/>
    <n v="1267.33"/>
    <n v="1281.6199999999999"/>
    <n v="1253.04"/>
    <n v="1271.97"/>
    <x v="186"/>
    <n v="-2.2948654449397435E-2"/>
    <n v="51163721.280000001"/>
    <s v="SEC01"/>
    <x v="0"/>
  </r>
  <r>
    <d v="2025-03-24T00:00:00"/>
    <x v="1"/>
    <n v="1282.79"/>
    <n v="1287.1400000000001"/>
    <n v="1278.44"/>
    <n v="1287.02"/>
    <x v="187"/>
    <n v="1.1693679973893145E-2"/>
    <n v="33655573"/>
    <s v="SEC01"/>
    <x v="0"/>
  </r>
  <r>
    <d v="2025-03-25T00:00:00"/>
    <x v="1"/>
    <n v="1246.9100000000001"/>
    <n v="1262.92"/>
    <n v="1230.9000000000001"/>
    <n v="1252.53"/>
    <x v="188"/>
    <n v="-2.7536266596408877E-2"/>
    <n v="11238951.689999999"/>
    <s v="SEC01"/>
    <x v="0"/>
  </r>
  <r>
    <d v="2025-03-26T00:00:00"/>
    <x v="1"/>
    <n v="1285.31"/>
    <n v="1294.23"/>
    <n v="1276.4000000000001"/>
    <n v="1285.32"/>
    <x v="189"/>
    <n v="2.5511156754738092E-2"/>
    <n v="48029837.759999998"/>
    <s v="SEC01"/>
    <x v="0"/>
  </r>
  <r>
    <d v="2025-03-27T00:00:00"/>
    <x v="1"/>
    <n v="1264.3399999999999"/>
    <n v="1272.1300000000001"/>
    <n v="1256.54"/>
    <n v="1257.3699999999999"/>
    <x v="190"/>
    <n v="-2.2228938180487882E-2"/>
    <n v="18219291.299999997"/>
    <s v="SEC01"/>
    <x v="0"/>
  </r>
  <r>
    <d v="2025-03-28T00:00:00"/>
    <x v="1"/>
    <n v="1277.44"/>
    <n v="1288.02"/>
    <n v="1266.8499999999999"/>
    <n v="1281.6600000000001"/>
    <x v="191"/>
    <n v="1.8951984145561374E-2"/>
    <n v="8073176.3400000008"/>
    <s v="SEC01"/>
    <x v="0"/>
  </r>
  <r>
    <d v="2025-03-31T00:00:00"/>
    <x v="1"/>
    <n v="1261.0999999999999"/>
    <n v="1278"/>
    <n v="1244.19"/>
    <n v="1267.3800000000001"/>
    <x v="192"/>
    <n v="-1.1267338919661011E-2"/>
    <n v="48348012.240000002"/>
    <s v="SEC01"/>
    <x v="0"/>
  </r>
  <r>
    <d v="2025-04-01T00:00:00"/>
    <x v="1"/>
    <n v="1276.02"/>
    <n v="1291.5"/>
    <n v="1260.53"/>
    <n v="1276.68"/>
    <x v="193"/>
    <n v="7.2845192217313301E-3"/>
    <n v="14547768.600000001"/>
    <s v="SEC01"/>
    <x v="0"/>
  </r>
  <r>
    <d v="2025-04-02T00:00:00"/>
    <x v="1"/>
    <n v="1261.1099999999999"/>
    <n v="1270.31"/>
    <n v="1251.9000000000001"/>
    <n v="1264.93"/>
    <x v="194"/>
    <n v="-9.2890515680709596E-3"/>
    <n v="7518743.9199999999"/>
    <s v="SEC01"/>
    <x v="0"/>
  </r>
  <r>
    <d v="2025-04-03T00:00:00"/>
    <x v="1"/>
    <n v="1302.7"/>
    <n v="1317.04"/>
    <n v="1288.3599999999999"/>
    <n v="1292.2"/>
    <x v="195"/>
    <n v="2.1103544342980948E-2"/>
    <n v="33489947.400000002"/>
    <s v="SEC01"/>
    <x v="0"/>
  </r>
  <r>
    <d v="2025-04-04T00:00:00"/>
    <x v="1"/>
    <n v="1281.43"/>
    <n v="1295.42"/>
    <n v="1267.43"/>
    <n v="1293.22"/>
    <x v="196"/>
    <n v="7.8872890923430031E-4"/>
    <n v="28199955.32"/>
    <s v="SEC01"/>
    <x v="0"/>
  </r>
  <r>
    <d v="2025-04-07T00:00:00"/>
    <x v="1"/>
    <n v="1318.07"/>
    <n v="1326.75"/>
    <n v="1309.3800000000001"/>
    <n v="1311.14"/>
    <x v="197"/>
    <n v="1.3667495461964451E-2"/>
    <n v="36499515.32"/>
    <s v="SEC01"/>
    <x v="0"/>
  </r>
  <r>
    <d v="2025-04-08T00:00:00"/>
    <x v="1"/>
    <n v="1307.81"/>
    <n v="1323.92"/>
    <n v="1291.71"/>
    <n v="1312.71"/>
    <x v="198"/>
    <n v="1.1959991163318145E-3"/>
    <n v="38022645.149999999"/>
    <s v="SEC01"/>
    <x v="0"/>
  </r>
  <r>
    <d v="2025-04-09T00:00:00"/>
    <x v="1"/>
    <n v="1319.07"/>
    <n v="1324.29"/>
    <n v="1313.85"/>
    <n v="1318.88"/>
    <x v="199"/>
    <n v="4.6782118160864309E-3"/>
    <n v="28894023.040000003"/>
    <s v="SEC01"/>
    <x v="0"/>
  </r>
  <r>
    <d v="2025-04-10T00:00:00"/>
    <x v="1"/>
    <n v="1323.37"/>
    <n v="1339.51"/>
    <n v="1307.23"/>
    <n v="1329.47"/>
    <x v="200"/>
    <n v="7.9655802688288705E-3"/>
    <n v="32665077.900000002"/>
    <s v="SEC01"/>
    <x v="0"/>
  </r>
  <r>
    <d v="2025-04-11T00:00:00"/>
    <x v="1"/>
    <n v="1311.58"/>
    <n v="1322.69"/>
    <n v="1300.47"/>
    <n v="1320.96"/>
    <x v="201"/>
    <n v="-6.4422843992247994E-3"/>
    <n v="65125969.920000002"/>
    <s v="SEC01"/>
    <x v="0"/>
  </r>
  <r>
    <d v="2025-04-14T00:00:00"/>
    <x v="1"/>
    <n v="1300.04"/>
    <n v="1313.85"/>
    <n v="1286.23"/>
    <n v="1300.1300000000001"/>
    <x v="202"/>
    <n v="-1.6021474775599304E-2"/>
    <n v="50705070.000000007"/>
    <s v="SEC01"/>
    <x v="0"/>
  </r>
  <r>
    <d v="2025-04-15T00:00:00"/>
    <x v="1"/>
    <n v="1277.26"/>
    <n v="1289.54"/>
    <n v="1264.97"/>
    <n v="1279.29"/>
    <x v="203"/>
    <n v="-1.6290286018025738E-2"/>
    <n v="17068287.18"/>
    <s v="SEC01"/>
    <x v="0"/>
  </r>
  <r>
    <d v="2025-04-16T00:00:00"/>
    <x v="1"/>
    <n v="1287.75"/>
    <n v="1304.6400000000001"/>
    <n v="1270.8499999999999"/>
    <n v="1280.4100000000001"/>
    <x v="204"/>
    <n v="8.7471981630893086E-4"/>
    <n v="45133172.090000004"/>
    <s v="SEC01"/>
    <x v="0"/>
  </r>
  <r>
    <d v="2025-04-17T00:00:00"/>
    <x v="1"/>
    <n v="1277.58"/>
    <n v="1295.7"/>
    <n v="1259.45"/>
    <n v="1272.8599999999999"/>
    <x v="205"/>
    <n v="-5.9315242838962516E-3"/>
    <n v="61339123.399999999"/>
    <s v="SEC01"/>
    <x v="0"/>
  </r>
  <r>
    <d v="2025-04-18T00:00:00"/>
    <x v="1"/>
    <n v="1240.93"/>
    <n v="1263.46"/>
    <n v="1218.3900000000001"/>
    <n v="1239.2"/>
    <x v="206"/>
    <n v="-2.7162685603615119E-2"/>
    <n v="25832363.199999999"/>
    <s v="SEC01"/>
    <x v="0"/>
  </r>
  <r>
    <d v="2025-04-21T00:00:00"/>
    <x v="1"/>
    <n v="1255.42"/>
    <n v="1263.97"/>
    <n v="1246.8599999999999"/>
    <n v="1247.53"/>
    <x v="207"/>
    <n v="6.6771941356119115E-3"/>
    <n v="14967864.939999999"/>
    <s v="SEC01"/>
    <x v="0"/>
  </r>
  <r>
    <d v="2025-04-22T00:00:00"/>
    <x v="1"/>
    <n v="1229.53"/>
    <n v="1235.06"/>
    <n v="1224"/>
    <n v="1228.82"/>
    <x v="208"/>
    <n v="-1.5225989160332708E-2"/>
    <n v="11697137.58"/>
    <s v="SEC01"/>
    <x v="0"/>
  </r>
  <r>
    <d v="2025-04-23T00:00:00"/>
    <x v="1"/>
    <n v="1202.8499999999999"/>
    <n v="1213.8"/>
    <n v="1191.9000000000001"/>
    <n v="1211.28"/>
    <x v="209"/>
    <n v="-1.448054950135391E-2"/>
    <n v="9353504.1600000001"/>
    <s v="SEC01"/>
    <x v="0"/>
  </r>
  <r>
    <d v="2025-04-24T00:00:00"/>
    <x v="1"/>
    <n v="1214.93"/>
    <n v="1232.42"/>
    <n v="1197.45"/>
    <n v="1210.93"/>
    <x v="210"/>
    <n v="-2.8903404821080413E-4"/>
    <n v="17649304.75"/>
    <s v="SEC01"/>
    <x v="0"/>
  </r>
  <r>
    <d v="2025-04-25T00:00:00"/>
    <x v="1"/>
    <n v="1195.8399999999999"/>
    <n v="1199.94"/>
    <n v="1191.73"/>
    <n v="1197.56"/>
    <x v="211"/>
    <n v="-1.1164367547346369E-2"/>
    <n v="39305116.759999998"/>
    <s v="SEC01"/>
    <x v="0"/>
  </r>
  <r>
    <d v="2025-04-28T00:00:00"/>
    <x v="1"/>
    <n v="1197.25"/>
    <n v="1214.17"/>
    <n v="1180.33"/>
    <n v="1199.69"/>
    <x v="212"/>
    <n v="1.775458660153964E-3"/>
    <n v="15805915.75"/>
    <s v="SEC01"/>
    <x v="0"/>
  </r>
  <r>
    <d v="2025-04-29T00:00:00"/>
    <x v="1"/>
    <n v="1226.8599999999999"/>
    <n v="1239.96"/>
    <n v="1213.75"/>
    <n v="1230.19"/>
    <x v="213"/>
    <n v="2.4792918167112397E-2"/>
    <n v="27542723.91"/>
    <s v="SEC01"/>
    <x v="0"/>
  </r>
  <r>
    <d v="2025-04-30T00:00:00"/>
    <x v="1"/>
    <n v="1217.23"/>
    <n v="1231.8"/>
    <n v="1202.67"/>
    <n v="1224.6199999999999"/>
    <x v="214"/>
    <n v="-4.5483496921495357E-3"/>
    <n v="8756033"/>
    <s v="SEC01"/>
    <x v="0"/>
  </r>
  <r>
    <d v="2025-05-01T00:00:00"/>
    <x v="1"/>
    <n v="1207.43"/>
    <n v="1223.98"/>
    <n v="1190.8800000000001"/>
    <n v="1208.67"/>
    <x v="215"/>
    <n v="-1.3196323231320226E-2"/>
    <n v="25477554.93"/>
    <s v="SEC01"/>
    <x v="0"/>
  </r>
  <r>
    <d v="2025-05-02T00:00:00"/>
    <x v="1"/>
    <n v="1206.8599999999999"/>
    <n v="1216.1199999999999"/>
    <n v="1197.5899999999999"/>
    <n v="1211.72"/>
    <x v="216"/>
    <n v="2.5170831545241099E-3"/>
    <n v="39282750.68"/>
    <s v="SEC01"/>
    <x v="0"/>
  </r>
  <r>
    <d v="2025-05-05T00:00:00"/>
    <x v="1"/>
    <n v="1197.75"/>
    <n v="1217.1300000000001"/>
    <n v="1178.3699999999999"/>
    <n v="1200.23"/>
    <x v="217"/>
    <n v="-9.5731651433475333E-3"/>
    <n v="29088774.280000001"/>
    <s v="SEC01"/>
    <x v="0"/>
  </r>
  <r>
    <d v="2025-05-06T00:00:00"/>
    <x v="1"/>
    <n v="1201.8699999999999"/>
    <n v="1209.0899999999999"/>
    <n v="1194.6500000000001"/>
    <n v="1200.8800000000001"/>
    <x v="218"/>
    <n v="5.4126973552735564E-4"/>
    <n v="42243355.760000005"/>
    <s v="SEC01"/>
    <x v="0"/>
  </r>
  <r>
    <d v="2025-05-07T00:00:00"/>
    <x v="1"/>
    <n v="1209.9100000000001"/>
    <n v="1214.71"/>
    <n v="1205.1199999999999"/>
    <n v="1205.95"/>
    <x v="219"/>
    <n v="4.2041544010945195E-3"/>
    <n v="18807996.199999999"/>
    <s v="SEC01"/>
    <x v="0"/>
  </r>
  <r>
    <d v="2025-05-08T00:00:00"/>
    <x v="1"/>
    <n v="1200.53"/>
    <n v="1214.03"/>
    <n v="1187.04"/>
    <n v="1205.7"/>
    <x v="220"/>
    <n v="-2.0734842829891347E-4"/>
    <n v="56619672"/>
    <s v="SEC01"/>
    <x v="0"/>
  </r>
  <r>
    <d v="2025-05-09T00:00:00"/>
    <x v="1"/>
    <n v="1208.56"/>
    <n v="1217.3800000000001"/>
    <n v="1199.74"/>
    <n v="1206.8499999999999"/>
    <x v="221"/>
    <n v="9.5289389733592715E-4"/>
    <n v="54140497.849999994"/>
    <s v="SEC01"/>
    <x v="0"/>
  </r>
  <r>
    <d v="2025-05-12T00:00:00"/>
    <x v="1"/>
    <n v="1218.1099999999999"/>
    <n v="1228.93"/>
    <n v="1207.3"/>
    <n v="1210.06"/>
    <x v="222"/>
    <n v="2.6527610201147354E-3"/>
    <n v="59637807.099999994"/>
    <s v="SEC01"/>
    <x v="0"/>
  </r>
  <r>
    <d v="2025-05-13T00:00:00"/>
    <x v="1"/>
    <n v="1229.92"/>
    <n v="1246.99"/>
    <n v="1212.8599999999999"/>
    <n v="1234.95"/>
    <x v="223"/>
    <n v="2.0154662132070206E-2"/>
    <n v="26683564.650000002"/>
    <s v="SEC01"/>
    <x v="0"/>
  </r>
  <r>
    <d v="2025-05-14T00:00:00"/>
    <x v="1"/>
    <n v="1227.5899999999999"/>
    <n v="1235.8"/>
    <n v="1219.3800000000001"/>
    <n v="1231.31"/>
    <x v="224"/>
    <n v="-2.9562011191333623E-3"/>
    <n v="35530681.359999999"/>
    <s v="SEC01"/>
    <x v="0"/>
  </r>
  <r>
    <d v="2025-05-15T00:00:00"/>
    <x v="1"/>
    <n v="1230.22"/>
    <n v="1240.22"/>
    <n v="1220.22"/>
    <n v="1233.5899999999999"/>
    <x v="225"/>
    <n v="1.8482640099222374E-3"/>
    <n v="52052563.639999993"/>
    <s v="SEC01"/>
    <x v="0"/>
  </r>
  <r>
    <d v="2025-05-16T00:00:00"/>
    <x v="1"/>
    <n v="1249.73"/>
    <n v="1257.47"/>
    <n v="1241.99"/>
    <n v="1247.43"/>
    <x v="226"/>
    <n v="1.1094810931274816E-2"/>
    <n v="23308229.550000001"/>
    <s v="SEC01"/>
    <x v="0"/>
  </r>
  <r>
    <d v="2025-05-19T00:00:00"/>
    <x v="1"/>
    <n v="1253.28"/>
    <n v="1276.1099999999999"/>
    <n v="1230.44"/>
    <n v="1255.1500000000001"/>
    <x v="227"/>
    <n v="6.1506592837509673E-3"/>
    <n v="53219615.150000006"/>
    <s v="SEC01"/>
    <x v="0"/>
  </r>
  <r>
    <d v="2025-05-20T00:00:00"/>
    <x v="1"/>
    <n v="1252.42"/>
    <n v="1272.31"/>
    <n v="1232.52"/>
    <n v="1249.8"/>
    <x v="228"/>
    <n v="-4.2806849095856428E-3"/>
    <n v="12493000.799999999"/>
    <s v="SEC01"/>
    <x v="0"/>
  </r>
  <r>
    <d v="2025-05-21T00:00:00"/>
    <x v="1"/>
    <n v="1253.05"/>
    <n v="1264.8499999999999"/>
    <n v="1241.26"/>
    <n v="1264.3800000000001"/>
    <x v="229"/>
    <n v="1.1531343425236205E-2"/>
    <n v="34979072.700000003"/>
    <s v="SEC01"/>
    <x v="0"/>
  </r>
  <r>
    <d v="2025-05-22T00:00:00"/>
    <x v="1"/>
    <n v="1254.6600000000001"/>
    <n v="1265.3"/>
    <n v="1244.02"/>
    <n v="1250.8800000000001"/>
    <x v="230"/>
    <n v="-1.0792402148887182E-2"/>
    <n v="51226037.760000005"/>
    <s v="SEC01"/>
    <x v="0"/>
  </r>
  <r>
    <d v="2025-05-23T00:00:00"/>
    <x v="1"/>
    <n v="1246.45"/>
    <n v="1257.72"/>
    <n v="1235.19"/>
    <n v="1247.6099999999999"/>
    <x v="231"/>
    <n v="-2.6210113737467713E-3"/>
    <n v="17310588.75"/>
    <s v="SEC01"/>
    <x v="0"/>
  </r>
  <r>
    <d v="2025-05-26T00:00:00"/>
    <x v="1"/>
    <n v="1238.25"/>
    <n v="1240.94"/>
    <n v="1235.57"/>
    <n v="1235.8399999999999"/>
    <x v="232"/>
    <n v="-9.5238865872604734E-3"/>
    <n v="51608678.399999999"/>
    <s v="SEC01"/>
    <x v="0"/>
  </r>
  <r>
    <d v="2025-05-27T00:00:00"/>
    <x v="1"/>
    <n v="1239.3399999999999"/>
    <n v="1251.77"/>
    <n v="1226.9000000000001"/>
    <n v="1245.1400000000001"/>
    <x v="233"/>
    <n v="7.4690396260662911E-3"/>
    <n v="39828293.18"/>
    <s v="SEC01"/>
    <x v="0"/>
  </r>
  <r>
    <d v="2025-05-28T00:00:00"/>
    <x v="1"/>
    <n v="1266"/>
    <n v="1280.25"/>
    <n v="1251.74"/>
    <n v="1264.24"/>
    <x v="234"/>
    <n v="1.5107890906789778E-2"/>
    <n v="36067502.960000001"/>
    <s v="SEC01"/>
    <x v="0"/>
  </r>
  <r>
    <d v="2025-05-29T00:00:00"/>
    <x v="1"/>
    <n v="1274.3900000000001"/>
    <n v="1291.3"/>
    <n v="1257.48"/>
    <n v="1268.1099999999999"/>
    <x v="235"/>
    <n v="3.051785728367327E-3"/>
    <n v="31736988.969999999"/>
    <s v="SEC01"/>
    <x v="0"/>
  </r>
  <r>
    <d v="2025-05-30T00:00:00"/>
    <x v="1"/>
    <n v="1274.04"/>
    <n v="1289.19"/>
    <n v="1258.8900000000001"/>
    <n v="1269.6099999999999"/>
    <x v="236"/>
    <n v="1.1814651743448778E-3"/>
    <n v="27435002.489999998"/>
    <s v="SEC01"/>
    <x v="0"/>
  </r>
  <r>
    <d v="2025-06-02T00:00:00"/>
    <x v="1"/>
    <n v="1248.81"/>
    <n v="1260.17"/>
    <n v="1237.45"/>
    <n v="1255.99"/>
    <x v="237"/>
    <n v="-1.0844035382447225E-2"/>
    <n v="25433797.5"/>
    <s v="SEC01"/>
    <x v="0"/>
  </r>
  <r>
    <d v="2025-06-03T00:00:00"/>
    <x v="1"/>
    <n v="1236.74"/>
    <n v="1247.47"/>
    <n v="1226.02"/>
    <n v="1245.22"/>
    <x v="238"/>
    <n v="-8.6490740592023753E-3"/>
    <n v="31208948.859999999"/>
    <s v="SEC01"/>
    <x v="0"/>
  </r>
  <r>
    <d v="2025-06-04T00:00:00"/>
    <x v="1"/>
    <n v="1229.31"/>
    <n v="1249.4000000000001"/>
    <n v="1209.23"/>
    <n v="1226.93"/>
    <x v="239"/>
    <n v="-1.4907125915903893E-2"/>
    <n v="39829828.590000004"/>
    <s v="SEC01"/>
    <x v="0"/>
  </r>
  <r>
    <d v="2025-06-05T00:00:00"/>
    <x v="1"/>
    <n v="1195.0999999999999"/>
    <n v="1207.55"/>
    <n v="1182.6600000000001"/>
    <n v="1194.03"/>
    <x v="240"/>
    <n v="-2.7553746555781758E-2"/>
    <n v="28835824.5"/>
    <s v="SEC01"/>
    <x v="0"/>
  </r>
  <r>
    <d v="2025-06-06T00:00:00"/>
    <x v="1"/>
    <n v="1198.17"/>
    <n v="1211.1199999999999"/>
    <n v="1185.23"/>
    <n v="1188.44"/>
    <x v="241"/>
    <n v="-4.7036451146039498E-3"/>
    <n v="29548183.720000003"/>
    <s v="SEC01"/>
    <x v="0"/>
  </r>
  <r>
    <d v="2025-06-09T00:00:00"/>
    <x v="1"/>
    <n v="1186.44"/>
    <n v="1189.3599999999999"/>
    <n v="1183.53"/>
    <n v="1184.27"/>
    <x v="242"/>
    <n v="-3.5211564930295227E-3"/>
    <n v="58354904.25"/>
    <s v="SEC01"/>
    <x v="0"/>
  </r>
  <r>
    <d v="2025-06-10T00:00:00"/>
    <x v="1"/>
    <n v="1209.1500000000001"/>
    <n v="1221.3699999999999"/>
    <n v="1196.93"/>
    <n v="1217.42"/>
    <x v="243"/>
    <n v="2.7229715299568011E-2"/>
    <n v="15962811.040000001"/>
    <s v="SEC01"/>
    <x v="0"/>
  </r>
  <r>
    <d v="2025-06-11T00:00:00"/>
    <x v="1"/>
    <n v="1240.68"/>
    <n v="1254.26"/>
    <n v="1227.0999999999999"/>
    <n v="1241.93"/>
    <x v="244"/>
    <n v="1.9735411818701528E-2"/>
    <n v="1839298.33"/>
    <s v="SEC01"/>
    <x v="0"/>
  </r>
  <r>
    <d v="2025-06-12T00:00:00"/>
    <x v="1"/>
    <n v="1252.82"/>
    <n v="1266.55"/>
    <n v="1239.0899999999999"/>
    <n v="1250.95"/>
    <x v="245"/>
    <n v="7.2105200047963402E-3"/>
    <n v="44894093.600000001"/>
    <s v="SEC01"/>
    <x v="0"/>
  </r>
  <r>
    <d v="2025-06-13T00:00:00"/>
    <x v="1"/>
    <n v="1276.1500000000001"/>
    <n v="1286.47"/>
    <n v="1265.8399999999999"/>
    <n v="1284.54"/>
    <x v="246"/>
    <n v="2.6149438709576905E-2"/>
    <n v="44969176.32"/>
    <s v="SEC01"/>
    <x v="0"/>
  </r>
  <r>
    <d v="2025-06-16T00:00:00"/>
    <x v="1"/>
    <n v="1308.96"/>
    <n v="1326"/>
    <n v="1291.92"/>
    <n v="1307.56"/>
    <x v="247"/>
    <n v="1.760531065496037E-2"/>
    <n v="60252364.799999997"/>
    <s v="SEC01"/>
    <x v="0"/>
  </r>
  <r>
    <d v="2025-06-17T00:00:00"/>
    <x v="1"/>
    <n v="1267.9100000000001"/>
    <n v="1281.49"/>
    <n v="1254.32"/>
    <n v="1275.21"/>
    <x v="248"/>
    <n v="-2.5368370699727815E-2"/>
    <n v="44657854.200000003"/>
    <s v="SEC01"/>
    <x v="0"/>
  </r>
  <r>
    <d v="2025-06-18T00:00:00"/>
    <x v="1"/>
    <n v="1280.3"/>
    <n v="1292.8399999999999"/>
    <n v="1267.76"/>
    <n v="1292.78"/>
    <x v="249"/>
    <n v="1.3590866195330942E-2"/>
    <n v="27899485.18"/>
    <s v="SEC01"/>
    <x v="0"/>
  </r>
  <r>
    <d v="2025-06-19T00:00:00"/>
    <x v="1"/>
    <n v="1307.72"/>
    <n v="1320.14"/>
    <n v="1295.31"/>
    <n v="1304.73"/>
    <x v="250"/>
    <n v="9.1589830846229067E-3"/>
    <n v="6641075.7000000002"/>
    <s v="SEC01"/>
    <x v="0"/>
  </r>
  <r>
    <d v="2025-06-20T00:00:00"/>
    <x v="1"/>
    <n v="1302.53"/>
    <n v="1325.32"/>
    <n v="1279.75"/>
    <n v="1300.29"/>
    <x v="251"/>
    <n v="-3.414622891816483E-3"/>
    <n v="48641248.32"/>
    <s v="SEC01"/>
    <x v="0"/>
  </r>
  <r>
    <d v="2025-06-23T00:00:00"/>
    <x v="1"/>
    <n v="1280.95"/>
    <n v="1289.02"/>
    <n v="1272.8900000000001"/>
    <n v="1277.6199999999999"/>
    <x v="252"/>
    <n v="-1.7743930120067058E-2"/>
    <n v="2990908.42"/>
    <s v="SEC01"/>
    <x v="0"/>
  </r>
  <r>
    <d v="2025-06-24T00:00:00"/>
    <x v="1"/>
    <n v="1290.1199999999999"/>
    <n v="1312.22"/>
    <n v="1268.02"/>
    <n v="1287.55"/>
    <x v="253"/>
    <n v="7.7123218515786291E-3"/>
    <n v="17065187.699999999"/>
    <s v="SEC01"/>
    <x v="0"/>
  </r>
  <r>
    <d v="2025-06-25T00:00:00"/>
    <x v="1"/>
    <n v="1256.4100000000001"/>
    <n v="1274.79"/>
    <n v="1238.03"/>
    <n v="1254.56"/>
    <x v="254"/>
    <n v="-2.6296071929600824E-2"/>
    <n v="4291849.76"/>
    <s v="SEC01"/>
    <x v="0"/>
  </r>
  <r>
    <d v="2025-06-26T00:00:00"/>
    <x v="1"/>
    <n v="1250.21"/>
    <n v="1270.5"/>
    <n v="1229.9100000000001"/>
    <n v="1254.52"/>
    <x v="255"/>
    <n v="-3.1884704907027086E-5"/>
    <n v="16205889.359999999"/>
    <s v="SEC01"/>
    <x v="0"/>
  </r>
  <r>
    <d v="2025-06-27T00:00:00"/>
    <x v="1"/>
    <n v="1253.0899999999999"/>
    <n v="1262.3599999999999"/>
    <n v="1243.81"/>
    <n v="1245.0999999999999"/>
    <x v="256"/>
    <n v="-7.5656573769175761E-3"/>
    <n v="59287926.699999996"/>
    <s v="SEC01"/>
    <x v="0"/>
  </r>
  <r>
    <d v="2025-06-30T00:00:00"/>
    <x v="1"/>
    <n v="1217.6300000000001"/>
    <n v="1226.76"/>
    <n v="1208.5"/>
    <n v="1225.8"/>
    <x v="257"/>
    <n v="-1.5744819709577383E-2"/>
    <n v="7116994.7999999998"/>
    <s v="SEC01"/>
    <x v="0"/>
  </r>
  <r>
    <d v="2025-01-01T00:00:00"/>
    <x v="2"/>
    <n v="1974.24"/>
    <n v="1983.08"/>
    <n v="1965.4"/>
    <n v="1967.98"/>
    <x v="258"/>
    <n v="0"/>
    <n v="88685050.719999999"/>
    <s v="SEC02"/>
    <x v="1"/>
  </r>
  <r>
    <d v="2025-01-02T00:00:00"/>
    <x v="2"/>
    <n v="2030.8"/>
    <n v="2047.32"/>
    <n v="2014.27"/>
    <n v="2034.15"/>
    <x v="259"/>
    <n v="3.2529557800555546E-2"/>
    <n v="58115665.5"/>
    <s v="SEC02"/>
    <x v="1"/>
  </r>
  <r>
    <d v="2025-01-03T00:00:00"/>
    <x v="2"/>
    <n v="2021.01"/>
    <n v="2026.12"/>
    <n v="2015.9"/>
    <n v="2015.94"/>
    <x v="260"/>
    <n v="-9.0330069347302182E-3"/>
    <n v="25693155.300000001"/>
    <s v="SEC02"/>
    <x v="1"/>
  </r>
  <r>
    <d v="2025-01-06T00:00:00"/>
    <x v="2"/>
    <n v="1992.73"/>
    <n v="2018.24"/>
    <n v="1967.23"/>
    <n v="2007.26"/>
    <x v="261"/>
    <n v="-4.3243027809053451E-3"/>
    <n v="30686990.879999999"/>
    <s v="SEC02"/>
    <x v="1"/>
  </r>
  <r>
    <d v="2025-01-07T00:00:00"/>
    <x v="2"/>
    <n v="1972.17"/>
    <n v="1991.18"/>
    <n v="1953.17"/>
    <n v="1987.12"/>
    <x v="262"/>
    <n v="-1.0135271146181459E-2"/>
    <n v="8628075.0399999991"/>
    <s v="SEC02"/>
    <x v="1"/>
  </r>
  <r>
    <d v="2025-01-08T00:00:00"/>
    <x v="2"/>
    <n v="2005.09"/>
    <n v="2034.91"/>
    <n v="1975.28"/>
    <n v="2003.07"/>
    <x v="263"/>
    <n v="7.962777137094583E-3"/>
    <n v="48896941.769999996"/>
    <s v="SEC02"/>
    <x v="1"/>
  </r>
  <r>
    <d v="2025-01-09T00:00:00"/>
    <x v="2"/>
    <n v="1999.94"/>
    <n v="2032.18"/>
    <n v="1967.71"/>
    <n v="1998.6"/>
    <x v="264"/>
    <n v="-2.2365655959171557E-3"/>
    <n v="8180269.7999999998"/>
    <s v="SEC02"/>
    <x v="1"/>
  </r>
  <r>
    <d v="2025-01-10T00:00:00"/>
    <x v="2"/>
    <n v="1960.4"/>
    <n v="1980.14"/>
    <n v="1940.66"/>
    <n v="1974.95"/>
    <x v="265"/>
    <n v="-1.1974986708524198E-2"/>
    <n v="89688404.350000009"/>
    <s v="SEC02"/>
    <x v="1"/>
  </r>
  <r>
    <d v="2025-01-13T00:00:00"/>
    <x v="2"/>
    <n v="1986.24"/>
    <n v="1997.86"/>
    <n v="1974.62"/>
    <n v="1991.84"/>
    <x v="266"/>
    <n v="8.4795967547593547E-3"/>
    <n v="80099853.75999999"/>
    <s v="SEC02"/>
    <x v="1"/>
  </r>
  <r>
    <d v="2025-01-14T00:00:00"/>
    <x v="2"/>
    <n v="2007.88"/>
    <n v="2029.17"/>
    <n v="1986.58"/>
    <n v="2012.28"/>
    <x v="267"/>
    <n v="1.0157632138668602E-2"/>
    <n v="100414784.28"/>
    <s v="SEC02"/>
    <x v="1"/>
  </r>
  <r>
    <d v="2025-01-15T00:00:00"/>
    <x v="2"/>
    <n v="2017.46"/>
    <n v="2041.64"/>
    <n v="1993.28"/>
    <n v="2011.07"/>
    <x v="268"/>
    <n v="-6.0166975789009648E-4"/>
    <n v="13325349.82"/>
    <s v="SEC02"/>
    <x v="1"/>
  </r>
  <r>
    <d v="2025-01-16T00:00:00"/>
    <x v="2"/>
    <n v="1985.13"/>
    <n v="2011.13"/>
    <n v="1959.13"/>
    <n v="1994.8"/>
    <x v="269"/>
    <n v="-8.1562061359534699E-3"/>
    <n v="41854893.600000001"/>
    <s v="SEC02"/>
    <x v="1"/>
  </r>
  <r>
    <d v="2025-01-17T00:00:00"/>
    <x v="2"/>
    <n v="2062.31"/>
    <n v="2081.71"/>
    <n v="2042.9"/>
    <n v="2051.12"/>
    <x v="270"/>
    <n v="2.7458169195366405E-2"/>
    <n v="41924892.799999997"/>
    <s v="SEC02"/>
    <x v="1"/>
  </r>
  <r>
    <d v="2025-01-20T00:00:00"/>
    <x v="2"/>
    <n v="2066.25"/>
    <n v="2087.27"/>
    <n v="2045.23"/>
    <n v="2060.42"/>
    <x v="271"/>
    <n v="4.5136428495162065E-3"/>
    <n v="80681926.359999999"/>
    <s v="SEC02"/>
    <x v="1"/>
  </r>
  <r>
    <d v="2025-01-21T00:00:00"/>
    <x v="2"/>
    <n v="2026.64"/>
    <n v="2047.22"/>
    <n v="2006.06"/>
    <n v="2028.09"/>
    <x v="272"/>
    <n v="-1.5941107150077242E-2"/>
    <n v="45759794.670000002"/>
    <s v="SEC02"/>
    <x v="1"/>
  </r>
  <r>
    <d v="2025-01-22T00:00:00"/>
    <x v="2"/>
    <n v="2050.9299999999998"/>
    <n v="2072.6999999999998"/>
    <n v="2029.16"/>
    <n v="2065.04"/>
    <x v="273"/>
    <n v="1.789311587184754E-2"/>
    <n v="9044875.1999999993"/>
    <s v="SEC02"/>
    <x v="1"/>
  </r>
  <r>
    <d v="2025-01-23T00:00:00"/>
    <x v="2"/>
    <n v="2037.25"/>
    <n v="2049.66"/>
    <n v="2024.84"/>
    <n v="2043.38"/>
    <x v="274"/>
    <n v="-1.0600084174260222E-2"/>
    <n v="42945717.460000001"/>
    <s v="SEC02"/>
    <x v="1"/>
  </r>
  <r>
    <d v="2025-01-24T00:00:00"/>
    <x v="2"/>
    <n v="2118.5500000000002"/>
    <n v="2147.9"/>
    <n v="2089.1999999999998"/>
    <n v="2115.6999999999998"/>
    <x v="275"/>
    <n v="3.4182540057663996E-2"/>
    <n v="38808285.099999994"/>
    <s v="SEC02"/>
    <x v="1"/>
  </r>
  <r>
    <d v="2025-01-27T00:00:00"/>
    <x v="2"/>
    <n v="2105.25"/>
    <n v="2130.79"/>
    <n v="2079.6999999999998"/>
    <n v="2118.33"/>
    <x v="276"/>
    <n v="1.2415440464895032E-3"/>
    <n v="34424980.829999998"/>
    <s v="SEC02"/>
    <x v="1"/>
  </r>
  <r>
    <d v="2025-01-28T00:00:00"/>
    <x v="2"/>
    <n v="2152.8200000000002"/>
    <n v="2180.25"/>
    <n v="2125.39"/>
    <n v="2146.06"/>
    <x v="277"/>
    <n v="1.2921353550226937E-2"/>
    <n v="26903008.16"/>
    <s v="SEC02"/>
    <x v="1"/>
  </r>
  <r>
    <d v="2025-01-29T00:00:00"/>
    <x v="2"/>
    <n v="2098.5700000000002"/>
    <n v="2116.4499999999998"/>
    <n v="2080.6999999999998"/>
    <n v="2091.0500000000002"/>
    <x v="278"/>
    <n v="-2.6307357547643413E-2"/>
    <n v="20308277.600000001"/>
    <s v="SEC02"/>
    <x v="1"/>
  </r>
  <r>
    <d v="2025-01-30T00:00:00"/>
    <x v="2"/>
    <n v="2051.9899999999998"/>
    <n v="2066.23"/>
    <n v="2037.75"/>
    <n v="2057.98"/>
    <x v="279"/>
    <n v="-1.6069155191012624E-2"/>
    <n v="12572199.82"/>
    <s v="SEC02"/>
    <x v="1"/>
  </r>
  <r>
    <d v="2025-01-31T00:00:00"/>
    <x v="2"/>
    <n v="2087.8200000000002"/>
    <n v="2107"/>
    <n v="2068.64"/>
    <n v="2093.35"/>
    <x v="280"/>
    <n v="1.6896362290109105E-2"/>
    <n v="37611219.449999996"/>
    <s v="SEC02"/>
    <x v="1"/>
  </r>
  <r>
    <d v="2025-02-03T00:00:00"/>
    <x v="2"/>
    <n v="2099.21"/>
    <n v="2115.3000000000002"/>
    <n v="2083.11"/>
    <n v="2102.25"/>
    <x v="281"/>
    <n v="4.2335592817220082E-3"/>
    <n v="79748853.75"/>
    <s v="SEC02"/>
    <x v="1"/>
  </r>
  <r>
    <d v="2025-02-04T00:00:00"/>
    <x v="2"/>
    <n v="2152.91"/>
    <n v="2177.61"/>
    <n v="2128.1999999999998"/>
    <n v="2157.56"/>
    <x v="282"/>
    <n v="2.5635440034112583E-2"/>
    <n v="64746218.039999999"/>
    <s v="SEC02"/>
    <x v="1"/>
  </r>
  <r>
    <d v="2025-02-05T00:00:00"/>
    <x v="2"/>
    <n v="2168.6999999999998"/>
    <n v="2192.15"/>
    <n v="2145.25"/>
    <n v="2171.31"/>
    <x v="283"/>
    <n v="6.3325826344464865E-3"/>
    <n v="58935867.329999998"/>
    <s v="SEC02"/>
    <x v="1"/>
  </r>
  <r>
    <d v="2025-02-06T00:00:00"/>
    <x v="2"/>
    <n v="2173.63"/>
    <n v="2204.4"/>
    <n v="2142.86"/>
    <n v="2175.81"/>
    <x v="249"/>
    <n v="2.0681952927875135E-3"/>
    <n v="46956155.609999999"/>
    <s v="SEC02"/>
    <x v="1"/>
  </r>
  <r>
    <d v="2025-02-07T00:00:00"/>
    <x v="2"/>
    <n v="2227.9"/>
    <n v="2264.1999999999998"/>
    <n v="2191.61"/>
    <n v="2223.8200000000002"/>
    <x v="284"/>
    <n v="2.1588977525159508E-2"/>
    <n v="10589830.84"/>
    <s v="SEC02"/>
    <x v="1"/>
  </r>
  <r>
    <d v="2025-02-10T00:00:00"/>
    <x v="2"/>
    <n v="2249.75"/>
    <n v="2257.5700000000002"/>
    <n v="2241.9299999999998"/>
    <n v="2252.84"/>
    <x v="285"/>
    <n v="1.2881518438948162E-2"/>
    <n v="89120097.560000002"/>
    <s v="SEC02"/>
    <x v="1"/>
  </r>
  <r>
    <d v="2025-02-11T00:00:00"/>
    <x v="2"/>
    <n v="2237.38"/>
    <n v="2248.64"/>
    <n v="2226.13"/>
    <n v="2247.81"/>
    <x v="286"/>
    <n v="-2.2377336162754859E-3"/>
    <n v="71505083.909999996"/>
    <s v="SEC02"/>
    <x v="1"/>
  </r>
  <r>
    <d v="2025-02-12T00:00:00"/>
    <x v="2"/>
    <n v="2220.73"/>
    <n v="2248.7199999999998"/>
    <n v="2192.7399999999998"/>
    <n v="2217.5700000000002"/>
    <x v="287"/>
    <n v="-1.3636548113475462E-2"/>
    <n v="51959882.670000002"/>
    <s v="SEC02"/>
    <x v="1"/>
  </r>
  <r>
    <d v="2025-02-13T00:00:00"/>
    <x v="2"/>
    <n v="2171.5"/>
    <n v="2193.3200000000002"/>
    <n v="2149.6799999999998"/>
    <n v="2152.8000000000002"/>
    <x v="288"/>
    <n v="-3.0086399108138227E-2"/>
    <n v="15861830.400000002"/>
    <s v="SEC02"/>
    <x v="1"/>
  </r>
  <r>
    <d v="2025-02-14T00:00:00"/>
    <x v="2"/>
    <n v="2135.84"/>
    <n v="2145.23"/>
    <n v="2126.4499999999998"/>
    <n v="2141.4699999999998"/>
    <x v="289"/>
    <n v="-5.2907582174862985E-3"/>
    <n v="51643690.519999996"/>
    <s v="SEC02"/>
    <x v="1"/>
  </r>
  <r>
    <d v="2025-02-17T00:00:00"/>
    <x v="2"/>
    <n v="2103.4899999999998"/>
    <n v="2113.52"/>
    <n v="2093.4499999999998"/>
    <n v="2110.1999999999998"/>
    <x v="290"/>
    <n v="-1.4818500616055342E-2"/>
    <n v="93272950.199999988"/>
    <s v="SEC02"/>
    <x v="1"/>
  </r>
  <r>
    <d v="2025-02-18T00:00:00"/>
    <x v="2"/>
    <n v="2197.87"/>
    <n v="2223.56"/>
    <n v="2172.17"/>
    <n v="2180.9299999999998"/>
    <x v="291"/>
    <n v="3.2431118834625607E-2"/>
    <n v="24777545.729999997"/>
    <s v="SEC02"/>
    <x v="1"/>
  </r>
  <r>
    <d v="2025-02-19T00:00:00"/>
    <x v="2"/>
    <n v="2176.64"/>
    <n v="2198.29"/>
    <n v="2154.98"/>
    <n v="2163.65"/>
    <x v="292"/>
    <n v="-7.9865042867375714E-3"/>
    <n v="21805264.699999999"/>
    <s v="SEC02"/>
    <x v="1"/>
  </r>
  <r>
    <d v="2025-02-20T00:00:00"/>
    <x v="2"/>
    <n v="2139.73"/>
    <n v="2174.5300000000002"/>
    <n v="2104.9299999999998"/>
    <n v="2145.7600000000002"/>
    <x v="293"/>
    <n v="-8.3373723063156508E-3"/>
    <n v="85508536.000000015"/>
    <s v="SEC02"/>
    <x v="1"/>
  </r>
  <r>
    <d v="2025-02-21T00:00:00"/>
    <x v="2"/>
    <n v="2111.88"/>
    <n v="2143.27"/>
    <n v="2080.48"/>
    <n v="2105.5300000000002"/>
    <x v="294"/>
    <n v="-1.9106828209524449E-2"/>
    <n v="56880892.950000003"/>
    <s v="SEC02"/>
    <x v="1"/>
  </r>
  <r>
    <d v="2025-02-24T00:00:00"/>
    <x v="2"/>
    <n v="2085.62"/>
    <n v="2111.52"/>
    <n v="2059.7199999999998"/>
    <n v="2098.98"/>
    <x v="295"/>
    <n v="-3.120563321232304E-3"/>
    <n v="79087467.420000002"/>
    <s v="SEC02"/>
    <x v="1"/>
  </r>
  <r>
    <d v="2025-02-25T00:00:00"/>
    <x v="2"/>
    <n v="2080.15"/>
    <n v="2111.71"/>
    <n v="2048.59"/>
    <n v="2081.9699999999998"/>
    <x v="296"/>
    <n v="-8.1701465438984329E-3"/>
    <n v="30457139.129999995"/>
    <s v="SEC02"/>
    <x v="1"/>
  </r>
  <r>
    <d v="2025-02-26T00:00:00"/>
    <x v="2"/>
    <n v="2131.2800000000002"/>
    <n v="2154.63"/>
    <n v="2107.94"/>
    <n v="2128.56"/>
    <x v="297"/>
    <n v="2.1888036982748969E-2"/>
    <n v="72852094.560000002"/>
    <s v="SEC02"/>
    <x v="1"/>
  </r>
  <r>
    <d v="2025-02-27T00:00:00"/>
    <x v="2"/>
    <n v="2141"/>
    <n v="2171.7800000000002"/>
    <n v="2110.23"/>
    <n v="2133.59"/>
    <x v="298"/>
    <n v="2.3575288598091477E-3"/>
    <n v="61790899.990000002"/>
    <s v="SEC02"/>
    <x v="1"/>
  </r>
  <r>
    <d v="2025-02-28T00:00:00"/>
    <x v="2"/>
    <n v="2140.33"/>
    <n v="2167.31"/>
    <n v="2113.34"/>
    <n v="2133.86"/>
    <x v="299"/>
    <n v="1.2653126259453844E-4"/>
    <n v="47559471.68"/>
    <s v="SEC02"/>
    <x v="1"/>
  </r>
  <r>
    <d v="2025-03-03T00:00:00"/>
    <x v="2"/>
    <n v="2124.9"/>
    <n v="2137.7399999999998"/>
    <n v="2112.06"/>
    <n v="2130.75"/>
    <x v="300"/>
    <n v="-1.459579960108003E-3"/>
    <n v="34758924.75"/>
    <s v="SEC02"/>
    <x v="1"/>
  </r>
  <r>
    <d v="2025-03-04T00:00:00"/>
    <x v="2"/>
    <n v="2148.4499999999998"/>
    <n v="2155.0700000000002"/>
    <n v="2141.84"/>
    <n v="2152.4699999999998"/>
    <x v="301"/>
    <n v="1.0090732971888018E-2"/>
    <n v="5510323.1999999993"/>
    <s v="SEC02"/>
    <x v="1"/>
  </r>
  <r>
    <d v="2025-03-05T00:00:00"/>
    <x v="2"/>
    <n v="2154.7199999999998"/>
    <n v="2178.08"/>
    <n v="2131.37"/>
    <n v="2140.75"/>
    <x v="302"/>
    <n v="-5.4747168048580172E-3"/>
    <n v="45002846.5"/>
    <s v="SEC02"/>
    <x v="1"/>
  </r>
  <r>
    <d v="2025-03-06T00:00:00"/>
    <x v="2"/>
    <n v="2153.42"/>
    <n v="2179.64"/>
    <n v="2127.19"/>
    <n v="2159.34"/>
    <x v="303"/>
    <n v="8.6091120434948383E-3"/>
    <n v="63441409.200000003"/>
    <s v="SEC02"/>
    <x v="1"/>
  </r>
  <r>
    <d v="2025-03-07T00:00:00"/>
    <x v="2"/>
    <n v="2207.11"/>
    <n v="2239.0300000000002"/>
    <n v="2175.1799999999998"/>
    <n v="2204.2199999999998"/>
    <x v="304"/>
    <n v="2.0360944007403826E-2"/>
    <n v="55905631.859999992"/>
    <s v="SEC02"/>
    <x v="1"/>
  </r>
  <r>
    <d v="2025-03-10T00:00:00"/>
    <x v="2"/>
    <n v="2213.9299999999998"/>
    <n v="2242.19"/>
    <n v="2185.66"/>
    <n v="2217.56"/>
    <x v="305"/>
    <n v="6.01562077238052E-3"/>
    <n v="3683367.1599999997"/>
    <s v="SEC02"/>
    <x v="1"/>
  </r>
  <r>
    <d v="2025-03-11T00:00:00"/>
    <x v="2"/>
    <n v="2206.4699999999998"/>
    <n v="2225.8200000000002"/>
    <n v="2187.13"/>
    <n v="2211.12"/>
    <x v="306"/>
    <n v="-2.9125511053222147E-3"/>
    <n v="58944036.959999993"/>
    <s v="SEC02"/>
    <x v="1"/>
  </r>
  <r>
    <d v="2025-03-12T00:00:00"/>
    <x v="2"/>
    <n v="2195.09"/>
    <n v="2213.66"/>
    <n v="2176.52"/>
    <n v="2185.2399999999998"/>
    <x v="307"/>
    <n v="-1.184309274953786E-2"/>
    <n v="64914739.43999999"/>
    <s v="SEC02"/>
    <x v="1"/>
  </r>
  <r>
    <d v="2025-03-13T00:00:00"/>
    <x v="2"/>
    <n v="2173.89"/>
    <n v="2187.81"/>
    <n v="2159.9699999999998"/>
    <n v="2178.1999999999998"/>
    <x v="308"/>
    <n v="-3.2320264438527061E-3"/>
    <n v="102998365.19999999"/>
    <s v="SEC02"/>
    <x v="1"/>
  </r>
  <r>
    <d v="2025-03-14T00:00:00"/>
    <x v="2"/>
    <n v="2189.73"/>
    <n v="2205.5300000000002"/>
    <n v="2173.92"/>
    <n v="2194.23"/>
    <x v="309"/>
    <n v="7.3055240334879206E-3"/>
    <n v="17564811.149999999"/>
    <s v="SEC02"/>
    <x v="1"/>
  </r>
  <r>
    <d v="2025-03-17T00:00:00"/>
    <x v="2"/>
    <n v="2164.5100000000002"/>
    <n v="2194.15"/>
    <n v="2134.87"/>
    <n v="2152.7800000000002"/>
    <x v="310"/>
    <n v="-1.9254173673110962E-2"/>
    <n v="77153482.420000002"/>
    <s v="SEC02"/>
    <x v="1"/>
  </r>
  <r>
    <d v="2025-03-18T00:00:00"/>
    <x v="2"/>
    <n v="2177.6999999999998"/>
    <n v="2194.4899999999998"/>
    <n v="2160.91"/>
    <n v="2175.9699999999998"/>
    <x v="311"/>
    <n v="1.0657316047555619E-2"/>
    <n v="58670679.109999992"/>
    <s v="SEC02"/>
    <x v="1"/>
  </r>
  <r>
    <d v="2025-03-19T00:00:00"/>
    <x v="2"/>
    <n v="2187.92"/>
    <n v="2215.69"/>
    <n v="2160.15"/>
    <n v="2182.19"/>
    <x v="312"/>
    <n v="2.8503475865989006E-3"/>
    <n v="108430838.91"/>
    <s v="SEC02"/>
    <x v="1"/>
  </r>
  <r>
    <d v="2025-03-20T00:00:00"/>
    <x v="2"/>
    <n v="2184.89"/>
    <n v="2216.39"/>
    <n v="2153.39"/>
    <n v="2178.61"/>
    <x v="313"/>
    <n v="-1.643249594925171E-3"/>
    <n v="16476827.430000002"/>
    <s v="SEC02"/>
    <x v="1"/>
  </r>
  <r>
    <d v="2025-03-21T00:00:00"/>
    <x v="2"/>
    <n v="2153.19"/>
    <n v="2162.37"/>
    <n v="2144"/>
    <n v="2161.1"/>
    <x v="314"/>
    <n v="-8.1023552820323995E-3"/>
    <n v="28100783.299999997"/>
    <s v="SEC02"/>
    <x v="1"/>
  </r>
  <r>
    <d v="2025-03-24T00:00:00"/>
    <x v="2"/>
    <n v="2148.09"/>
    <n v="2186.21"/>
    <n v="2109.9699999999998"/>
    <n v="2148.6799999999998"/>
    <x v="315"/>
    <n v="-5.7802930171082121E-3"/>
    <n v="99591317.999999985"/>
    <s v="SEC02"/>
    <x v="1"/>
  </r>
  <r>
    <d v="2025-03-25T00:00:00"/>
    <x v="2"/>
    <n v="2158.59"/>
    <n v="2177.41"/>
    <n v="2139.77"/>
    <n v="2165.42"/>
    <x v="316"/>
    <n v="7.7306019155638332E-3"/>
    <n v="93608941.180000007"/>
    <s v="SEC02"/>
    <x v="1"/>
  </r>
  <r>
    <d v="2025-03-26T00:00:00"/>
    <x v="2"/>
    <n v="2161.91"/>
    <n v="2177.98"/>
    <n v="2145.84"/>
    <n v="2162.44"/>
    <x v="317"/>
    <n v="-1.3780729176300929E-3"/>
    <n v="74165204.680000007"/>
    <s v="SEC02"/>
    <x v="1"/>
  </r>
  <r>
    <d v="2025-03-27T00:00:00"/>
    <x v="2"/>
    <n v="2147.16"/>
    <n v="2176.4899999999998"/>
    <n v="2117.83"/>
    <n v="2149.35"/>
    <x v="318"/>
    <n v="-6.0902133203062066E-3"/>
    <n v="61234981.5"/>
    <s v="SEC02"/>
    <x v="1"/>
  </r>
  <r>
    <d v="2025-03-28T00:00:00"/>
    <x v="2"/>
    <n v="2170.6"/>
    <n v="2196.15"/>
    <n v="2145.06"/>
    <n v="2162.59"/>
    <x v="319"/>
    <n v="6.1222885521528521E-3"/>
    <n v="29768051.350000001"/>
    <s v="SEC02"/>
    <x v="1"/>
  </r>
  <r>
    <d v="2025-03-31T00:00:00"/>
    <x v="2"/>
    <n v="2175.7399999999998"/>
    <n v="2184.8200000000002"/>
    <n v="2166.65"/>
    <n v="2177"/>
    <x v="320"/>
    <n v="6.619200734956295E-3"/>
    <n v="51945397"/>
    <s v="SEC02"/>
    <x v="1"/>
  </r>
  <r>
    <d v="2025-04-01T00:00:00"/>
    <x v="2"/>
    <n v="2145.65"/>
    <n v="2165.4899999999998"/>
    <n v="2125.81"/>
    <n v="2143.5100000000002"/>
    <x v="321"/>
    <n v="-1.562390658312757E-2"/>
    <n v="98526437.150000006"/>
    <s v="SEC02"/>
    <x v="1"/>
  </r>
  <r>
    <d v="2025-04-02T00:00:00"/>
    <x v="2"/>
    <n v="2164.81"/>
    <n v="2180.7800000000002"/>
    <n v="2148.84"/>
    <n v="2159.52"/>
    <x v="322"/>
    <n v="7.4136845224863687E-3"/>
    <n v="68074548.959999993"/>
    <s v="SEC02"/>
    <x v="1"/>
  </r>
  <r>
    <d v="2025-04-03T00:00:00"/>
    <x v="2"/>
    <n v="2225.0100000000002"/>
    <n v="2247.25"/>
    <n v="2202.7600000000002"/>
    <n v="2229.19"/>
    <x v="323"/>
    <n v="3.1253504636213188E-2"/>
    <n v="80353382.739999995"/>
    <s v="SEC02"/>
    <x v="1"/>
  </r>
  <r>
    <d v="2025-04-04T00:00:00"/>
    <x v="2"/>
    <n v="2237.71"/>
    <n v="2259.0700000000002"/>
    <n v="2216.36"/>
    <n v="2242.96"/>
    <x v="324"/>
    <n v="6.13920890252166E-3"/>
    <n v="105179123.28"/>
    <s v="SEC02"/>
    <x v="1"/>
  </r>
  <r>
    <d v="2025-04-07T00:00:00"/>
    <x v="2"/>
    <n v="2203.44"/>
    <n v="2224.62"/>
    <n v="2182.27"/>
    <n v="2195.98"/>
    <x v="325"/>
    <n v="-2.1393637464822091E-2"/>
    <n v="6836085.7400000002"/>
    <s v="SEC02"/>
    <x v="1"/>
  </r>
  <r>
    <d v="2025-04-08T00:00:00"/>
    <x v="2"/>
    <n v="2220.1"/>
    <n v="2239.19"/>
    <n v="2201.02"/>
    <n v="2201.42"/>
    <x v="326"/>
    <n v="2.4711322691717413E-3"/>
    <n v="32492959.199999999"/>
    <s v="SEC02"/>
    <x v="1"/>
  </r>
  <r>
    <d v="2025-04-09T00:00:00"/>
    <x v="2"/>
    <n v="2165.56"/>
    <n v="2185.02"/>
    <n v="2146.1"/>
    <n v="2151.73"/>
    <x v="327"/>
    <n v="-2.309304606061172E-2"/>
    <n v="29237707.240000002"/>
    <s v="SEC02"/>
    <x v="1"/>
  </r>
  <r>
    <d v="2025-04-10T00:00:00"/>
    <x v="2"/>
    <n v="2239.92"/>
    <n v="2250.48"/>
    <n v="2229.35"/>
    <n v="2239.87"/>
    <x v="328"/>
    <n v="3.9350498019974318E-2"/>
    <n v="102447174.06"/>
    <s v="SEC02"/>
    <x v="1"/>
  </r>
  <r>
    <d v="2025-04-11T00:00:00"/>
    <x v="2"/>
    <n v="2306.96"/>
    <n v="2324.77"/>
    <n v="2289.15"/>
    <n v="2304.4"/>
    <x v="329"/>
    <n v="2.8002950876584012E-2"/>
    <n v="15494785.600000001"/>
    <s v="SEC02"/>
    <x v="1"/>
  </r>
  <r>
    <d v="2025-04-14T00:00:00"/>
    <x v="2"/>
    <n v="2274.4499999999998"/>
    <n v="2301.1"/>
    <n v="2247.8000000000002"/>
    <n v="2285.69"/>
    <x v="330"/>
    <n v="-8.1857119731897302E-3"/>
    <n v="98833235.600000009"/>
    <s v="SEC02"/>
    <x v="1"/>
  </r>
  <r>
    <d v="2025-04-15T00:00:00"/>
    <x v="2"/>
    <n v="2219.38"/>
    <n v="2242.44"/>
    <n v="2196.33"/>
    <n v="2222.46"/>
    <x v="331"/>
    <n v="-2.8450455801229277E-2"/>
    <n v="54448047.539999999"/>
    <s v="SEC02"/>
    <x v="1"/>
  </r>
  <r>
    <d v="2025-04-16T00:00:00"/>
    <x v="2"/>
    <n v="2210.39"/>
    <n v="2229.6"/>
    <n v="2191.1799999999998"/>
    <n v="2198.52"/>
    <x v="332"/>
    <n v="-1.0889143605698403E-2"/>
    <n v="15607293.48"/>
    <s v="SEC02"/>
    <x v="1"/>
  </r>
  <r>
    <d v="2025-04-17T00:00:00"/>
    <x v="2"/>
    <n v="2189.08"/>
    <n v="2210.6799999999998"/>
    <n v="2167.4699999999998"/>
    <n v="2194.04"/>
    <x v="333"/>
    <n v="-2.0418953164026265E-3"/>
    <n v="15612788.640000001"/>
    <s v="SEC02"/>
    <x v="1"/>
  </r>
  <r>
    <d v="2025-04-18T00:00:00"/>
    <x v="2"/>
    <n v="2141.0500000000002"/>
    <n v="2169.29"/>
    <n v="2112.8200000000002"/>
    <n v="2146.38"/>
    <x v="334"/>
    <n v="-2.2204828595122881E-2"/>
    <n v="23281783.859999999"/>
    <s v="SEC02"/>
    <x v="1"/>
  </r>
  <r>
    <d v="2025-04-21T00:00:00"/>
    <x v="2"/>
    <n v="2149.75"/>
    <n v="2179.59"/>
    <n v="2119.92"/>
    <n v="2145.0300000000002"/>
    <x v="335"/>
    <n v="-6.2936182710727074E-4"/>
    <n v="5881672.2600000007"/>
    <s v="SEC02"/>
    <x v="1"/>
  </r>
  <r>
    <d v="2025-04-22T00:00:00"/>
    <x v="2"/>
    <n v="2140.86"/>
    <n v="2164.37"/>
    <n v="2117.36"/>
    <n v="2140.4699999999998"/>
    <x v="336"/>
    <n v="-2.1303732357848514E-3"/>
    <n v="76429762.289999992"/>
    <s v="SEC02"/>
    <x v="1"/>
  </r>
  <r>
    <d v="2025-04-23T00:00:00"/>
    <x v="2"/>
    <n v="2148.92"/>
    <n v="2155.9299999999998"/>
    <n v="2141.91"/>
    <n v="2144.36"/>
    <x v="337"/>
    <n v="1.8140610718351056E-3"/>
    <n v="104245917.04000001"/>
    <s v="SEC02"/>
    <x v="1"/>
  </r>
  <r>
    <d v="2025-04-24T00:00:00"/>
    <x v="2"/>
    <n v="2154.9499999999998"/>
    <n v="2161.0300000000002"/>
    <n v="2148.86"/>
    <n v="2151.09"/>
    <x v="338"/>
    <n v="3.1286464071703267E-3"/>
    <n v="35191832.400000006"/>
    <s v="SEC02"/>
    <x v="1"/>
  </r>
  <r>
    <d v="2025-04-25T00:00:00"/>
    <x v="2"/>
    <n v="2118.5700000000002"/>
    <n v="2130.77"/>
    <n v="2106.36"/>
    <n v="2125.58"/>
    <x v="339"/>
    <n v="-1.2001430197875506E-2"/>
    <n v="62500554.32"/>
    <s v="SEC02"/>
    <x v="1"/>
  </r>
  <r>
    <d v="2025-04-28T00:00:00"/>
    <x v="2"/>
    <n v="2103.04"/>
    <n v="2107.08"/>
    <n v="2099.0100000000002"/>
    <n v="2103.35"/>
    <x v="340"/>
    <n v="-1.0568854446478246E-2"/>
    <n v="73610939.950000003"/>
    <s v="SEC02"/>
    <x v="1"/>
  </r>
  <r>
    <d v="2025-04-29T00:00:00"/>
    <x v="2"/>
    <n v="2111.1799999999998"/>
    <n v="2134.04"/>
    <n v="2088.33"/>
    <n v="2105.06"/>
    <x v="341"/>
    <n v="8.1232838968962233E-4"/>
    <n v="75902148.420000002"/>
    <s v="SEC02"/>
    <x v="1"/>
  </r>
  <r>
    <d v="2025-04-30T00:00:00"/>
    <x v="2"/>
    <n v="2108.9499999999998"/>
    <n v="2129.21"/>
    <n v="2088.6799999999998"/>
    <n v="2088.89"/>
    <x v="342"/>
    <n v="-7.7409533292801796E-3"/>
    <n v="96657118.079999998"/>
    <s v="SEC02"/>
    <x v="1"/>
  </r>
  <r>
    <d v="2025-05-01T00:00:00"/>
    <x v="2"/>
    <n v="2108.58"/>
    <n v="2140.4299999999998"/>
    <n v="2076.73"/>
    <n v="2113.41"/>
    <x v="343"/>
    <n v="1.1602102762833516E-2"/>
    <n v="16142225.579999998"/>
    <s v="SEC02"/>
    <x v="1"/>
  </r>
  <r>
    <d v="2025-05-02T00:00:00"/>
    <x v="2"/>
    <n v="2118.66"/>
    <n v="2136.94"/>
    <n v="2100.38"/>
    <n v="2114.87"/>
    <x v="344"/>
    <n v="6.9034976145107574E-4"/>
    <n v="30887676.349999998"/>
    <s v="SEC02"/>
    <x v="1"/>
  </r>
  <r>
    <d v="2025-05-05T00:00:00"/>
    <x v="2"/>
    <n v="2168.0500000000002"/>
    <n v="2171.7199999999998"/>
    <n v="2164.37"/>
    <n v="2165.67"/>
    <x v="345"/>
    <n v="2.3456944040412517E-2"/>
    <n v="72671222.519999996"/>
    <s v="SEC02"/>
    <x v="1"/>
  </r>
  <r>
    <d v="2025-05-06T00:00:00"/>
    <x v="2"/>
    <n v="2171.27"/>
    <n v="2194.98"/>
    <n v="2147.5500000000002"/>
    <n v="2188.69"/>
    <x v="346"/>
    <n v="1.0517706938853826E-2"/>
    <n v="39998309.75"/>
    <s v="SEC02"/>
    <x v="1"/>
  </r>
  <r>
    <d v="2025-05-07T00:00:00"/>
    <x v="2"/>
    <n v="2213.29"/>
    <n v="2249.77"/>
    <n v="2176.81"/>
    <n v="2219.87"/>
    <x v="347"/>
    <n v="1.4045867550802451E-2"/>
    <n v="95396693.379999995"/>
    <s v="SEC02"/>
    <x v="1"/>
  </r>
  <r>
    <d v="2025-05-08T00:00:00"/>
    <x v="2"/>
    <n v="2229.1999999999998"/>
    <n v="2254.0300000000002"/>
    <n v="2204.37"/>
    <n v="2224.11"/>
    <x v="348"/>
    <n v="1.9063805297400921E-3"/>
    <n v="85361341.800000012"/>
    <s v="SEC02"/>
    <x v="1"/>
  </r>
  <r>
    <d v="2025-05-09T00:00:00"/>
    <x v="2"/>
    <n v="2244.84"/>
    <n v="2272"/>
    <n v="2217.67"/>
    <n v="2229.0500000000002"/>
    <x v="349"/>
    <n v="2.2161907539086402E-3"/>
    <n v="109936746.00000001"/>
    <s v="SEC02"/>
    <x v="1"/>
  </r>
  <r>
    <d v="2025-05-12T00:00:00"/>
    <x v="2"/>
    <n v="2276.33"/>
    <n v="2316.9499999999998"/>
    <n v="2235.6999999999998"/>
    <n v="2278.75"/>
    <x v="350"/>
    <n v="2.1810202962150221E-2"/>
    <n v="53489098.75"/>
    <s v="SEC02"/>
    <x v="1"/>
  </r>
  <r>
    <d v="2025-05-13T00:00:00"/>
    <x v="2"/>
    <n v="2263.3200000000002"/>
    <n v="2269.25"/>
    <n v="2257.38"/>
    <n v="2268.46"/>
    <x v="351"/>
    <n v="-4.5361170133041634E-3"/>
    <n v="56913392.939999998"/>
    <s v="SEC02"/>
    <x v="1"/>
  </r>
  <r>
    <d v="2025-05-14T00:00:00"/>
    <x v="2"/>
    <n v="2291.5"/>
    <n v="2324.39"/>
    <n v="2258.61"/>
    <n v="2284.6799999999998"/>
    <x v="352"/>
    <n v="7.0994625067842326E-3"/>
    <n v="69132132.11999999"/>
    <s v="SEC02"/>
    <x v="1"/>
  </r>
  <r>
    <d v="2025-05-15T00:00:00"/>
    <x v="2"/>
    <n v="2262.0300000000002"/>
    <n v="2282.73"/>
    <n v="2241.34"/>
    <n v="2277.5700000000002"/>
    <x v="353"/>
    <n v="-3.1217481789800848E-3"/>
    <n v="72105588.63000001"/>
    <s v="SEC02"/>
    <x v="1"/>
  </r>
  <r>
    <d v="2025-05-16T00:00:00"/>
    <x v="2"/>
    <n v="2280.88"/>
    <n v="2301.14"/>
    <n v="2260.63"/>
    <n v="2270.42"/>
    <x v="354"/>
    <n v="-3.1491970648602863E-3"/>
    <n v="109105033.10000001"/>
    <s v="SEC02"/>
    <x v="1"/>
  </r>
  <r>
    <d v="2025-05-19T00:00:00"/>
    <x v="2"/>
    <n v="2241.34"/>
    <n v="2274.77"/>
    <n v="2207.91"/>
    <n v="2237.7600000000002"/>
    <x v="355"/>
    <n v="-1.4594952094952028E-2"/>
    <n v="62621475.840000004"/>
    <s v="SEC02"/>
    <x v="1"/>
  </r>
  <r>
    <d v="2025-05-20T00:00:00"/>
    <x v="2"/>
    <n v="2205.23"/>
    <n v="2222.1799999999998"/>
    <n v="2188.2800000000002"/>
    <n v="2217.4499999999998"/>
    <x v="356"/>
    <n v="-9.1591693161065194E-3"/>
    <n v="86198933.849999994"/>
    <s v="SEC02"/>
    <x v="1"/>
  </r>
  <r>
    <d v="2025-05-21T00:00:00"/>
    <x v="2"/>
    <n v="2198.48"/>
    <n v="2218.7199999999998"/>
    <n v="2178.25"/>
    <n v="2192.19"/>
    <x v="357"/>
    <n v="-1.1522723851490866E-2"/>
    <n v="19396497.120000001"/>
    <s v="SEC02"/>
    <x v="1"/>
  </r>
  <r>
    <d v="2025-05-22T00:00:00"/>
    <x v="2"/>
    <n v="2214.52"/>
    <n v="2253.09"/>
    <n v="2175.9499999999998"/>
    <n v="2209.1999999999998"/>
    <x v="358"/>
    <n v="7.6996197718630114E-3"/>
    <n v="45540448.799999997"/>
    <s v="SEC02"/>
    <x v="1"/>
  </r>
  <r>
    <d v="2025-05-23T00:00:00"/>
    <x v="2"/>
    <n v="2235.7399999999998"/>
    <n v="2271.94"/>
    <n v="2199.5300000000002"/>
    <n v="2238.87"/>
    <x v="359"/>
    <n v="1.325222098647982E-2"/>
    <n v="110841975.95999999"/>
    <s v="SEC02"/>
    <x v="1"/>
  </r>
  <r>
    <d v="2025-05-26T00:00:00"/>
    <x v="2"/>
    <n v="2233.14"/>
    <n v="2270.96"/>
    <n v="2195.3200000000002"/>
    <n v="2236.73"/>
    <x v="360"/>
    <n v="-9.5675383260378883E-4"/>
    <n v="11438637.220000001"/>
    <s v="SEC02"/>
    <x v="1"/>
  </r>
  <r>
    <d v="2025-05-27T00:00:00"/>
    <x v="2"/>
    <n v="2244.77"/>
    <n v="2280"/>
    <n v="2209.54"/>
    <n v="2243.75"/>
    <x v="361"/>
    <n v="3.1286908077994349E-3"/>
    <n v="78010700"/>
    <s v="SEC02"/>
    <x v="1"/>
  </r>
  <r>
    <d v="2025-05-28T00:00:00"/>
    <x v="2"/>
    <n v="2227.62"/>
    <n v="2254.19"/>
    <n v="2201.0500000000002"/>
    <n v="2239.98"/>
    <x v="362"/>
    <n v="-1.6830507415244698E-3"/>
    <n v="10554785.76"/>
    <s v="SEC02"/>
    <x v="1"/>
  </r>
  <r>
    <d v="2025-05-29T00:00:00"/>
    <x v="2"/>
    <n v="2208.33"/>
    <n v="2223.0700000000002"/>
    <n v="2193.59"/>
    <n v="2217.7399999999998"/>
    <x v="363"/>
    <n v="-1.0028226933725432E-2"/>
    <n v="60322527.999999993"/>
    <s v="SEC02"/>
    <x v="1"/>
  </r>
  <r>
    <d v="2025-05-30T00:00:00"/>
    <x v="2"/>
    <n v="2235.73"/>
    <n v="2257.2199999999998"/>
    <n v="2214.23"/>
    <n v="2242.5"/>
    <x v="364"/>
    <n v="1.1041248606466094E-2"/>
    <n v="86502195"/>
    <s v="SEC02"/>
    <x v="1"/>
  </r>
  <r>
    <d v="2025-06-02T00:00:00"/>
    <x v="2"/>
    <n v="2265.69"/>
    <n v="2287.0300000000002"/>
    <n v="2244.34"/>
    <n v="2261.5500000000002"/>
    <x v="365"/>
    <n v="8.4234264110898197E-3"/>
    <n v="73102342.200000003"/>
    <s v="SEC02"/>
    <x v="1"/>
  </r>
  <r>
    <d v="2025-06-03T00:00:00"/>
    <x v="2"/>
    <n v="2213.4499999999998"/>
    <n v="2228.61"/>
    <n v="2198.29"/>
    <n v="2208.79"/>
    <x v="366"/>
    <n v="-2.3886381231353011E-2"/>
    <n v="64372975.759999998"/>
    <s v="SEC02"/>
    <x v="1"/>
  </r>
  <r>
    <d v="2025-06-04T00:00:00"/>
    <x v="2"/>
    <n v="2210.91"/>
    <n v="2221.0100000000002"/>
    <n v="2200.8000000000002"/>
    <n v="2201.4499999999998"/>
    <x v="367"/>
    <n v="-3.3341661177860712E-3"/>
    <n v="99721282.099999994"/>
    <s v="SEC02"/>
    <x v="1"/>
  </r>
  <r>
    <d v="2025-06-05T00:00:00"/>
    <x v="2"/>
    <n v="2176.23"/>
    <n v="2203.92"/>
    <n v="2148.5300000000002"/>
    <n v="2177.64"/>
    <x v="368"/>
    <n v="-1.0933854998989707E-2"/>
    <n v="57788032.68"/>
    <s v="SEC02"/>
    <x v="1"/>
  </r>
  <r>
    <d v="2025-06-06T00:00:00"/>
    <x v="2"/>
    <n v="2169.27"/>
    <n v="2187.5500000000002"/>
    <n v="2150.9899999999998"/>
    <n v="2167.4499999999998"/>
    <x v="369"/>
    <n v="-4.701377194398974E-3"/>
    <n v="63811895.449999996"/>
    <s v="SEC02"/>
    <x v="1"/>
  </r>
  <r>
    <d v="2025-06-09T00:00:00"/>
    <x v="2"/>
    <n v="2151.98"/>
    <n v="2190.64"/>
    <n v="2113.31"/>
    <n v="2149.73"/>
    <x v="370"/>
    <n v="-8.2428956194497919E-3"/>
    <n v="59167018.789999999"/>
    <s v="SEC02"/>
    <x v="1"/>
  </r>
  <r>
    <d v="2025-06-10T00:00:00"/>
    <x v="2"/>
    <n v="2142.21"/>
    <n v="2150.09"/>
    <n v="2134.3200000000002"/>
    <n v="2148.9899999999998"/>
    <x v="371"/>
    <n v="-3.4434780990150562E-4"/>
    <n v="72590733.209999993"/>
    <s v="SEC02"/>
    <x v="1"/>
  </r>
  <r>
    <d v="2025-06-11T00:00:00"/>
    <x v="2"/>
    <n v="2132.5"/>
    <n v="2146.96"/>
    <n v="2118.04"/>
    <n v="2140.58"/>
    <x v="372"/>
    <n v="-3.9288417157965858E-3"/>
    <n v="61216306.839999996"/>
    <s v="SEC02"/>
    <x v="1"/>
  </r>
  <r>
    <d v="2025-06-12T00:00:00"/>
    <x v="2"/>
    <n v="2130.06"/>
    <n v="2154.39"/>
    <n v="2105.73"/>
    <n v="2131.64"/>
    <x v="373"/>
    <n v="-4.193953950948591E-3"/>
    <n v="56528961.159999996"/>
    <s v="SEC02"/>
    <x v="1"/>
  </r>
  <r>
    <d v="2025-06-13T00:00:00"/>
    <x v="2"/>
    <n v="2157.84"/>
    <n v="2185.86"/>
    <n v="2129.81"/>
    <n v="2162.11"/>
    <x v="374"/>
    <n v="1.4092714986749173E-2"/>
    <n v="60510972.57"/>
    <s v="SEC02"/>
    <x v="1"/>
  </r>
  <r>
    <d v="2025-06-16T00:00:00"/>
    <x v="2"/>
    <n v="2198.27"/>
    <n v="2219.48"/>
    <n v="2177.06"/>
    <n v="2177.86"/>
    <x v="375"/>
    <n v="7.231869817159964E-3"/>
    <n v="74426187.640000001"/>
    <s v="SEC02"/>
    <x v="1"/>
  </r>
  <r>
    <d v="2025-06-17T00:00:00"/>
    <x v="2"/>
    <n v="2149.08"/>
    <n v="2177.75"/>
    <n v="2120.42"/>
    <n v="2159.14"/>
    <x v="376"/>
    <n v="-8.6701186583548334E-3"/>
    <n v="62105502.959999993"/>
    <s v="SEC02"/>
    <x v="1"/>
  </r>
  <r>
    <d v="2025-06-18T00:00:00"/>
    <x v="2"/>
    <n v="2158.63"/>
    <n v="2183.11"/>
    <n v="2134.15"/>
    <n v="2144.59"/>
    <x v="377"/>
    <n v="-6.784513590010084E-3"/>
    <n v="21244308.540000003"/>
    <s v="SEC02"/>
    <x v="1"/>
  </r>
  <r>
    <d v="2025-06-19T00:00:00"/>
    <x v="2"/>
    <n v="2162.38"/>
    <n v="2174.84"/>
    <n v="2149.92"/>
    <n v="2158.44"/>
    <x v="378"/>
    <n v="6.4166712996422924E-3"/>
    <n v="83423706"/>
    <s v="SEC02"/>
    <x v="1"/>
  </r>
  <r>
    <d v="2025-06-20T00:00:00"/>
    <x v="2"/>
    <n v="2163.98"/>
    <n v="2176.7399999999998"/>
    <n v="2151.2199999999998"/>
    <n v="2172.33"/>
    <x v="379"/>
    <n v="6.3940561516896022E-3"/>
    <n v="17706661.829999998"/>
    <s v="SEC02"/>
    <x v="1"/>
  </r>
  <r>
    <d v="2025-06-23T00:00:00"/>
    <x v="2"/>
    <n v="2153.21"/>
    <n v="2178.94"/>
    <n v="2127.48"/>
    <n v="2156.38"/>
    <x v="380"/>
    <n v="-7.3966555059868004E-3"/>
    <n v="94130299.760000005"/>
    <s v="SEC02"/>
    <x v="1"/>
  </r>
  <r>
    <d v="2025-06-24T00:00:00"/>
    <x v="2"/>
    <n v="2156.2199999999998"/>
    <n v="2185.09"/>
    <n v="2127.36"/>
    <n v="2150.5500000000002"/>
    <x v="381"/>
    <n v="-2.7109344121270963E-3"/>
    <n v="93852152.550000012"/>
    <s v="SEC02"/>
    <x v="1"/>
  </r>
  <r>
    <d v="2025-06-25T00:00:00"/>
    <x v="2"/>
    <n v="2189"/>
    <n v="2219.3000000000002"/>
    <n v="2158.69"/>
    <n v="2201.6999999999998"/>
    <x v="382"/>
    <n v="2.3232047962937565E-2"/>
    <n v="79052038.5"/>
    <s v="SEC02"/>
    <x v="1"/>
  </r>
  <r>
    <d v="2025-06-26T00:00:00"/>
    <x v="2"/>
    <n v="2184.71"/>
    <n v="2191.33"/>
    <n v="2178.09"/>
    <n v="2186.0100000000002"/>
    <x v="383"/>
    <n v="-7.1774603043900063E-3"/>
    <n v="108159402.78000002"/>
    <s v="SEC02"/>
    <x v="1"/>
  </r>
  <r>
    <d v="2025-06-27T00:00:00"/>
    <x v="2"/>
    <n v="2241.14"/>
    <n v="2278.3000000000002"/>
    <n v="2203.98"/>
    <n v="2239.8000000000002"/>
    <x v="384"/>
    <n v="2.4015537101526905E-2"/>
    <n v="10424029.200000001"/>
    <s v="SEC02"/>
    <x v="1"/>
  </r>
  <r>
    <d v="2025-06-30T00:00:00"/>
    <x v="2"/>
    <n v="2260.39"/>
    <n v="2285.12"/>
    <n v="2235.66"/>
    <n v="2271.71"/>
    <x v="385"/>
    <n v="1.4046687297234177E-2"/>
    <n v="21890197.559999999"/>
    <s v="SEC02"/>
    <x v="1"/>
  </r>
  <r>
    <d v="2025-01-01T00:00:00"/>
    <x v="3"/>
    <n v="599.36"/>
    <n v="604.27"/>
    <n v="594.44000000000005"/>
    <n v="600.52"/>
    <x v="386"/>
    <n v="0"/>
    <n v="21776056.239999998"/>
    <s v="SEC04"/>
    <x v="2"/>
  </r>
  <r>
    <d v="2025-01-02T00:00:00"/>
    <x v="3"/>
    <n v="603.07000000000005"/>
    <n v="608.21"/>
    <n v="597.91999999999996"/>
    <n v="600.52"/>
    <x v="387"/>
    <n v="0"/>
    <n v="13051101.16"/>
    <s v="SEC04"/>
    <x v="2"/>
  </r>
  <r>
    <d v="2025-01-03T00:00:00"/>
    <x v="3"/>
    <n v="606.29"/>
    <n v="612.14"/>
    <n v="600.44000000000005"/>
    <n v="604.86"/>
    <x v="388"/>
    <n v="7.1752140991304296E-3"/>
    <n v="4494109.8"/>
    <s v="SEC04"/>
    <x v="2"/>
  </r>
  <r>
    <d v="2025-01-06T00:00:00"/>
    <x v="3"/>
    <n v="602.34"/>
    <n v="607.45000000000005"/>
    <n v="597.23"/>
    <n v="606.71"/>
    <x v="389"/>
    <n v="3.0492327471115075E-3"/>
    <n v="19716254.870000001"/>
    <s v="SEC04"/>
    <x v="2"/>
  </r>
  <r>
    <d v="2025-01-07T00:00:00"/>
    <x v="3"/>
    <n v="615.69000000000005"/>
    <n v="619.99"/>
    <n v="611.39"/>
    <n v="617.37"/>
    <x v="390"/>
    <n v="1.7266793009054485E-2"/>
    <n v="29221356.84"/>
    <s v="SEC04"/>
    <x v="2"/>
  </r>
  <r>
    <d v="2025-01-08T00:00:00"/>
    <x v="3"/>
    <n v="620.49"/>
    <n v="626.16"/>
    <n v="614.82000000000005"/>
    <n v="618.5"/>
    <x v="391"/>
    <n v="1.82700080840743E-3"/>
    <n v="24026251"/>
    <s v="SEC04"/>
    <x v="2"/>
  </r>
  <r>
    <d v="2025-01-09T00:00:00"/>
    <x v="3"/>
    <n v="615.9"/>
    <n v="618.25"/>
    <n v="613.54999999999995"/>
    <n v="615.29999999999995"/>
    <x v="392"/>
    <n v="-5.2007150983260945E-3"/>
    <n v="3967454.4"/>
    <s v="SEC04"/>
    <x v="2"/>
  </r>
  <r>
    <d v="2025-01-10T00:00:00"/>
    <x v="3"/>
    <n v="619.59"/>
    <n v="626.04999999999995"/>
    <n v="613.13"/>
    <n v="616.4"/>
    <x v="393"/>
    <n v="1.7845554834523406E-3"/>
    <n v="4565058.3999999994"/>
    <s v="SEC04"/>
    <x v="2"/>
  </r>
  <r>
    <d v="2025-01-13T00:00:00"/>
    <x v="3"/>
    <n v="624.69000000000005"/>
    <n v="629.38"/>
    <n v="620.01"/>
    <n v="620.78"/>
    <x v="394"/>
    <n v="7.0556396791133661E-3"/>
    <n v="20487602.34"/>
    <s v="SEC04"/>
    <x v="2"/>
  </r>
  <r>
    <d v="2025-01-14T00:00:00"/>
    <x v="3"/>
    <n v="623.82000000000005"/>
    <n v="629.17999999999995"/>
    <n v="618.47"/>
    <n v="621.30999999999995"/>
    <x v="395"/>
    <n v="8.5303632647144379E-4"/>
    <n v="27404741.479999997"/>
    <s v="SEC04"/>
    <x v="2"/>
  </r>
  <r>
    <d v="2025-01-15T00:00:00"/>
    <x v="3"/>
    <n v="623.70000000000005"/>
    <n v="629.42999999999995"/>
    <n v="617.97"/>
    <n v="621.78"/>
    <x v="396"/>
    <n v="7.5589436778286103E-4"/>
    <n v="26599126.619999997"/>
    <s v="SEC04"/>
    <x v="2"/>
  </r>
  <r>
    <d v="2025-01-16T00:00:00"/>
    <x v="3"/>
    <n v="615.26"/>
    <n v="624.53"/>
    <n v="605.99"/>
    <n v="616.45000000000005"/>
    <x v="397"/>
    <n v="-8.6462811258008389E-3"/>
    <n v="10123341.9"/>
    <s v="SEC04"/>
    <x v="2"/>
  </r>
  <r>
    <d v="2025-01-17T00:00:00"/>
    <x v="3"/>
    <n v="613.84"/>
    <n v="621.15"/>
    <n v="606.52"/>
    <n v="611.47"/>
    <x v="398"/>
    <n v="-8.1443079791322839E-3"/>
    <n v="21117116.449999999"/>
    <s v="SEC04"/>
    <x v="2"/>
  </r>
  <r>
    <d v="2025-01-20T00:00:00"/>
    <x v="3"/>
    <n v="599.86"/>
    <n v="603.24"/>
    <n v="596.48"/>
    <n v="600.9"/>
    <x v="399"/>
    <n v="-1.7590281244799551E-2"/>
    <n v="16653943.5"/>
    <s v="SEC04"/>
    <x v="2"/>
  </r>
  <r>
    <d v="2025-01-21T00:00:00"/>
    <x v="3"/>
    <n v="616.30999999999995"/>
    <n v="620.36"/>
    <n v="612.27"/>
    <n v="614.44000000000005"/>
    <x v="400"/>
    <n v="2.2036325760041789E-2"/>
    <n v="24521071.520000003"/>
    <s v="SEC04"/>
    <x v="2"/>
  </r>
  <r>
    <d v="2025-01-22T00:00:00"/>
    <x v="3"/>
    <n v="609.62"/>
    <n v="614.34"/>
    <n v="604.9"/>
    <n v="605.03"/>
    <x v="401"/>
    <n v="-1.5552947787713142E-2"/>
    <n v="3316169.4299999997"/>
    <s v="SEC04"/>
    <x v="2"/>
  </r>
  <r>
    <d v="2025-01-23T00:00:00"/>
    <x v="3"/>
    <n v="598.21"/>
    <n v="601.52"/>
    <n v="594.89"/>
    <n v="599.91"/>
    <x v="402"/>
    <n v="-8.5346135253621461E-3"/>
    <n v="23159525.549999997"/>
    <s v="SEC04"/>
    <x v="2"/>
  </r>
  <r>
    <d v="2025-01-24T00:00:00"/>
    <x v="3"/>
    <n v="591.66999999999996"/>
    <n v="597.74"/>
    <n v="585.61"/>
    <n v="594.65"/>
    <x v="403"/>
    <n v="-8.8455393929201907E-3"/>
    <n v="24833178.649999999"/>
    <s v="SEC04"/>
    <x v="2"/>
  </r>
  <r>
    <d v="2025-01-27T00:00:00"/>
    <x v="3"/>
    <n v="598.95000000000005"/>
    <n v="603.82000000000005"/>
    <n v="594.09"/>
    <n v="601.54"/>
    <x v="404"/>
    <n v="1.1453934900422227E-2"/>
    <n v="14280559.6"/>
    <s v="SEC04"/>
    <x v="2"/>
  </r>
  <r>
    <d v="2025-01-28T00:00:00"/>
    <x v="3"/>
    <n v="600.67999999999995"/>
    <n v="609.45000000000005"/>
    <n v="591.9"/>
    <n v="599.45000000000005"/>
    <x v="405"/>
    <n v="-3.4865293185418599E-3"/>
    <n v="10221821.4"/>
    <s v="SEC04"/>
    <x v="2"/>
  </r>
  <r>
    <d v="2025-01-29T00:00:00"/>
    <x v="3"/>
    <n v="608.13"/>
    <n v="618.85"/>
    <n v="597.4"/>
    <n v="609.09"/>
    <x v="406"/>
    <n v="1.5826889293864596E-2"/>
    <n v="708371.67"/>
    <s v="SEC04"/>
    <x v="2"/>
  </r>
  <r>
    <d v="2025-01-30T00:00:00"/>
    <x v="3"/>
    <n v="604.72"/>
    <n v="608.57000000000005"/>
    <n v="600.88"/>
    <n v="604.09"/>
    <x v="407"/>
    <n v="-8.2769123806055393E-3"/>
    <n v="7027983.0600000005"/>
    <s v="SEC04"/>
    <x v="2"/>
  </r>
  <r>
    <d v="2025-01-31T00:00:00"/>
    <x v="3"/>
    <n v="603.99"/>
    <n v="611.87"/>
    <n v="596.12"/>
    <n v="606.36"/>
    <x v="408"/>
    <n v="3.7436506365854968E-3"/>
    <n v="18372708"/>
    <s v="SEC04"/>
    <x v="2"/>
  </r>
  <r>
    <d v="2025-02-03T00:00:00"/>
    <x v="3"/>
    <n v="602.17999999999995"/>
    <n v="606.01"/>
    <n v="598.35"/>
    <n v="600.15"/>
    <x v="409"/>
    <n v="-1.0347413146713383E-2"/>
    <n v="23097973.050000001"/>
    <s v="SEC04"/>
    <x v="2"/>
  </r>
  <r>
    <d v="2025-02-04T00:00:00"/>
    <x v="3"/>
    <n v="618.35"/>
    <n v="625.84"/>
    <n v="610.87"/>
    <n v="616.74"/>
    <x v="410"/>
    <n v="2.6899503842786315E-2"/>
    <n v="9285637.4399999995"/>
    <s v="SEC04"/>
    <x v="2"/>
  </r>
  <r>
    <d v="2025-02-05T00:00:00"/>
    <x v="3"/>
    <n v="606.24"/>
    <n v="615.19000000000005"/>
    <n v="597.28"/>
    <n v="607.73"/>
    <x v="411"/>
    <n v="-1.4825662712059616E-2"/>
    <n v="26985642.920000002"/>
    <s v="SEC04"/>
    <x v="2"/>
  </r>
  <r>
    <d v="2025-02-06T00:00:00"/>
    <x v="3"/>
    <n v="610.44000000000005"/>
    <n v="611.87"/>
    <n v="609"/>
    <n v="610.25"/>
    <x v="412"/>
    <n v="4.1294551413354882E-3"/>
    <n v="2557557.75"/>
    <s v="SEC04"/>
    <x v="2"/>
  </r>
  <r>
    <d v="2025-02-07T00:00:00"/>
    <x v="3"/>
    <n v="612.99"/>
    <n v="619.16999999999996"/>
    <n v="606.82000000000005"/>
    <n v="615.29"/>
    <x v="413"/>
    <n v="8.1912594061336347E-3"/>
    <n v="2849407.9899999998"/>
    <s v="SEC04"/>
    <x v="2"/>
  </r>
  <r>
    <d v="2025-02-10T00:00:00"/>
    <x v="3"/>
    <n v="615.02"/>
    <n v="621.79999999999995"/>
    <n v="608.25"/>
    <n v="618.65"/>
    <x v="414"/>
    <n v="5.4311807968964905E-3"/>
    <n v="13165490.65"/>
    <s v="SEC04"/>
    <x v="2"/>
  </r>
  <r>
    <d v="2025-02-11T00:00:00"/>
    <x v="3"/>
    <n v="614.1"/>
    <n v="620.48"/>
    <n v="607.71"/>
    <n v="617.36"/>
    <x v="415"/>
    <n v="-2.0895425683555196E-3"/>
    <n v="26345220.640000001"/>
    <s v="SEC04"/>
    <x v="2"/>
  </r>
  <r>
    <d v="2025-02-12T00:00:00"/>
    <x v="3"/>
    <n v="617.16999999999996"/>
    <n v="622.6"/>
    <n v="611.73"/>
    <n v="616.49"/>
    <x v="416"/>
    <n v="-1.4112151048678884E-3"/>
    <n v="14951731.970000001"/>
    <s v="SEC04"/>
    <x v="2"/>
  </r>
  <r>
    <d v="2025-02-13T00:00:00"/>
    <x v="3"/>
    <n v="617.12"/>
    <n v="624.84"/>
    <n v="609.41"/>
    <n v="616.98"/>
    <x v="417"/>
    <n v="7.9419105967780011E-4"/>
    <n v="4996921.0200000005"/>
    <s v="SEC04"/>
    <x v="2"/>
  </r>
  <r>
    <d v="2025-02-14T00:00:00"/>
    <x v="3"/>
    <n v="613.33000000000004"/>
    <n v="621.54"/>
    <n v="605.11"/>
    <n v="615.99"/>
    <x v="418"/>
    <n v="-1.6071689475478646E-3"/>
    <n v="29988857.16"/>
    <s v="SEC04"/>
    <x v="2"/>
  </r>
  <r>
    <d v="2025-02-17T00:00:00"/>
    <x v="3"/>
    <n v="625.05999999999995"/>
    <n v="632.86"/>
    <n v="617.27"/>
    <n v="623.66"/>
    <x v="419"/>
    <n v="1.2298367700349484E-2"/>
    <n v="17290349.84"/>
    <s v="SEC04"/>
    <x v="2"/>
  </r>
  <r>
    <d v="2025-02-18T00:00:00"/>
    <x v="3"/>
    <n v="641.49"/>
    <n v="642.04"/>
    <n v="640.94000000000005"/>
    <n v="641.42999999999995"/>
    <x v="420"/>
    <n v="2.770372449059131E-2"/>
    <n v="19087673.939999998"/>
    <s v="SEC04"/>
    <x v="2"/>
  </r>
  <r>
    <d v="2025-02-19T00:00:00"/>
    <x v="3"/>
    <n v="641.19000000000005"/>
    <n v="646.22"/>
    <n v="636.16999999999996"/>
    <n v="637.09"/>
    <x v="421"/>
    <n v="-6.8122243325117616E-3"/>
    <n v="15948911.060000001"/>
    <s v="SEC04"/>
    <x v="2"/>
  </r>
  <r>
    <d v="2025-02-20T00:00:00"/>
    <x v="3"/>
    <n v="620.41999999999996"/>
    <n v="626.49"/>
    <n v="614.36"/>
    <n v="626.34"/>
    <x v="422"/>
    <n v="-1.7163202094708944E-2"/>
    <n v="14909397.360000001"/>
    <s v="SEC04"/>
    <x v="2"/>
  </r>
  <r>
    <d v="2025-02-21T00:00:00"/>
    <x v="3"/>
    <n v="625.32000000000005"/>
    <n v="630.64"/>
    <n v="620.01"/>
    <n v="625.79"/>
    <x v="423"/>
    <n v="-8.7888908419768332E-4"/>
    <n v="30885865.449999999"/>
    <s v="SEC04"/>
    <x v="2"/>
  </r>
  <r>
    <d v="2025-02-24T00:00:00"/>
    <x v="3"/>
    <n v="643.87"/>
    <n v="651.14"/>
    <n v="636.6"/>
    <n v="646.62"/>
    <x v="424"/>
    <n v="3.2213664903652905E-2"/>
    <n v="25397940.359999999"/>
    <s v="SEC04"/>
    <x v="2"/>
  </r>
  <r>
    <d v="2025-02-25T00:00:00"/>
    <x v="3"/>
    <n v="643"/>
    <n v="650.29"/>
    <n v="635.71"/>
    <n v="640.25"/>
    <x v="425"/>
    <n v="-9.9492385786802105E-3"/>
    <n v="17968616.25"/>
    <s v="SEC04"/>
    <x v="2"/>
  </r>
  <r>
    <d v="2025-02-26T00:00:00"/>
    <x v="3"/>
    <n v="650.1"/>
    <n v="655.05999999999995"/>
    <n v="645.14"/>
    <n v="653.77"/>
    <x v="426"/>
    <n v="2.0680055677072949E-2"/>
    <n v="7687681.4299999997"/>
    <s v="SEC04"/>
    <x v="2"/>
  </r>
  <r>
    <d v="2025-02-27T00:00:00"/>
    <x v="3"/>
    <n v="669.53"/>
    <n v="671.44"/>
    <n v="667.61"/>
    <n v="667.89"/>
    <x v="427"/>
    <n v="2.1141205887197E-2"/>
    <n v="9536801.3100000005"/>
    <s v="SEC04"/>
    <x v="2"/>
  </r>
  <r>
    <d v="2025-02-28T00:00:00"/>
    <x v="3"/>
    <n v="660.86"/>
    <n v="670.24"/>
    <n v="651.48"/>
    <n v="663.41"/>
    <x v="428"/>
    <n v="-6.7529883480804001E-3"/>
    <n v="23978291.039999999"/>
    <s v="SEC04"/>
    <x v="2"/>
  </r>
  <r>
    <d v="2025-03-03T00:00:00"/>
    <x v="3"/>
    <n v="669.52"/>
    <n v="673.45"/>
    <n v="665.59"/>
    <n v="668.34"/>
    <x v="429"/>
    <n v="7.3764850225933858E-3"/>
    <n v="8570792.1600000001"/>
    <s v="SEC04"/>
    <x v="2"/>
  </r>
  <r>
    <d v="2025-03-04T00:00:00"/>
    <x v="3"/>
    <n v="682.32"/>
    <n v="685.84"/>
    <n v="678.8"/>
    <n v="682.36"/>
    <x v="430"/>
    <n v="2.0546339175801603E-2"/>
    <n v="29750896"/>
    <s v="SEC04"/>
    <x v="2"/>
  </r>
  <r>
    <d v="2025-03-05T00:00:00"/>
    <x v="3"/>
    <n v="680.04"/>
    <n v="688.02"/>
    <n v="672.06"/>
    <n v="679.27"/>
    <x v="431"/>
    <n v="-4.549001133569909E-3"/>
    <n v="14719101.629999999"/>
    <s v="SEC04"/>
    <x v="2"/>
  </r>
  <r>
    <d v="2025-03-06T00:00:00"/>
    <x v="3"/>
    <n v="681.58"/>
    <n v="689.83"/>
    <n v="673.32"/>
    <n v="677.69"/>
    <x v="432"/>
    <n v="-2.3314494828017636E-3"/>
    <n v="14320267.390000001"/>
    <s v="SEC04"/>
    <x v="2"/>
  </r>
  <r>
    <d v="2025-03-07T00:00:00"/>
    <x v="3"/>
    <n v="668.28"/>
    <n v="676.84"/>
    <n v="659.71"/>
    <n v="672.9"/>
    <x v="433"/>
    <n v="-7.1184425620449956E-3"/>
    <n v="23247349.199999999"/>
    <s v="SEC04"/>
    <x v="2"/>
  </r>
  <r>
    <d v="2025-03-10T00:00:00"/>
    <x v="3"/>
    <n v="663.41"/>
    <n v="672.25"/>
    <n v="654.57000000000005"/>
    <n v="664.51"/>
    <x v="434"/>
    <n v="-1.262584460730461E-2"/>
    <n v="6979348.5300000003"/>
    <s v="SEC04"/>
    <x v="2"/>
  </r>
  <r>
    <d v="2025-03-11T00:00:00"/>
    <x v="3"/>
    <n v="662.29"/>
    <n v="667.38"/>
    <n v="657.19"/>
    <n v="659.25"/>
    <x v="435"/>
    <n v="-7.9787637466818221E-3"/>
    <n v="11803871.25"/>
    <s v="SEC04"/>
    <x v="2"/>
  </r>
  <r>
    <d v="2025-03-12T00:00:00"/>
    <x v="3"/>
    <n v="645.49"/>
    <n v="653.71"/>
    <n v="637.27"/>
    <n v="649.32000000000005"/>
    <x v="436"/>
    <n v="-1.5292921825910105E-2"/>
    <n v="18054991.920000002"/>
    <s v="SEC04"/>
    <x v="2"/>
  </r>
  <r>
    <d v="2025-03-13T00:00:00"/>
    <x v="3"/>
    <n v="647.92999999999995"/>
    <n v="650.99"/>
    <n v="644.87"/>
    <n v="649.76"/>
    <x v="437"/>
    <n v="6.7717311007132E-4"/>
    <n v="26572584.960000001"/>
    <s v="SEC04"/>
    <x v="2"/>
  </r>
  <r>
    <d v="2025-03-14T00:00:00"/>
    <x v="3"/>
    <n v="642.92999999999995"/>
    <n v="645.74"/>
    <n v="640.11"/>
    <n v="643.64"/>
    <x v="438"/>
    <n v="-9.5084208563793494E-3"/>
    <n v="9841899.2400000002"/>
    <s v="SEC04"/>
    <x v="2"/>
  </r>
  <r>
    <d v="2025-03-17T00:00:00"/>
    <x v="3"/>
    <n v="645.20000000000005"/>
    <n v="647.26"/>
    <n v="643.14"/>
    <n v="645.69000000000005"/>
    <x v="439"/>
    <n v="3.1748981709490125E-3"/>
    <n v="22245957.57"/>
    <s v="SEC04"/>
    <x v="2"/>
  </r>
  <r>
    <d v="2025-03-18T00:00:00"/>
    <x v="3"/>
    <n v="627.1"/>
    <n v="633.47"/>
    <n v="620.74"/>
    <n v="633.30999999999995"/>
    <x v="440"/>
    <n v="-1.9548088613791207E-2"/>
    <n v="20165223.709999997"/>
    <s v="SEC04"/>
    <x v="2"/>
  </r>
  <r>
    <d v="2025-03-19T00:00:00"/>
    <x v="3"/>
    <n v="635.80999999999995"/>
    <n v="646.48"/>
    <n v="625.14"/>
    <n v="636.1"/>
    <x v="441"/>
    <n v="4.386102814023074E-3"/>
    <n v="7465269.6000000006"/>
    <s v="SEC04"/>
    <x v="2"/>
  </r>
  <r>
    <d v="2025-03-20T00:00:00"/>
    <x v="3"/>
    <n v="641.13"/>
    <n v="646.29"/>
    <n v="635.97"/>
    <n v="642.97"/>
    <x v="442"/>
    <n v="1.0684790892265587E-2"/>
    <n v="23123773.080000002"/>
    <s v="SEC04"/>
    <x v="2"/>
  </r>
  <r>
    <d v="2025-03-21T00:00:00"/>
    <x v="3"/>
    <n v="629.02"/>
    <n v="636.64"/>
    <n v="621.39"/>
    <n v="627.16999999999996"/>
    <x v="443"/>
    <n v="-2.5192531530526124E-2"/>
    <n v="9542391.5499999989"/>
    <s v="SEC04"/>
    <x v="2"/>
  </r>
  <r>
    <d v="2025-03-24T00:00:00"/>
    <x v="3"/>
    <n v="631.48"/>
    <n v="639.71"/>
    <n v="623.25"/>
    <n v="630.28"/>
    <x v="444"/>
    <n v="4.9343149076601098E-3"/>
    <n v="19118913.52"/>
    <s v="SEC04"/>
    <x v="2"/>
  </r>
  <r>
    <d v="2025-03-25T00:00:00"/>
    <x v="3"/>
    <n v="643.32000000000005"/>
    <n v="648.66"/>
    <n v="637.99"/>
    <n v="640.26"/>
    <x v="445"/>
    <n v="1.5587417611595319E-2"/>
    <n v="13902605.640000001"/>
    <s v="SEC04"/>
    <x v="2"/>
  </r>
  <r>
    <d v="2025-03-26T00:00:00"/>
    <x v="3"/>
    <n v="629.02"/>
    <n v="634.12"/>
    <n v="623.91999999999996"/>
    <n v="630.73"/>
    <x v="446"/>
    <n v="-1.5109476321088219E-2"/>
    <n v="31478472.84"/>
    <s v="SEC04"/>
    <x v="2"/>
  </r>
  <r>
    <d v="2025-03-27T00:00:00"/>
    <x v="3"/>
    <n v="644.52"/>
    <n v="646.44000000000005"/>
    <n v="642.61"/>
    <n v="644.30999999999995"/>
    <x v="447"/>
    <n v="2.1076810851918995E-2"/>
    <n v="16660567.979999999"/>
    <s v="SEC04"/>
    <x v="2"/>
  </r>
  <r>
    <d v="2025-03-28T00:00:00"/>
    <x v="3"/>
    <n v="650.97"/>
    <n v="660.38"/>
    <n v="641.54999999999995"/>
    <n v="647.88"/>
    <x v="448"/>
    <n v="5.5102796814225632E-3"/>
    <n v="30765229.68"/>
    <s v="SEC04"/>
    <x v="2"/>
  </r>
  <r>
    <d v="2025-03-31T00:00:00"/>
    <x v="3"/>
    <n v="642.99"/>
    <n v="653.1"/>
    <n v="632.89"/>
    <n v="642.29999999999995"/>
    <x v="449"/>
    <n v="-8.6875291919664352E-3"/>
    <n v="3053494.1999999997"/>
    <s v="SEC04"/>
    <x v="2"/>
  </r>
  <r>
    <d v="2025-04-01T00:00:00"/>
    <x v="3"/>
    <n v="642.1"/>
    <n v="651.74"/>
    <n v="632.46"/>
    <n v="642"/>
    <x v="450"/>
    <n v="-4.6728971962609739E-4"/>
    <n v="6231252"/>
    <s v="SEC04"/>
    <x v="2"/>
  </r>
  <r>
    <d v="2025-04-02T00:00:00"/>
    <x v="3"/>
    <n v="644.96"/>
    <n v="650.54"/>
    <n v="639.38"/>
    <n v="646.69000000000005"/>
    <x v="451"/>
    <n v="7.2523156380956168E-3"/>
    <n v="19869550.25"/>
    <s v="SEC04"/>
    <x v="2"/>
  </r>
  <r>
    <d v="2025-04-03T00:00:00"/>
    <x v="3"/>
    <n v="649"/>
    <n v="658.77"/>
    <n v="639.22"/>
    <n v="647.46"/>
    <x v="452"/>
    <n v="1.1892626571525372E-3"/>
    <n v="24000047.280000001"/>
    <s v="SEC04"/>
    <x v="2"/>
  </r>
  <r>
    <d v="2025-04-04T00:00:00"/>
    <x v="3"/>
    <n v="650.05999999999995"/>
    <n v="654.11"/>
    <n v="646.01"/>
    <n v="652.03"/>
    <x v="453"/>
    <n v="7.0088799595109681E-3"/>
    <n v="24447864.849999998"/>
    <s v="SEC04"/>
    <x v="2"/>
  </r>
  <r>
    <d v="2025-04-07T00:00:00"/>
    <x v="3"/>
    <n v="645.11"/>
    <n v="655.13"/>
    <n v="635.1"/>
    <n v="644.66"/>
    <x v="454"/>
    <n v="-1.1432382961561141E-2"/>
    <n v="11495577.119999999"/>
    <s v="SEC04"/>
    <x v="2"/>
  </r>
  <r>
    <d v="2025-04-08T00:00:00"/>
    <x v="3"/>
    <n v="646.73"/>
    <n v="649.78"/>
    <n v="643.67999999999995"/>
    <n v="646.19000000000005"/>
    <x v="455"/>
    <n v="2.3677246630249404E-3"/>
    <n v="28312814.850000001"/>
    <s v="SEC04"/>
    <x v="2"/>
  </r>
  <r>
    <d v="2025-04-09T00:00:00"/>
    <x v="3"/>
    <n v="638.72"/>
    <n v="645.09"/>
    <n v="632.34"/>
    <n v="634.92999999999995"/>
    <x v="456"/>
    <n v="-1.7734238419983471E-2"/>
    <n v="2591149.3299999996"/>
    <s v="SEC04"/>
    <x v="2"/>
  </r>
  <r>
    <d v="2025-04-10T00:00:00"/>
    <x v="3"/>
    <n v="633.74"/>
    <n v="643.61"/>
    <n v="623.86"/>
    <n v="634.20000000000005"/>
    <x v="457"/>
    <n v="-1.1510564490695434E-3"/>
    <n v="9539636.4000000004"/>
    <s v="SEC04"/>
    <x v="2"/>
  </r>
  <r>
    <d v="2025-04-11T00:00:00"/>
    <x v="3"/>
    <n v="626.12"/>
    <n v="629.52"/>
    <n v="622.71"/>
    <n v="627.16"/>
    <x v="458"/>
    <n v="-1.1225205689138462E-2"/>
    <n v="24396524"/>
    <s v="SEC04"/>
    <x v="2"/>
  </r>
  <r>
    <d v="2025-04-14T00:00:00"/>
    <x v="3"/>
    <n v="621.62"/>
    <n v="628.22"/>
    <n v="615.01"/>
    <n v="621.53"/>
    <x v="459"/>
    <n v="-9.0582916351583925E-3"/>
    <n v="27497108.73"/>
    <s v="SEC04"/>
    <x v="2"/>
  </r>
  <r>
    <d v="2025-04-15T00:00:00"/>
    <x v="3"/>
    <n v="636.02"/>
    <n v="641.04"/>
    <n v="630.99"/>
    <n v="631.42999999999995"/>
    <x v="460"/>
    <n v="1.5678697559507748E-2"/>
    <n v="17573959.759999998"/>
    <s v="SEC04"/>
    <x v="2"/>
  </r>
  <r>
    <d v="2025-04-16T00:00:00"/>
    <x v="3"/>
    <n v="635.6"/>
    <n v="640.47"/>
    <n v="630.73"/>
    <n v="640.33000000000004"/>
    <x v="461"/>
    <n v="1.389908328518122E-2"/>
    <n v="26491732.760000002"/>
    <s v="SEC04"/>
    <x v="2"/>
  </r>
  <r>
    <d v="2025-04-17T00:00:00"/>
    <x v="3"/>
    <n v="645.67999999999995"/>
    <n v="650.16"/>
    <n v="641.19000000000005"/>
    <n v="645.41"/>
    <x v="462"/>
    <n v="7.8709657427060743E-3"/>
    <n v="22941743.859999999"/>
    <s v="SEC04"/>
    <x v="2"/>
  </r>
  <r>
    <d v="2025-04-18T00:00:00"/>
    <x v="3"/>
    <n v="639.11"/>
    <n v="647.47"/>
    <n v="630.75"/>
    <n v="636.74"/>
    <x v="463"/>
    <n v="-1.3616232685240379E-2"/>
    <n v="15766955.880000001"/>
    <s v="SEC04"/>
    <x v="2"/>
  </r>
  <r>
    <d v="2025-04-21T00:00:00"/>
    <x v="3"/>
    <n v="638.35"/>
    <n v="647"/>
    <n v="629.69000000000005"/>
    <n v="634.36"/>
    <x v="464"/>
    <n v="-3.7518128507472025E-3"/>
    <n v="6721678.5600000005"/>
    <s v="SEC04"/>
    <x v="2"/>
  </r>
  <r>
    <d v="2025-04-22T00:00:00"/>
    <x v="3"/>
    <n v="643.4"/>
    <n v="652.58000000000004"/>
    <n v="634.23"/>
    <n v="644.29"/>
    <x v="465"/>
    <n v="1.5412314330503269E-2"/>
    <n v="1296955.77"/>
    <s v="SEC04"/>
    <x v="2"/>
  </r>
  <r>
    <d v="2025-04-23T00:00:00"/>
    <x v="3"/>
    <n v="646.89"/>
    <n v="653.25"/>
    <n v="640.53"/>
    <n v="645.59"/>
    <x v="466"/>
    <n v="2.0136619216531669E-3"/>
    <n v="25407840.040000003"/>
    <s v="SEC04"/>
    <x v="2"/>
  </r>
  <r>
    <d v="2025-04-24T00:00:00"/>
    <x v="3"/>
    <n v="663.72"/>
    <n v="664.92"/>
    <n v="662.52"/>
    <n v="664.89"/>
    <x v="467"/>
    <n v="2.9027357908826955E-2"/>
    <n v="10330395.93"/>
    <s v="SEC04"/>
    <x v="2"/>
  </r>
  <r>
    <d v="2025-04-25T00:00:00"/>
    <x v="3"/>
    <n v="670.12"/>
    <n v="676.64"/>
    <n v="663.6"/>
    <n v="668.35"/>
    <x v="468"/>
    <n v="5.1769282561532678E-3"/>
    <n v="23290660.800000001"/>
    <s v="SEC04"/>
    <x v="2"/>
  </r>
  <r>
    <d v="2025-04-28T00:00:00"/>
    <x v="3"/>
    <n v="670.03"/>
    <n v="675.33"/>
    <n v="664.74"/>
    <n v="670.13"/>
    <x v="469"/>
    <n v="2.6562010356199137E-3"/>
    <n v="29881096.699999999"/>
    <s v="SEC04"/>
    <x v="2"/>
  </r>
  <r>
    <d v="2025-04-29T00:00:00"/>
    <x v="3"/>
    <n v="666.61"/>
    <n v="674.11"/>
    <n v="659.11"/>
    <n v="667.69"/>
    <x v="470"/>
    <n v="-3.6543905105661917E-3"/>
    <n v="11408819.030000001"/>
    <s v="SEC04"/>
    <x v="2"/>
  </r>
  <r>
    <d v="2025-04-30T00:00:00"/>
    <x v="3"/>
    <n v="668.16"/>
    <n v="670.36"/>
    <n v="665.95"/>
    <n v="668.97"/>
    <x v="471"/>
    <n v="1.9133892401751538E-3"/>
    <n v="5112937.71"/>
    <s v="SEC04"/>
    <x v="2"/>
  </r>
  <r>
    <d v="2025-05-01T00:00:00"/>
    <x v="3"/>
    <n v="667.56"/>
    <n v="675.33"/>
    <n v="659.78"/>
    <n v="667.85"/>
    <x v="472"/>
    <n v="-1.6770232836714899E-3"/>
    <n v="775373.85"/>
    <s v="SEC04"/>
    <x v="2"/>
  </r>
  <r>
    <d v="2025-05-02T00:00:00"/>
    <x v="3"/>
    <n v="673.97"/>
    <n v="682.07"/>
    <n v="665.87"/>
    <n v="673.99"/>
    <x v="473"/>
    <n v="9.1099274469947419E-3"/>
    <n v="20038396.690000001"/>
    <s v="SEC04"/>
    <x v="2"/>
  </r>
  <r>
    <d v="2025-05-05T00:00:00"/>
    <x v="3"/>
    <n v="680.18"/>
    <n v="686.72"/>
    <n v="673.64"/>
    <n v="682.33"/>
    <x v="474"/>
    <n v="1.2222824732900549E-2"/>
    <n v="9343144.6900000013"/>
    <s v="SEC04"/>
    <x v="2"/>
  </r>
  <r>
    <d v="2025-05-06T00:00:00"/>
    <x v="3"/>
    <n v="675.42"/>
    <n v="685.16"/>
    <n v="665.68"/>
    <n v="675.76"/>
    <x v="475"/>
    <n v="-9.7223866461466357E-3"/>
    <n v="15418815.92"/>
    <s v="SEC04"/>
    <x v="2"/>
  </r>
  <r>
    <d v="2025-05-07T00:00:00"/>
    <x v="3"/>
    <n v="664.14"/>
    <n v="674.09"/>
    <n v="654.20000000000005"/>
    <n v="664.68"/>
    <x v="476"/>
    <n v="-1.6669675633387556E-2"/>
    <n v="33121669.079999998"/>
    <s v="SEC04"/>
    <x v="2"/>
  </r>
  <r>
    <d v="2025-05-08T00:00:00"/>
    <x v="3"/>
    <n v="650.59"/>
    <n v="656.4"/>
    <n v="644.78"/>
    <n v="649.64"/>
    <x v="477"/>
    <n v="-2.3151283787944038E-2"/>
    <n v="4202521.16"/>
    <s v="SEC04"/>
    <x v="2"/>
  </r>
  <r>
    <d v="2025-05-09T00:00:00"/>
    <x v="3"/>
    <n v="653.27"/>
    <n v="658.26"/>
    <n v="648.29"/>
    <n v="653.96"/>
    <x v="478"/>
    <n v="6.6059086182641905E-3"/>
    <n v="22847400.52"/>
    <s v="SEC04"/>
    <x v="2"/>
  </r>
  <r>
    <d v="2025-05-12T00:00:00"/>
    <x v="3"/>
    <n v="647.08000000000004"/>
    <n v="649.88"/>
    <n v="644.28"/>
    <n v="645.09"/>
    <x v="479"/>
    <n v="-1.375001937714118E-2"/>
    <n v="16805239.59"/>
    <s v="SEC04"/>
    <x v="2"/>
  </r>
  <r>
    <d v="2025-05-13T00:00:00"/>
    <x v="3"/>
    <n v="626.33000000000004"/>
    <n v="637.22"/>
    <n v="615.44000000000005"/>
    <n v="627.98"/>
    <x v="480"/>
    <n v="-2.7246090639829315E-2"/>
    <n v="21845540.260000002"/>
    <s v="SEC04"/>
    <x v="2"/>
  </r>
  <r>
    <d v="2025-05-14T00:00:00"/>
    <x v="3"/>
    <n v="632"/>
    <n v="634.99"/>
    <n v="629.02"/>
    <n v="631.21"/>
    <x v="481"/>
    <n v="5.1171559385941572E-3"/>
    <n v="29195356.130000003"/>
    <s v="SEC04"/>
    <x v="2"/>
  </r>
  <r>
    <d v="2025-05-15T00:00:00"/>
    <x v="3"/>
    <n v="650.53"/>
    <n v="659.79"/>
    <n v="641.27"/>
    <n v="651.5"/>
    <x v="482"/>
    <n v="3.1143514965464258E-2"/>
    <n v="12635191"/>
    <s v="SEC04"/>
    <x v="2"/>
  </r>
  <r>
    <d v="2025-05-16T00:00:00"/>
    <x v="3"/>
    <n v="649.62"/>
    <n v="660.55"/>
    <n v="638.69000000000005"/>
    <n v="651.61"/>
    <x v="483"/>
    <n v="1.6881263332363476E-4"/>
    <n v="32579196.780000001"/>
    <s v="SEC04"/>
    <x v="2"/>
  </r>
  <r>
    <d v="2025-05-19T00:00:00"/>
    <x v="3"/>
    <n v="658.58"/>
    <n v="666.22"/>
    <n v="650.94000000000005"/>
    <n v="658.69"/>
    <x v="484"/>
    <n v="1.0748607083757215E-2"/>
    <n v="20595918.920000002"/>
    <s v="SEC04"/>
    <x v="2"/>
  </r>
  <r>
    <d v="2025-05-20T00:00:00"/>
    <x v="3"/>
    <n v="664.89"/>
    <n v="672.44"/>
    <n v="657.34"/>
    <n v="659.52"/>
    <x v="485"/>
    <n v="1.2584910237747563E-3"/>
    <n v="31457784.960000001"/>
    <s v="SEC04"/>
    <x v="2"/>
  </r>
  <r>
    <d v="2025-05-21T00:00:00"/>
    <x v="3"/>
    <n v="653.54"/>
    <n v="659.18"/>
    <n v="647.9"/>
    <n v="658.86"/>
    <x v="486"/>
    <n v="-1.0017302613604835E-3"/>
    <n v="24064861.5"/>
    <s v="SEC04"/>
    <x v="2"/>
  </r>
  <r>
    <d v="2025-05-22T00:00:00"/>
    <x v="3"/>
    <n v="668.15"/>
    <n v="673.6"/>
    <n v="662.71"/>
    <n v="666.69"/>
    <x v="487"/>
    <n v="1.1744588939387181E-2"/>
    <n v="16189899.960000001"/>
    <s v="SEC04"/>
    <x v="2"/>
  </r>
  <r>
    <d v="2025-05-23T00:00:00"/>
    <x v="3"/>
    <n v="659.12"/>
    <n v="665.16"/>
    <n v="653.08000000000004"/>
    <n v="664.41"/>
    <x v="488"/>
    <n v="-3.4316160202286037E-3"/>
    <n v="3997754.9699999997"/>
    <s v="SEC04"/>
    <x v="2"/>
  </r>
  <r>
    <d v="2025-05-26T00:00:00"/>
    <x v="3"/>
    <n v="667.02"/>
    <n v="678.45"/>
    <n v="655.59"/>
    <n v="666.82"/>
    <x v="489"/>
    <n v="3.6141687411896488E-3"/>
    <n v="15627593.520000001"/>
    <s v="SEC04"/>
    <x v="2"/>
  </r>
  <r>
    <d v="2025-05-27T00:00:00"/>
    <x v="3"/>
    <n v="669.99"/>
    <n v="676.12"/>
    <n v="663.85"/>
    <n v="669.68"/>
    <x v="490"/>
    <n v="4.2706964520366443E-3"/>
    <n v="17598520.719999999"/>
    <s v="SEC04"/>
    <x v="2"/>
  </r>
  <r>
    <d v="2025-05-28T00:00:00"/>
    <x v="3"/>
    <n v="666.55"/>
    <n v="670.64"/>
    <n v="662.45"/>
    <n v="664.23"/>
    <x v="491"/>
    <n v="-8.2049892356562213E-3"/>
    <n v="13759524.450000001"/>
    <s v="SEC04"/>
    <x v="2"/>
  </r>
  <r>
    <d v="2025-05-29T00:00:00"/>
    <x v="3"/>
    <n v="667"/>
    <n v="673.41"/>
    <n v="660.58"/>
    <n v="672.74"/>
    <x v="492"/>
    <n v="1.2649760680203334E-2"/>
    <n v="20392094.879999999"/>
    <s v="SEC04"/>
    <x v="2"/>
  </r>
  <r>
    <d v="2025-05-30T00:00:00"/>
    <x v="3"/>
    <n v="676.61"/>
    <n v="681.9"/>
    <n v="671.33"/>
    <n v="671.42"/>
    <x v="493"/>
    <n v="-1.9659825444580891E-3"/>
    <n v="9730890.0599999987"/>
    <s v="SEC04"/>
    <x v="2"/>
  </r>
  <r>
    <d v="2025-06-02T00:00:00"/>
    <x v="3"/>
    <n v="665.84"/>
    <n v="668.21"/>
    <n v="663.47"/>
    <n v="665.22"/>
    <x v="494"/>
    <n v="-9.3202248880068714E-3"/>
    <n v="5811361.9199999999"/>
    <s v="SEC04"/>
    <x v="2"/>
  </r>
  <r>
    <d v="2025-06-03T00:00:00"/>
    <x v="3"/>
    <n v="670.52"/>
    <n v="679.95"/>
    <n v="661.09"/>
    <n v="669.89"/>
    <x v="495"/>
    <n v="6.9712937945035141E-3"/>
    <n v="31218883.669999998"/>
    <s v="SEC04"/>
    <x v="2"/>
  </r>
  <r>
    <d v="2025-06-04T00:00:00"/>
    <x v="3"/>
    <n v="660.72"/>
    <n v="662.68"/>
    <n v="658.76"/>
    <n v="662.51"/>
    <x v="496"/>
    <n v="-1.1139454498800012E-2"/>
    <n v="25494047.309999999"/>
    <s v="SEC04"/>
    <x v="2"/>
  </r>
  <r>
    <d v="2025-06-05T00:00:00"/>
    <x v="3"/>
    <n v="663.03"/>
    <n v="666.64"/>
    <n v="659.43"/>
    <n v="662.9"/>
    <x v="497"/>
    <n v="5.8832403077385177E-4"/>
    <n v="770289.79999999993"/>
    <s v="SEC04"/>
    <x v="2"/>
  </r>
  <r>
    <d v="2025-06-06T00:00:00"/>
    <x v="3"/>
    <n v="659.59"/>
    <n v="666.63"/>
    <n v="652.54"/>
    <n v="662.98"/>
    <x v="498"/>
    <n v="1.2066729011439399E-4"/>
    <n v="22270161.18"/>
    <s v="SEC04"/>
    <x v="2"/>
  </r>
  <r>
    <d v="2025-06-09T00:00:00"/>
    <x v="3"/>
    <n v="671.88"/>
    <n v="677.26"/>
    <n v="666.51"/>
    <n v="672.27"/>
    <x v="499"/>
    <n v="1.3818852544364562E-2"/>
    <n v="5980513.9199999999"/>
    <s v="SEC04"/>
    <x v="2"/>
  </r>
  <r>
    <d v="2025-06-10T00:00:00"/>
    <x v="3"/>
    <n v="681.28"/>
    <n v="686.97"/>
    <n v="675.58"/>
    <n v="676.47"/>
    <x v="500"/>
    <n v="6.2087010510444591E-3"/>
    <n v="21314216.760000002"/>
    <s v="SEC04"/>
    <x v="2"/>
  </r>
  <r>
    <d v="2025-06-11T00:00:00"/>
    <x v="3"/>
    <n v="681.87"/>
    <n v="687.95"/>
    <n v="675.78"/>
    <n v="676.41"/>
    <x v="501"/>
    <n v="-8.8703596930942943E-5"/>
    <n v="28263791.849999998"/>
    <s v="SEC04"/>
    <x v="2"/>
  </r>
  <r>
    <d v="2025-06-12T00:00:00"/>
    <x v="3"/>
    <n v="688.83"/>
    <n v="695.97"/>
    <n v="681.68"/>
    <n v="683.58"/>
    <x v="502"/>
    <n v="1.048889669095069E-2"/>
    <n v="33016230.420000002"/>
    <s v="SEC04"/>
    <x v="2"/>
  </r>
  <r>
    <d v="2025-06-13T00:00:00"/>
    <x v="3"/>
    <n v="692.65"/>
    <n v="700.21"/>
    <n v="685.08"/>
    <n v="695.83"/>
    <x v="503"/>
    <n v="1.7604874753891036E-2"/>
    <n v="22515667.140000001"/>
    <s v="SEC04"/>
    <x v="2"/>
  </r>
  <r>
    <d v="2025-06-16T00:00:00"/>
    <x v="3"/>
    <n v="697.43"/>
    <n v="704.22"/>
    <n v="690.63"/>
    <n v="700.9"/>
    <x v="504"/>
    <n v="7.2335568554714458E-3"/>
    <n v="34575397"/>
    <s v="SEC04"/>
    <x v="2"/>
  </r>
  <r>
    <d v="2025-06-17T00:00:00"/>
    <x v="3"/>
    <n v="703.99"/>
    <n v="714.67"/>
    <n v="693.3"/>
    <n v="701.16"/>
    <x v="505"/>
    <n v="3.7081407952534504E-4"/>
    <n v="28123527.599999998"/>
    <s v="SEC04"/>
    <x v="2"/>
  </r>
  <r>
    <d v="2025-06-18T00:00:00"/>
    <x v="3"/>
    <n v="686.83"/>
    <n v="695.26"/>
    <n v="678.41"/>
    <n v="689.83"/>
    <x v="506"/>
    <n v="-1.6424336430714708E-2"/>
    <n v="26025216.41"/>
    <s v="SEC04"/>
    <x v="2"/>
  </r>
  <r>
    <d v="2025-06-19T00:00:00"/>
    <x v="3"/>
    <n v="677.59"/>
    <n v="684.34"/>
    <n v="670.85"/>
    <n v="680.8"/>
    <x v="507"/>
    <n v="-1.3263807285546544E-2"/>
    <n v="13442396"/>
    <s v="SEC04"/>
    <x v="2"/>
  </r>
  <r>
    <d v="2025-06-20T00:00:00"/>
    <x v="3"/>
    <n v="684.01"/>
    <n v="691.63"/>
    <n v="676.38"/>
    <n v="678.34"/>
    <x v="508"/>
    <n v="-3.6264999852580158E-3"/>
    <n v="24095315.140000001"/>
    <s v="SEC04"/>
    <x v="2"/>
  </r>
  <r>
    <d v="2025-06-23T00:00:00"/>
    <x v="3"/>
    <n v="672.33"/>
    <n v="675.89"/>
    <n v="668.76"/>
    <n v="673.32"/>
    <x v="509"/>
    <n v="-7.4555931800629437E-3"/>
    <n v="15728755.200000001"/>
    <s v="SEC04"/>
    <x v="2"/>
  </r>
  <r>
    <d v="2025-06-24T00:00:00"/>
    <x v="3"/>
    <n v="671.76"/>
    <n v="684.62"/>
    <n v="658.89"/>
    <n v="671.89"/>
    <x v="510"/>
    <n v="-2.1283245769397724E-3"/>
    <n v="5098301.32"/>
    <s v="SEC04"/>
    <x v="2"/>
  </r>
  <r>
    <d v="2025-06-25T00:00:00"/>
    <x v="3"/>
    <n v="672.28"/>
    <n v="674.07"/>
    <n v="670.5"/>
    <n v="672.53"/>
    <x v="511"/>
    <n v="9.5163041053928656E-4"/>
    <n v="16987435.27"/>
    <s v="SEC04"/>
    <x v="2"/>
  </r>
  <r>
    <d v="2025-06-26T00:00:00"/>
    <x v="3"/>
    <n v="679.42"/>
    <n v="682.86"/>
    <n v="675.99"/>
    <n v="677.2"/>
    <x v="512"/>
    <n v="6.8960425280568107E-3"/>
    <n v="23271978"/>
    <s v="SEC04"/>
    <x v="2"/>
  </r>
  <r>
    <d v="2025-06-27T00:00:00"/>
    <x v="3"/>
    <n v="677.01"/>
    <n v="684.35"/>
    <n v="669.67"/>
    <n v="676.76"/>
    <x v="513"/>
    <n v="-6.5015662864243535E-4"/>
    <n v="22546936.16"/>
    <s v="SEC04"/>
    <x v="2"/>
  </r>
  <r>
    <d v="2025-06-30T00:00:00"/>
    <x v="3"/>
    <n v="679.88"/>
    <n v="684.18"/>
    <n v="675.58"/>
    <n v="681.08"/>
    <x v="514"/>
    <n v="6.3428672109004077E-3"/>
    <n v="13263351.92"/>
    <s v="SEC04"/>
    <x v="2"/>
  </r>
  <r>
    <d v="2025-01-01T00:00:00"/>
    <x v="4"/>
    <n v="228.35"/>
    <n v="231.47"/>
    <n v="225.23"/>
    <n v="229.72"/>
    <x v="515"/>
    <n v="0"/>
    <n v="3011399.48"/>
    <s v="SEC01"/>
    <x v="0"/>
  </r>
  <r>
    <d v="2025-01-02T00:00:00"/>
    <x v="4"/>
    <n v="236.16"/>
    <n v="237.33"/>
    <n v="234.99"/>
    <n v="235.08"/>
    <x v="516"/>
    <n v="2.280074868130004E-2"/>
    <n v="5731955.6400000006"/>
    <s v="SEC01"/>
    <x v="0"/>
  </r>
  <r>
    <d v="2025-01-03T00:00:00"/>
    <x v="4"/>
    <n v="232.68"/>
    <n v="235.02"/>
    <n v="230.35"/>
    <n v="234.89"/>
    <x v="517"/>
    <n v="-8.088892673167277E-4"/>
    <n v="4545356.3899999997"/>
    <s v="SEC01"/>
    <x v="0"/>
  </r>
  <r>
    <d v="2025-01-06T00:00:00"/>
    <x v="4"/>
    <n v="231.89"/>
    <n v="235.8"/>
    <n v="227.98"/>
    <n v="232.51"/>
    <x v="518"/>
    <n v="-1.0236118876607438E-2"/>
    <n v="4726928.3"/>
    <s v="SEC01"/>
    <x v="0"/>
  </r>
  <r>
    <d v="2025-01-07T00:00:00"/>
    <x v="4"/>
    <n v="228.76"/>
    <n v="232.33"/>
    <n v="225.2"/>
    <n v="228.88"/>
    <x v="519"/>
    <n v="-1.5859839217056953E-2"/>
    <n v="1390446"/>
    <s v="SEC01"/>
    <x v="0"/>
  </r>
  <r>
    <d v="2025-01-08T00:00:00"/>
    <x v="4"/>
    <n v="229.59"/>
    <n v="233.26"/>
    <n v="225.92"/>
    <n v="228.77"/>
    <x v="520"/>
    <n v="-4.8083227695932689E-4"/>
    <n v="11255484"/>
    <s v="SEC01"/>
    <x v="0"/>
  </r>
  <r>
    <d v="2025-01-09T00:00:00"/>
    <x v="4"/>
    <n v="226.34"/>
    <n v="228.92"/>
    <n v="223.76"/>
    <n v="227.53"/>
    <x v="521"/>
    <n v="-5.4498307915440119E-3"/>
    <n v="3202257.22"/>
    <s v="SEC01"/>
    <x v="0"/>
  </r>
  <r>
    <d v="2025-01-10T00:00:00"/>
    <x v="4"/>
    <n v="235.2"/>
    <n v="237.5"/>
    <n v="232.9"/>
    <n v="233.42"/>
    <x v="522"/>
    <n v="2.5233484705680691E-2"/>
    <n v="8222919.7599999998"/>
    <s v="SEC01"/>
    <x v="0"/>
  </r>
  <r>
    <d v="2025-01-13T00:00:00"/>
    <x v="4"/>
    <n v="239.8"/>
    <n v="241.33"/>
    <n v="238.28"/>
    <n v="238.74"/>
    <x v="523"/>
    <n v="2.2283655859931396E-2"/>
    <n v="1865991.84"/>
    <s v="SEC01"/>
    <x v="0"/>
  </r>
  <r>
    <d v="2025-01-14T00:00:00"/>
    <x v="4"/>
    <n v="236.1"/>
    <n v="237.92"/>
    <n v="234.29"/>
    <n v="235.71"/>
    <x v="524"/>
    <n v="-1.2854779177803238E-2"/>
    <n v="7187269.3200000003"/>
    <s v="SEC01"/>
    <x v="0"/>
  </r>
  <r>
    <d v="2025-01-15T00:00:00"/>
    <x v="4"/>
    <n v="233.66"/>
    <n v="235.05"/>
    <n v="232.26"/>
    <n v="233.66"/>
    <x v="525"/>
    <n v="-8.7734314816400386E-3"/>
    <n v="7899577.2800000003"/>
    <s v="SEC01"/>
    <x v="0"/>
  </r>
  <r>
    <d v="2025-01-16T00:00:00"/>
    <x v="4"/>
    <n v="231.94"/>
    <n v="234.16"/>
    <n v="229.71"/>
    <n v="233.94"/>
    <x v="526"/>
    <n v="1.1968880909634999E-3"/>
    <n v="3707715.06"/>
    <s v="SEC01"/>
    <x v="0"/>
  </r>
  <r>
    <d v="2025-01-17T00:00:00"/>
    <x v="4"/>
    <n v="238.32"/>
    <n v="241.33"/>
    <n v="235.32"/>
    <n v="238.15"/>
    <x v="527"/>
    <n v="1.7677934075162747E-2"/>
    <n v="1517968.1"/>
    <s v="SEC01"/>
    <x v="0"/>
  </r>
  <r>
    <d v="2025-01-20T00:00:00"/>
    <x v="4"/>
    <n v="237.99"/>
    <n v="238.75"/>
    <n v="237.23"/>
    <n v="238.38"/>
    <x v="528"/>
    <n v="9.6484604413117614E-4"/>
    <n v="7771188"/>
    <s v="SEC01"/>
    <x v="0"/>
  </r>
  <r>
    <d v="2025-01-21T00:00:00"/>
    <x v="4"/>
    <n v="236.16"/>
    <n v="237.84"/>
    <n v="234.47"/>
    <n v="236.5"/>
    <x v="529"/>
    <n v="-7.949260042283279E-3"/>
    <n v="420497"/>
    <s v="SEC01"/>
    <x v="0"/>
  </r>
  <r>
    <d v="2025-01-22T00:00:00"/>
    <x v="4"/>
    <n v="236.71"/>
    <n v="241.08"/>
    <n v="232.33"/>
    <n v="236.38"/>
    <x v="530"/>
    <n v="-5.076571621964826E-4"/>
    <n v="7436987.5599999996"/>
    <s v="SEC01"/>
    <x v="0"/>
  </r>
  <r>
    <d v="2025-01-23T00:00:00"/>
    <x v="4"/>
    <n v="235.52"/>
    <n v="237.66"/>
    <n v="233.38"/>
    <n v="234.57"/>
    <x v="531"/>
    <n v="-7.7162467493712E-3"/>
    <n v="10766763"/>
    <s v="SEC01"/>
    <x v="0"/>
  </r>
  <r>
    <d v="2025-01-24T00:00:00"/>
    <x v="4"/>
    <n v="237.56"/>
    <n v="239.24"/>
    <n v="235.87"/>
    <n v="236.41"/>
    <x v="532"/>
    <n v="7.7830887018315786E-3"/>
    <n v="719632.04"/>
    <s v="SEC01"/>
    <x v="0"/>
  </r>
  <r>
    <d v="2025-01-27T00:00:00"/>
    <x v="4"/>
    <n v="235.52"/>
    <n v="236.83"/>
    <n v="234.21"/>
    <n v="234.36"/>
    <x v="533"/>
    <n v="-8.7472264891619005E-3"/>
    <n v="6241944.2400000002"/>
    <s v="SEC01"/>
    <x v="0"/>
  </r>
  <r>
    <d v="2025-01-28T00:00:00"/>
    <x v="4"/>
    <n v="232.8"/>
    <n v="236.78"/>
    <n v="228.82"/>
    <n v="232.92"/>
    <x v="534"/>
    <n v="-6.1823802163834202E-3"/>
    <n v="10503760.32"/>
    <s v="SEC01"/>
    <x v="0"/>
  </r>
  <r>
    <d v="2025-01-29T00:00:00"/>
    <x v="4"/>
    <n v="234.83"/>
    <n v="236.53"/>
    <n v="233.13"/>
    <n v="236.41"/>
    <x v="535"/>
    <n v="1.4762488896408819E-2"/>
    <n v="8325178.1499999994"/>
    <s v="SEC01"/>
    <x v="0"/>
  </r>
  <r>
    <d v="2025-01-30T00:00:00"/>
    <x v="4"/>
    <n v="233.91"/>
    <n v="235.67"/>
    <n v="232.15"/>
    <n v="234.19"/>
    <x v="536"/>
    <n v="-9.4794824714974964E-3"/>
    <n v="10270636.640000001"/>
    <s v="SEC01"/>
    <x v="0"/>
  </r>
  <r>
    <d v="2025-01-31T00:00:00"/>
    <x v="4"/>
    <n v="230.42"/>
    <n v="231.58"/>
    <n v="229.26"/>
    <n v="230.01"/>
    <x v="537"/>
    <n v="-1.8173122907699697E-2"/>
    <n v="4091647.8899999997"/>
    <s v="SEC01"/>
    <x v="0"/>
  </r>
  <r>
    <d v="2025-02-03T00:00:00"/>
    <x v="4"/>
    <n v="230.29"/>
    <n v="233.14"/>
    <n v="227.44"/>
    <n v="230.34"/>
    <x v="538"/>
    <n v="1.4326647564470456E-3"/>
    <n v="7251794.2199999997"/>
    <s v="SEC01"/>
    <x v="0"/>
  </r>
  <r>
    <d v="2025-02-04T00:00:00"/>
    <x v="4"/>
    <n v="229.7"/>
    <n v="232.97"/>
    <n v="226.42"/>
    <n v="229.36"/>
    <x v="539"/>
    <n v="-4.2727589815137329E-3"/>
    <n v="4410592.8"/>
    <s v="SEC01"/>
    <x v="0"/>
  </r>
  <r>
    <d v="2025-02-05T00:00:00"/>
    <x v="4"/>
    <n v="231.83"/>
    <n v="233.26"/>
    <n v="230.41"/>
    <n v="230.89"/>
    <x v="540"/>
    <n v="6.6265321148597719E-3"/>
    <n v="5289459.01"/>
    <s v="SEC01"/>
    <x v="0"/>
  </r>
  <r>
    <d v="2025-02-06T00:00:00"/>
    <x v="4"/>
    <n v="231.45"/>
    <n v="235.52"/>
    <n v="227.37"/>
    <n v="231.87"/>
    <x v="541"/>
    <n v="4.2265062319403902E-3"/>
    <n v="11030287.77"/>
    <s v="SEC01"/>
    <x v="0"/>
  </r>
  <r>
    <d v="2025-02-07T00:00:00"/>
    <x v="4"/>
    <n v="232.65"/>
    <n v="236.24"/>
    <n v="229.05"/>
    <n v="231.84"/>
    <x v="542"/>
    <n v="-1.2939958592132994E-4"/>
    <n v="2826129.6"/>
    <s v="SEC01"/>
    <x v="0"/>
  </r>
  <r>
    <d v="2025-02-10T00:00:00"/>
    <x v="4"/>
    <n v="233.37"/>
    <n v="236.27"/>
    <n v="230.47"/>
    <n v="231.71"/>
    <x v="543"/>
    <n v="-5.6104613525525637E-4"/>
    <n v="4956045.1900000004"/>
    <s v="SEC01"/>
    <x v="0"/>
  </r>
  <r>
    <d v="2025-02-11T00:00:00"/>
    <x v="4"/>
    <n v="229.21"/>
    <n v="229.95"/>
    <n v="228.46"/>
    <n v="229.63"/>
    <x v="544"/>
    <n v="-9.0580499063711729E-3"/>
    <n v="6317580.5599999996"/>
    <s v="SEC01"/>
    <x v="0"/>
  </r>
  <r>
    <d v="2025-02-12T00:00:00"/>
    <x v="4"/>
    <n v="228.63"/>
    <n v="230.11"/>
    <n v="227.15"/>
    <n v="229.92"/>
    <x v="545"/>
    <n v="1.2613082811412321E-3"/>
    <n v="1236509.76"/>
    <s v="SEC01"/>
    <x v="0"/>
  </r>
  <r>
    <d v="2025-02-13T00:00:00"/>
    <x v="4"/>
    <n v="232.23"/>
    <n v="233.2"/>
    <n v="231.26"/>
    <n v="232.55"/>
    <x v="546"/>
    <n v="1.1309395828854112E-2"/>
    <n v="5813750"/>
    <s v="SEC01"/>
    <x v="0"/>
  </r>
  <r>
    <d v="2025-02-14T00:00:00"/>
    <x v="4"/>
    <n v="229.72"/>
    <n v="231.84"/>
    <n v="227.59"/>
    <n v="229.77"/>
    <x v="547"/>
    <n v="-1.2099055577316451E-2"/>
    <n v="7016716.2600000007"/>
    <s v="SEC01"/>
    <x v="0"/>
  </r>
  <r>
    <d v="2025-02-17T00:00:00"/>
    <x v="4"/>
    <n v="228.85"/>
    <n v="230.71"/>
    <n v="227"/>
    <n v="229.81"/>
    <x v="548"/>
    <n v="1.7405682955481502E-4"/>
    <n v="7243381.3899999997"/>
    <s v="SEC01"/>
    <x v="0"/>
  </r>
  <r>
    <d v="2025-02-18T00:00:00"/>
    <x v="4"/>
    <n v="233.01"/>
    <n v="235.64"/>
    <n v="230.39"/>
    <n v="232.89"/>
    <x v="549"/>
    <n v="1.3225127742711083E-2"/>
    <n v="10260201.84"/>
    <s v="SEC01"/>
    <x v="0"/>
  </r>
  <r>
    <d v="2025-02-19T00:00:00"/>
    <x v="4"/>
    <n v="233.94"/>
    <n v="234.47"/>
    <n v="233.4"/>
    <n v="234.43"/>
    <x v="550"/>
    <n v="6.5691251119738107E-3"/>
    <n v="9006331.7400000002"/>
    <s v="SEC01"/>
    <x v="0"/>
  </r>
  <r>
    <d v="2025-02-20T00:00:00"/>
    <x v="4"/>
    <n v="239.72"/>
    <n v="242.41"/>
    <n v="237.03"/>
    <n v="238.39"/>
    <x v="551"/>
    <n v="1.6611435043416167E-2"/>
    <n v="7509761.7799999993"/>
    <s v="SEC01"/>
    <x v="0"/>
  </r>
  <r>
    <d v="2025-02-21T00:00:00"/>
    <x v="4"/>
    <n v="237.29"/>
    <n v="240.54"/>
    <n v="234.04"/>
    <n v="236.74"/>
    <x v="552"/>
    <n v="-6.9696713694347269E-3"/>
    <n v="3220847.7"/>
    <s v="SEC01"/>
    <x v="0"/>
  </r>
  <r>
    <d v="2025-02-24T00:00:00"/>
    <x v="4"/>
    <n v="232.22"/>
    <n v="233.24"/>
    <n v="231.2"/>
    <n v="231.4"/>
    <x v="553"/>
    <n v="-2.3076923076923092E-2"/>
    <n v="5498064"/>
    <s v="SEC01"/>
    <x v="0"/>
  </r>
  <r>
    <d v="2025-02-25T00:00:00"/>
    <x v="4"/>
    <n v="232.76"/>
    <n v="233.88"/>
    <n v="231.64"/>
    <n v="232.04"/>
    <x v="554"/>
    <n v="2.7581451473883225E-3"/>
    <n v="1310561.92"/>
    <s v="SEC01"/>
    <x v="0"/>
  </r>
  <r>
    <d v="2025-02-26T00:00:00"/>
    <x v="4"/>
    <n v="233.83"/>
    <n v="236.98"/>
    <n v="230.68"/>
    <n v="233.16"/>
    <x v="555"/>
    <n v="4.8035683650712157E-3"/>
    <n v="10632562.32"/>
    <s v="SEC01"/>
    <x v="0"/>
  </r>
  <r>
    <d v="2025-02-27T00:00:00"/>
    <x v="4"/>
    <n v="236.4"/>
    <n v="239.68"/>
    <n v="233.12"/>
    <n v="237.27"/>
    <x v="556"/>
    <n v="1.7322038184347004E-2"/>
    <n v="1303086.8400000001"/>
    <s v="SEC01"/>
    <x v="0"/>
  </r>
  <r>
    <d v="2025-02-28T00:00:00"/>
    <x v="4"/>
    <n v="242.43"/>
    <n v="244.16"/>
    <n v="240.69"/>
    <n v="240.91"/>
    <x v="557"/>
    <n v="1.5109376945747318E-2"/>
    <n v="5393011.2599999998"/>
    <s v="SEC01"/>
    <x v="0"/>
  </r>
  <r>
    <d v="2025-03-03T00:00:00"/>
    <x v="4"/>
    <n v="242.25"/>
    <n v="243.24"/>
    <n v="241.27"/>
    <n v="242.6"/>
    <x v="558"/>
    <n v="6.9661995053586058E-3"/>
    <n v="10965277.4"/>
    <s v="SEC01"/>
    <x v="0"/>
  </r>
  <r>
    <d v="2025-03-04T00:00:00"/>
    <x v="4"/>
    <n v="245.03"/>
    <n v="247.07"/>
    <n v="242.99"/>
    <n v="245.01"/>
    <x v="559"/>
    <n v="9.8363332108893382E-3"/>
    <n v="3367172.4299999997"/>
    <s v="SEC01"/>
    <x v="0"/>
  </r>
  <r>
    <d v="2025-03-05T00:00:00"/>
    <x v="4"/>
    <n v="245.48"/>
    <n v="247.76"/>
    <n v="243.21"/>
    <n v="244.47"/>
    <x v="510"/>
    <n v="-2.2088599828199453E-3"/>
    <n v="1855038.36"/>
    <s v="SEC01"/>
    <x v="0"/>
  </r>
  <r>
    <d v="2025-03-06T00:00:00"/>
    <x v="4"/>
    <n v="239.57"/>
    <n v="242.3"/>
    <n v="236.84"/>
    <n v="240.81"/>
    <x v="560"/>
    <n v="-1.5198704372741982E-2"/>
    <n v="8369351.5499999998"/>
    <s v="SEC01"/>
    <x v="0"/>
  </r>
  <r>
    <d v="2025-03-07T00:00:00"/>
    <x v="4"/>
    <n v="243.2"/>
    <n v="245.18"/>
    <n v="241.21"/>
    <n v="241.22"/>
    <x v="561"/>
    <n v="1.6996932261006408E-3"/>
    <n v="3412298.12"/>
    <s v="SEC01"/>
    <x v="0"/>
  </r>
  <r>
    <d v="2025-03-10T00:00:00"/>
    <x v="4"/>
    <n v="242.54"/>
    <n v="244.29"/>
    <n v="240.78"/>
    <n v="244.28"/>
    <x v="562"/>
    <n v="1.2526608809562806E-2"/>
    <n v="421627.28"/>
    <s v="SEC01"/>
    <x v="0"/>
  </r>
  <r>
    <d v="2025-03-11T00:00:00"/>
    <x v="4"/>
    <n v="244.32"/>
    <n v="246.57"/>
    <n v="242.08"/>
    <n v="246.37"/>
    <x v="563"/>
    <n v="8.4831757113285038E-3"/>
    <n v="11760964.689999999"/>
    <s v="SEC01"/>
    <x v="0"/>
  </r>
  <r>
    <d v="2025-03-12T00:00:00"/>
    <x v="4"/>
    <n v="248.36"/>
    <n v="249.6"/>
    <n v="247.12"/>
    <n v="249.03"/>
    <x v="564"/>
    <n v="1.0681444002730581E-2"/>
    <n v="6473534.8499999996"/>
    <s v="SEC01"/>
    <x v="0"/>
  </r>
  <r>
    <d v="2025-03-13T00:00:00"/>
    <x v="4"/>
    <n v="248.37"/>
    <n v="249.58"/>
    <n v="247.15"/>
    <n v="247.75"/>
    <x v="565"/>
    <n v="-5.1664984863774013E-3"/>
    <n v="2886535.25"/>
    <s v="SEC01"/>
    <x v="0"/>
  </r>
  <r>
    <d v="2025-03-14T00:00:00"/>
    <x v="4"/>
    <n v="246.12"/>
    <n v="249.7"/>
    <n v="242.54"/>
    <n v="246.98"/>
    <x v="566"/>
    <n v="-3.1176613490971343E-3"/>
    <n v="4375250.7"/>
    <s v="SEC01"/>
    <x v="0"/>
  </r>
  <r>
    <d v="2025-03-17T00:00:00"/>
    <x v="4"/>
    <n v="247.87"/>
    <n v="248.95"/>
    <n v="246.79"/>
    <n v="248.55"/>
    <x v="567"/>
    <n v="6.316636491651666E-3"/>
    <n v="1712260.9500000002"/>
    <s v="SEC01"/>
    <x v="0"/>
  </r>
  <r>
    <d v="2025-03-18T00:00:00"/>
    <x v="4"/>
    <n v="246.88"/>
    <n v="250.21"/>
    <n v="243.55"/>
    <n v="246.9"/>
    <x v="568"/>
    <n v="-6.6828675577156969E-3"/>
    <n v="8792109"/>
    <s v="SEC01"/>
    <x v="0"/>
  </r>
  <r>
    <d v="2025-03-19T00:00:00"/>
    <x v="4"/>
    <n v="246.8"/>
    <n v="248.28"/>
    <n v="245.31"/>
    <n v="245.36"/>
    <x v="569"/>
    <n v="-6.2764916856863058E-3"/>
    <n v="3311623.9200000004"/>
    <s v="SEC01"/>
    <x v="0"/>
  </r>
  <r>
    <d v="2025-03-20T00:00:00"/>
    <x v="4"/>
    <n v="246.4"/>
    <n v="247.03"/>
    <n v="245.78"/>
    <n v="246.35"/>
    <x v="570"/>
    <n v="4.018672620255655E-3"/>
    <n v="10220076.1"/>
    <s v="SEC01"/>
    <x v="0"/>
  </r>
  <r>
    <d v="2025-03-21T00:00:00"/>
    <x v="4"/>
    <n v="249.15"/>
    <n v="253.12"/>
    <n v="245.18"/>
    <n v="248.78"/>
    <x v="571"/>
    <n v="9.7676662111102451E-3"/>
    <n v="3178662.06"/>
    <s v="SEC01"/>
    <x v="0"/>
  </r>
  <r>
    <d v="2025-03-24T00:00:00"/>
    <x v="4"/>
    <n v="247.47"/>
    <n v="250.84"/>
    <n v="244.1"/>
    <n v="248.21"/>
    <x v="572"/>
    <n v="-2.2964425285040618E-3"/>
    <n v="7197345.3700000001"/>
    <s v="SEC01"/>
    <x v="0"/>
  </r>
  <r>
    <d v="2025-03-25T00:00:00"/>
    <x v="4"/>
    <n v="244.98"/>
    <n v="245.36"/>
    <n v="244.6"/>
    <n v="244.66"/>
    <x v="573"/>
    <n v="-1.4509932150739849E-2"/>
    <n v="7258817.54"/>
    <s v="SEC01"/>
    <x v="0"/>
  </r>
  <r>
    <d v="2025-03-26T00:00:00"/>
    <x v="4"/>
    <n v="242.66"/>
    <n v="245.04"/>
    <n v="240.28"/>
    <n v="242.46"/>
    <x v="574"/>
    <n v="-9.0736616349088046E-3"/>
    <n v="11986737.48"/>
    <s v="SEC01"/>
    <x v="0"/>
  </r>
  <r>
    <d v="2025-03-27T00:00:00"/>
    <x v="4"/>
    <n v="244.44"/>
    <n v="245.95"/>
    <n v="242.93"/>
    <n v="243.14"/>
    <x v="575"/>
    <n v="2.7967426174219726E-3"/>
    <n v="2535463.92"/>
    <s v="SEC01"/>
    <x v="0"/>
  </r>
  <r>
    <d v="2025-03-28T00:00:00"/>
    <x v="4"/>
    <n v="245.23"/>
    <n v="247.73"/>
    <n v="242.73"/>
    <n v="243.79"/>
    <x v="576"/>
    <n v="2.6662291316297045E-3"/>
    <n v="9954433.2799999993"/>
    <s v="SEC01"/>
    <x v="0"/>
  </r>
  <r>
    <d v="2025-03-31T00:00:00"/>
    <x v="4"/>
    <n v="244.77"/>
    <n v="248.15"/>
    <n v="241.4"/>
    <n v="244.59"/>
    <x v="577"/>
    <n v="3.2707796721043844E-3"/>
    <n v="8704224.3300000001"/>
    <s v="SEC01"/>
    <x v="0"/>
  </r>
  <r>
    <d v="2025-04-01T00:00:00"/>
    <x v="4"/>
    <n v="245.11"/>
    <n v="248.16"/>
    <n v="242.06"/>
    <n v="246.26"/>
    <x v="578"/>
    <n v="6.7814504994720519E-3"/>
    <n v="8970266.7599999998"/>
    <s v="SEC01"/>
    <x v="0"/>
  </r>
  <r>
    <d v="2025-04-02T00:00:00"/>
    <x v="4"/>
    <n v="245.19"/>
    <n v="246.72"/>
    <n v="243.66"/>
    <n v="246.33"/>
    <x v="579"/>
    <n v="2.8417163967044855E-4"/>
    <n v="2762098.29"/>
    <s v="SEC01"/>
    <x v="0"/>
  </r>
  <r>
    <d v="2025-04-03T00:00:00"/>
    <x v="4"/>
    <n v="248.06"/>
    <n v="251.12"/>
    <n v="245.01"/>
    <n v="247.22"/>
    <x v="580"/>
    <n v="3.6000323598413815E-3"/>
    <n v="10840349.779999999"/>
    <s v="SEC01"/>
    <x v="0"/>
  </r>
  <r>
    <d v="2025-04-04T00:00:00"/>
    <x v="4"/>
    <n v="246.97"/>
    <n v="249.03"/>
    <n v="244.91"/>
    <n v="247.13"/>
    <x v="581"/>
    <n v="-3.641807955327294E-4"/>
    <n v="10072524.539999999"/>
    <s v="SEC01"/>
    <x v="0"/>
  </r>
  <r>
    <d v="2025-04-07T00:00:00"/>
    <x v="4"/>
    <n v="252.45"/>
    <n v="254.61"/>
    <n v="250.3"/>
    <n v="250.8"/>
    <x v="582"/>
    <n v="1.4633173843700222E-2"/>
    <n v="4121647.2"/>
    <s v="SEC01"/>
    <x v="0"/>
  </r>
  <r>
    <d v="2025-04-08T00:00:00"/>
    <x v="4"/>
    <n v="255.96"/>
    <n v="258.39999999999998"/>
    <n v="253.53"/>
    <n v="255.42"/>
    <x v="583"/>
    <n v="1.8087855297157531E-2"/>
    <n v="546854.22"/>
    <s v="SEC01"/>
    <x v="0"/>
  </r>
  <r>
    <d v="2025-04-09T00:00:00"/>
    <x v="4"/>
    <n v="251.73"/>
    <n v="255.24"/>
    <n v="248.22"/>
    <n v="251.69"/>
    <x v="584"/>
    <n v="-1.4819818030116373E-2"/>
    <n v="11762480.459999999"/>
    <s v="SEC01"/>
    <x v="0"/>
  </r>
  <r>
    <d v="2025-04-10T00:00:00"/>
    <x v="4"/>
    <n v="251.81"/>
    <n v="253.51"/>
    <n v="250.11"/>
    <n v="250.94"/>
    <x v="585"/>
    <n v="-2.9887622539252409E-3"/>
    <n v="4363846.5999999996"/>
    <s v="SEC01"/>
    <x v="0"/>
  </r>
  <r>
    <d v="2025-04-11T00:00:00"/>
    <x v="4"/>
    <n v="249.22"/>
    <n v="251.82"/>
    <n v="246.63"/>
    <n v="251.1"/>
    <x v="586"/>
    <n v="6.3719633612105376E-4"/>
    <n v="7241724"/>
    <s v="SEC01"/>
    <x v="0"/>
  </r>
  <r>
    <d v="2025-04-14T00:00:00"/>
    <x v="4"/>
    <n v="251.84"/>
    <n v="255.06"/>
    <n v="248.62"/>
    <n v="250.32"/>
    <x v="587"/>
    <n v="-3.1160115052732548E-3"/>
    <n v="10357991.279999999"/>
    <s v="SEC01"/>
    <x v="0"/>
  </r>
  <r>
    <d v="2025-04-15T00:00:00"/>
    <x v="4"/>
    <n v="257.05"/>
    <n v="258.04000000000002"/>
    <n v="256.06"/>
    <n v="256.10000000000002"/>
    <x v="588"/>
    <n v="2.256930886372522E-2"/>
    <n v="11528085.4"/>
    <s v="SEC01"/>
    <x v="0"/>
  </r>
  <r>
    <d v="2025-04-16T00:00:00"/>
    <x v="4"/>
    <n v="256.01"/>
    <n v="257.25"/>
    <n v="254.78"/>
    <n v="256.88"/>
    <x v="589"/>
    <n v="3.0364372469634565E-3"/>
    <n v="3113385.6"/>
    <s v="SEC01"/>
    <x v="0"/>
  </r>
  <r>
    <d v="2025-04-17T00:00:00"/>
    <x v="4"/>
    <n v="254.53"/>
    <n v="257.79000000000002"/>
    <n v="251.27"/>
    <n v="254.35"/>
    <x v="590"/>
    <n v="-9.9469235305681188E-3"/>
    <n v="490641.14999999997"/>
    <s v="SEC01"/>
    <x v="0"/>
  </r>
  <r>
    <d v="2025-04-18T00:00:00"/>
    <x v="4"/>
    <n v="257"/>
    <n v="260.64"/>
    <n v="253.36"/>
    <n v="256.33"/>
    <x v="591"/>
    <n v="7.724417742753442E-3"/>
    <n v="12717300.289999999"/>
    <s v="SEC01"/>
    <x v="0"/>
  </r>
  <r>
    <d v="2025-04-21T00:00:00"/>
    <x v="4"/>
    <n v="256.66000000000003"/>
    <n v="259.60000000000002"/>
    <n v="253.73"/>
    <n v="257.27"/>
    <x v="592"/>
    <n v="3.6537489796711542E-3"/>
    <n v="4961194.68"/>
    <s v="SEC01"/>
    <x v="0"/>
  </r>
  <r>
    <d v="2025-04-22T00:00:00"/>
    <x v="4"/>
    <n v="260.24"/>
    <n v="263.33999999999997"/>
    <n v="257.14"/>
    <n v="258.32"/>
    <x v="593"/>
    <n v="4.06472592133792E-3"/>
    <n v="5372797.6799999997"/>
    <s v="SEC01"/>
    <x v="0"/>
  </r>
  <r>
    <d v="2025-04-23T00:00:00"/>
    <x v="4"/>
    <n v="263.12"/>
    <n v="267"/>
    <n v="259.23"/>
    <n v="264.33"/>
    <x v="594"/>
    <n v="2.2736730601899107E-2"/>
    <n v="6693628.5899999999"/>
    <s v="SEC01"/>
    <x v="0"/>
  </r>
  <r>
    <d v="2025-04-24T00:00:00"/>
    <x v="4"/>
    <n v="265.27"/>
    <n v="266.08999999999997"/>
    <n v="264.45999999999998"/>
    <n v="265.57"/>
    <x v="595"/>
    <n v="4.6692020936100051E-3"/>
    <n v="10151678.82"/>
    <s v="SEC01"/>
    <x v="0"/>
  </r>
  <r>
    <d v="2025-04-25T00:00:00"/>
    <x v="4"/>
    <n v="265.22000000000003"/>
    <n v="266.67"/>
    <n v="263.77"/>
    <n v="264.61"/>
    <x v="596"/>
    <n v="-3.6279808019348456E-3"/>
    <n v="7254812.3700000001"/>
    <s v="SEC01"/>
    <x v="0"/>
  </r>
  <r>
    <d v="2025-04-28T00:00:00"/>
    <x v="4"/>
    <n v="258.67"/>
    <n v="259.85000000000002"/>
    <n v="257.48"/>
    <n v="258.24"/>
    <x v="597"/>
    <n v="-2.4666976456009931E-2"/>
    <n v="818362.56"/>
    <s v="SEC01"/>
    <x v="0"/>
  </r>
  <r>
    <d v="2025-04-29T00:00:00"/>
    <x v="4"/>
    <n v="255.6"/>
    <n v="258.36"/>
    <n v="252.83"/>
    <n v="257.76"/>
    <x v="598"/>
    <n v="-1.8621973929237206E-3"/>
    <n v="2329119.36"/>
    <s v="SEC01"/>
    <x v="0"/>
  </r>
  <r>
    <d v="2025-04-30T00:00:00"/>
    <x v="4"/>
    <n v="262.18"/>
    <n v="264.58"/>
    <n v="259.77"/>
    <n v="262.10000000000002"/>
    <x v="599"/>
    <n v="1.6558565433040944E-2"/>
    <n v="467848.50000000006"/>
    <s v="SEC01"/>
    <x v="0"/>
  </r>
  <r>
    <d v="2025-05-01T00:00:00"/>
    <x v="4"/>
    <n v="261.45"/>
    <n v="266.19"/>
    <n v="256.70999999999998"/>
    <n v="261.86"/>
    <x v="600"/>
    <n v="-9.1652027801118567E-4"/>
    <n v="5639940.6800000006"/>
    <s v="SEC01"/>
    <x v="0"/>
  </r>
  <r>
    <d v="2025-05-02T00:00:00"/>
    <x v="4"/>
    <n v="256.08999999999997"/>
    <n v="259.52999999999997"/>
    <n v="252.65"/>
    <n v="254.63"/>
    <x v="601"/>
    <n v="-2.8394140517613863E-2"/>
    <n v="9567722.25"/>
    <s v="SEC01"/>
    <x v="0"/>
  </r>
  <r>
    <d v="2025-05-05T00:00:00"/>
    <x v="4"/>
    <n v="252.59"/>
    <n v="254.82"/>
    <n v="250.36"/>
    <n v="253.1"/>
    <x v="602"/>
    <n v="-6.0450414855788273E-3"/>
    <n v="1072131.5999999999"/>
    <s v="SEC01"/>
    <x v="0"/>
  </r>
  <r>
    <d v="2025-05-06T00:00:00"/>
    <x v="4"/>
    <n v="256.20999999999998"/>
    <n v="258.8"/>
    <n v="253.62"/>
    <n v="256.35000000000002"/>
    <x v="603"/>
    <n v="1.2677979325141519E-2"/>
    <n v="2449680.6"/>
    <s v="SEC01"/>
    <x v="0"/>
  </r>
  <r>
    <d v="2025-05-07T00:00:00"/>
    <x v="4"/>
    <n v="257.99"/>
    <n v="262.11"/>
    <n v="253.87"/>
    <n v="258.18"/>
    <x v="604"/>
    <n v="7.088078085056875E-3"/>
    <n v="12297887.939999999"/>
    <s v="SEC01"/>
    <x v="0"/>
  </r>
  <r>
    <d v="2025-05-08T00:00:00"/>
    <x v="4"/>
    <n v="255.82"/>
    <n v="259.75"/>
    <n v="251.9"/>
    <n v="255.52"/>
    <x v="605"/>
    <n v="-1.0410144020037556E-2"/>
    <n v="1496580.6400000001"/>
    <s v="SEC01"/>
    <x v="0"/>
  </r>
  <r>
    <d v="2025-05-09T00:00:00"/>
    <x v="4"/>
    <n v="253.04"/>
    <n v="254.06"/>
    <n v="252.03"/>
    <n v="253.77"/>
    <x v="606"/>
    <n v="-6.8960081963983129E-3"/>
    <n v="6885287.6400000006"/>
    <s v="SEC01"/>
    <x v="0"/>
  </r>
  <r>
    <d v="2025-05-12T00:00:00"/>
    <x v="4"/>
    <n v="253.55"/>
    <n v="257.39999999999998"/>
    <n v="249.7"/>
    <n v="252.52"/>
    <x v="607"/>
    <n v="-4.9501029621416125E-3"/>
    <n v="2705499.2800000003"/>
    <s v="SEC01"/>
    <x v="0"/>
  </r>
  <r>
    <d v="2025-05-13T00:00:00"/>
    <x v="4"/>
    <n v="249.43"/>
    <n v="251.31"/>
    <n v="247.56"/>
    <n v="250.48"/>
    <x v="608"/>
    <n v="-8.1443628233791934E-3"/>
    <n v="4257158.08"/>
    <s v="SEC01"/>
    <x v="0"/>
  </r>
  <r>
    <d v="2025-05-14T00:00:00"/>
    <x v="4"/>
    <n v="243.77"/>
    <n v="246.38"/>
    <n v="241.15"/>
    <n v="244.21"/>
    <x v="609"/>
    <n v="-2.5674624298759188E-2"/>
    <n v="6779758.0200000005"/>
    <s v="SEC01"/>
    <x v="0"/>
  </r>
  <r>
    <d v="2025-05-15T00:00:00"/>
    <x v="4"/>
    <n v="245.21"/>
    <n v="247.65"/>
    <n v="242.77"/>
    <n v="246.63"/>
    <x v="610"/>
    <n v="9.8122693913959679E-3"/>
    <n v="5069233.0199999996"/>
    <s v="SEC01"/>
    <x v="0"/>
  </r>
  <r>
    <d v="2025-05-16T00:00:00"/>
    <x v="4"/>
    <n v="251.27"/>
    <n v="255.04"/>
    <n v="247.5"/>
    <n v="250.63"/>
    <x v="611"/>
    <n v="1.5959781350995492E-2"/>
    <n v="11990139.199999999"/>
    <s v="SEC01"/>
    <x v="0"/>
  </r>
  <r>
    <d v="2025-05-19T00:00:00"/>
    <x v="4"/>
    <n v="246.75"/>
    <n v="249.84"/>
    <n v="243.67"/>
    <n v="245.94"/>
    <x v="612"/>
    <n v="-1.9069691794746678E-2"/>
    <n v="12292081.199999999"/>
    <s v="SEC01"/>
    <x v="0"/>
  </r>
  <r>
    <d v="2025-05-20T00:00:00"/>
    <x v="4"/>
    <n v="248.12"/>
    <n v="250.62"/>
    <n v="245.62"/>
    <n v="249.88"/>
    <x v="613"/>
    <n v="1.5767568432847757E-2"/>
    <n v="9102628.6400000006"/>
    <s v="SEC01"/>
    <x v="0"/>
  </r>
  <r>
    <d v="2025-05-21T00:00:00"/>
    <x v="4"/>
    <n v="250.4"/>
    <n v="252.33"/>
    <n v="248.48"/>
    <n v="249.62"/>
    <x v="614"/>
    <n v="-1.0415832064738038E-3"/>
    <n v="9978559.5"/>
    <s v="SEC01"/>
    <x v="0"/>
  </r>
  <r>
    <d v="2025-05-22T00:00:00"/>
    <x v="4"/>
    <n v="253.54"/>
    <n v="256.57"/>
    <n v="250.52"/>
    <n v="253.56"/>
    <x v="615"/>
    <n v="1.5538728506073504E-2"/>
    <n v="6952868.7599999998"/>
    <s v="SEC01"/>
    <x v="0"/>
  </r>
  <r>
    <d v="2025-05-23T00:00:00"/>
    <x v="4"/>
    <n v="252.89"/>
    <n v="256.45"/>
    <n v="249.33"/>
    <n v="253.74"/>
    <x v="616"/>
    <n v="7.0938756207143856E-4"/>
    <n v="7436611.9199999999"/>
    <s v="SEC01"/>
    <x v="0"/>
  </r>
  <r>
    <d v="2025-05-26T00:00:00"/>
    <x v="4"/>
    <n v="254.74"/>
    <n v="258.02999999999997"/>
    <n v="251.44"/>
    <n v="254.24"/>
    <x v="617"/>
    <n v="1.9666456891126493E-3"/>
    <n v="2207820.16"/>
    <s v="SEC01"/>
    <x v="0"/>
  </r>
  <r>
    <d v="2025-05-27T00:00:00"/>
    <x v="4"/>
    <n v="256.82"/>
    <n v="259.55"/>
    <n v="254.08"/>
    <n v="255.49"/>
    <x v="618"/>
    <n v="4.8925593956710631E-3"/>
    <n v="397797.93"/>
    <s v="SEC01"/>
    <x v="0"/>
  </r>
  <r>
    <d v="2025-05-28T00:00:00"/>
    <x v="4"/>
    <n v="250.66"/>
    <n v="253.2"/>
    <n v="248.12"/>
    <n v="253.02"/>
    <x v="619"/>
    <n v="-9.7620741443364117E-3"/>
    <n v="476183.64"/>
    <s v="SEC01"/>
    <x v="0"/>
  </r>
  <r>
    <d v="2025-05-29T00:00:00"/>
    <x v="4"/>
    <n v="255.59"/>
    <n v="259.3"/>
    <n v="251.88"/>
    <n v="256.92"/>
    <x v="620"/>
    <n v="1.5179822512844486E-2"/>
    <n v="10183024.200000001"/>
    <s v="SEC01"/>
    <x v="0"/>
  </r>
  <r>
    <d v="2025-05-30T00:00:00"/>
    <x v="4"/>
    <n v="254.04"/>
    <n v="257.2"/>
    <n v="250.88"/>
    <n v="253.38"/>
    <x v="621"/>
    <n v="-1.3971110584892338E-2"/>
    <n v="3542759.16"/>
    <s v="SEC01"/>
    <x v="0"/>
  </r>
  <r>
    <d v="2025-06-02T00:00:00"/>
    <x v="4"/>
    <n v="252.38"/>
    <n v="254.05"/>
    <n v="250.72"/>
    <n v="252.16"/>
    <x v="622"/>
    <n v="-4.8381979695431426E-3"/>
    <n v="7328778.2400000002"/>
    <s v="SEC01"/>
    <x v="0"/>
  </r>
  <r>
    <d v="2025-06-03T00:00:00"/>
    <x v="4"/>
    <n v="254.2"/>
    <n v="256.75"/>
    <n v="251.65"/>
    <n v="253.89"/>
    <x v="623"/>
    <n v="6.8139745559099999E-3"/>
    <n v="3552174.9899999998"/>
    <s v="SEC01"/>
    <x v="0"/>
  </r>
  <r>
    <d v="2025-06-04T00:00:00"/>
    <x v="4"/>
    <n v="252.11"/>
    <n v="254.81"/>
    <n v="249.41"/>
    <n v="252.32"/>
    <x v="624"/>
    <n v="-6.2222574508560289E-3"/>
    <n v="7919315.5199999996"/>
    <s v="SEC01"/>
    <x v="0"/>
  </r>
  <r>
    <d v="2025-06-05T00:00:00"/>
    <x v="4"/>
    <n v="255.99"/>
    <n v="259.43"/>
    <n v="252.55"/>
    <n v="254.87"/>
    <x v="625"/>
    <n v="1.0005100639541771E-2"/>
    <n v="5628294.21"/>
    <s v="SEC01"/>
    <x v="0"/>
  </r>
  <r>
    <d v="2025-06-06T00:00:00"/>
    <x v="4"/>
    <n v="259.55"/>
    <n v="263.68"/>
    <n v="255.42"/>
    <n v="259.39"/>
    <x v="626"/>
    <n v="1.7425498284436493E-2"/>
    <n v="11117974.18"/>
    <s v="SEC01"/>
    <x v="0"/>
  </r>
  <r>
    <d v="2025-06-09T00:00:00"/>
    <x v="4"/>
    <n v="264.77"/>
    <n v="267.8"/>
    <n v="261.73"/>
    <n v="262.77999999999997"/>
    <x v="627"/>
    <n v="1.2900525154121267E-2"/>
    <n v="12996047.679999998"/>
    <s v="SEC01"/>
    <x v="0"/>
  </r>
  <r>
    <d v="2025-06-10T00:00:00"/>
    <x v="4"/>
    <n v="256.64999999999998"/>
    <n v="256.81"/>
    <n v="256.49"/>
    <n v="256.51"/>
    <x v="628"/>
    <n v="-2.4443491481813504E-2"/>
    <n v="868029.84"/>
    <s v="SEC01"/>
    <x v="0"/>
  </r>
  <r>
    <d v="2025-06-11T00:00:00"/>
    <x v="4"/>
    <n v="256.86"/>
    <n v="261.33"/>
    <n v="252.39"/>
    <n v="256.98"/>
    <x v="629"/>
    <n v="1.8289361039770693E-3"/>
    <n v="3978564.3600000003"/>
    <s v="SEC01"/>
    <x v="0"/>
  </r>
  <r>
    <d v="2025-06-12T00:00:00"/>
    <x v="4"/>
    <n v="260.54000000000002"/>
    <n v="262.02"/>
    <n v="259.06"/>
    <n v="260.39"/>
    <x v="630"/>
    <n v="1.3095741003878676E-2"/>
    <n v="12262285.879999999"/>
    <s v="SEC01"/>
    <x v="0"/>
  </r>
  <r>
    <d v="2025-06-13T00:00:00"/>
    <x v="4"/>
    <n v="258.08999999999997"/>
    <n v="261.14999999999998"/>
    <n v="255.04"/>
    <n v="256.17"/>
    <x v="631"/>
    <n v="-1.6473435609165671E-2"/>
    <n v="6549242.2200000007"/>
    <s v="SEC01"/>
    <x v="0"/>
  </r>
  <r>
    <d v="2025-06-16T00:00:00"/>
    <x v="4"/>
    <n v="257.39"/>
    <n v="258.67"/>
    <n v="256.11"/>
    <n v="258.58"/>
    <x v="632"/>
    <n v="9.320133034263935E-3"/>
    <n v="9616073.0399999991"/>
    <s v="SEC01"/>
    <x v="0"/>
  </r>
  <r>
    <d v="2025-06-17T00:00:00"/>
    <x v="4"/>
    <n v="258.63"/>
    <n v="260.98"/>
    <n v="256.27"/>
    <n v="260.82"/>
    <x v="633"/>
    <n v="8.5882984433709418E-3"/>
    <n v="5304296.34"/>
    <s v="SEC01"/>
    <x v="0"/>
  </r>
  <r>
    <d v="2025-06-18T00:00:00"/>
    <x v="4"/>
    <n v="256.51"/>
    <n v="257.62"/>
    <n v="255.39"/>
    <n v="256.93"/>
    <x v="634"/>
    <n v="-1.5140310590433139E-2"/>
    <n v="4781724.2300000004"/>
    <s v="SEC01"/>
    <x v="0"/>
  </r>
  <r>
    <d v="2025-06-19T00:00:00"/>
    <x v="4"/>
    <n v="261.07"/>
    <n v="263.88"/>
    <n v="258.26"/>
    <n v="259.70999999999998"/>
    <x v="635"/>
    <n v="1.0704247044780613E-2"/>
    <n v="5593114.5599999996"/>
    <s v="SEC01"/>
    <x v="0"/>
  </r>
  <r>
    <d v="2025-06-20T00:00:00"/>
    <x v="4"/>
    <n v="260.14999999999998"/>
    <n v="264.8"/>
    <n v="255.5"/>
    <n v="260.66000000000003"/>
    <x v="636"/>
    <n v="3.64459449090787E-3"/>
    <n v="2998371.9800000004"/>
    <s v="SEC01"/>
    <x v="0"/>
  </r>
  <r>
    <d v="2025-06-23T00:00:00"/>
    <x v="4"/>
    <n v="265.25"/>
    <n v="268.10000000000002"/>
    <n v="262.39999999999998"/>
    <n v="262.87"/>
    <x v="637"/>
    <n v="8.4071974740365183E-3"/>
    <n v="3124472.82"/>
    <s v="SEC01"/>
    <x v="0"/>
  </r>
  <r>
    <d v="2025-06-24T00:00:00"/>
    <x v="4"/>
    <n v="258.98"/>
    <n v="259.98"/>
    <n v="257.97000000000003"/>
    <n v="259.75"/>
    <x v="638"/>
    <n v="-1.2011549566891259E-2"/>
    <n v="2795949"/>
    <s v="SEC01"/>
    <x v="0"/>
  </r>
  <r>
    <d v="2025-06-25T00:00:00"/>
    <x v="4"/>
    <n v="261.86"/>
    <n v="264.16000000000003"/>
    <n v="259.56"/>
    <n v="260.3"/>
    <x v="639"/>
    <n v="2.112946600076878E-3"/>
    <n v="11382138.1"/>
    <s v="SEC01"/>
    <x v="0"/>
  </r>
  <r>
    <d v="2025-06-26T00:00:00"/>
    <x v="4"/>
    <n v="255.13"/>
    <n v="259.61"/>
    <n v="250.64"/>
    <n v="254.83"/>
    <x v="640"/>
    <n v="-2.1465290585880779E-2"/>
    <n v="10743632.800000001"/>
    <s v="SEC01"/>
    <x v="0"/>
  </r>
  <r>
    <d v="2025-06-27T00:00:00"/>
    <x v="4"/>
    <n v="247.49"/>
    <n v="251.48"/>
    <n v="243.5"/>
    <n v="247.69"/>
    <x v="641"/>
    <n v="-2.8826355525051535E-2"/>
    <n v="2831839.77"/>
    <s v="SEC01"/>
    <x v="0"/>
  </r>
  <r>
    <d v="2025-06-30T00:00:00"/>
    <x v="4"/>
    <n v="247.45"/>
    <n v="248.7"/>
    <n v="246.2"/>
    <n v="248.18"/>
    <x v="642"/>
    <n v="1.9743734386332866E-3"/>
    <n v="5529698.5800000001"/>
    <s v="SEC01"/>
    <x v="0"/>
  </r>
  <r>
    <d v="2025-01-01T00:00:00"/>
    <x v="5"/>
    <n v="251.68"/>
    <n v="254.93"/>
    <n v="248.43"/>
    <n v="251.05"/>
    <x v="643"/>
    <n v="0"/>
    <n v="940182.25"/>
    <s v="SEC01"/>
    <x v="0"/>
  </r>
  <r>
    <d v="2025-01-02T00:00:00"/>
    <x v="5"/>
    <n v="246.67"/>
    <n v="250.19"/>
    <n v="243.14"/>
    <n v="245.97"/>
    <x v="644"/>
    <n v="-2.0652925153474052E-2"/>
    <n v="1677023.46"/>
    <s v="SEC01"/>
    <x v="0"/>
  </r>
  <r>
    <d v="2025-01-03T00:00:00"/>
    <x v="5"/>
    <n v="241.06"/>
    <n v="242.87"/>
    <n v="239.25"/>
    <n v="241.02"/>
    <x v="645"/>
    <n v="-2.0537714712471945E-2"/>
    <n v="7499578.3200000003"/>
    <s v="SEC01"/>
    <x v="0"/>
  </r>
  <r>
    <d v="2025-01-06T00:00:00"/>
    <x v="5"/>
    <n v="241.1"/>
    <n v="241.78"/>
    <n v="240.42"/>
    <n v="240.5"/>
    <x v="646"/>
    <n v="-2.1621621621622047E-3"/>
    <n v="4547374"/>
    <s v="SEC01"/>
    <x v="0"/>
  </r>
  <r>
    <d v="2025-01-07T00:00:00"/>
    <x v="5"/>
    <n v="237.95"/>
    <n v="240.54"/>
    <n v="235.37"/>
    <n v="238.9"/>
    <x v="647"/>
    <n v="-6.6973629133528431E-3"/>
    <n v="5039117.7"/>
    <s v="SEC01"/>
    <x v="0"/>
  </r>
  <r>
    <d v="2025-01-08T00:00:00"/>
    <x v="5"/>
    <n v="239.29"/>
    <n v="242.01"/>
    <n v="236.56"/>
    <n v="239.28"/>
    <x v="648"/>
    <n v="1.5880976262119503E-3"/>
    <n v="5255306.6399999997"/>
    <s v="SEC01"/>
    <x v="0"/>
  </r>
  <r>
    <d v="2025-01-09T00:00:00"/>
    <x v="5"/>
    <n v="238.14"/>
    <n v="241.55"/>
    <n v="234.73"/>
    <n v="238.93"/>
    <x v="649"/>
    <n v="-1.4648641861632877E-3"/>
    <n v="5241168.4800000004"/>
    <s v="SEC01"/>
    <x v="0"/>
  </r>
  <r>
    <d v="2025-01-10T00:00:00"/>
    <x v="5"/>
    <n v="238.4"/>
    <n v="241.69"/>
    <n v="235.11"/>
    <n v="239.08"/>
    <x v="650"/>
    <n v="6.2740505270204817E-4"/>
    <n v="6839122.4800000004"/>
    <s v="SEC01"/>
    <x v="0"/>
  </r>
  <r>
    <d v="2025-01-13T00:00:00"/>
    <x v="5"/>
    <n v="241.75"/>
    <n v="244.74"/>
    <n v="238.77"/>
    <n v="240.98"/>
    <x v="651"/>
    <n v="7.8844717403932993E-3"/>
    <n v="10903140.1"/>
    <s v="SEC01"/>
    <x v="0"/>
  </r>
  <r>
    <d v="2025-01-14T00:00:00"/>
    <x v="5"/>
    <n v="237.84"/>
    <n v="240.36"/>
    <n v="235.32"/>
    <n v="239.63"/>
    <x v="652"/>
    <n v="-5.6336852647831835E-3"/>
    <n v="7086338.3599999994"/>
    <s v="SEC01"/>
    <x v="0"/>
  </r>
  <r>
    <d v="2025-01-15T00:00:00"/>
    <x v="5"/>
    <n v="238.98"/>
    <n v="240.12"/>
    <n v="237.85"/>
    <n v="239.03"/>
    <x v="653"/>
    <n v="-2.5101451700623115E-3"/>
    <n v="7680272.9299999997"/>
    <s v="SEC01"/>
    <x v="0"/>
  </r>
  <r>
    <d v="2025-01-16T00:00:00"/>
    <x v="5"/>
    <n v="244.51"/>
    <n v="245.81"/>
    <n v="243.22"/>
    <n v="243.51"/>
    <x v="654"/>
    <n v="1.8397601741201551E-2"/>
    <n v="10343087.25"/>
    <s v="SEC01"/>
    <x v="0"/>
  </r>
  <r>
    <d v="2025-01-17T00:00:00"/>
    <x v="5"/>
    <n v="243.61"/>
    <n v="248.24"/>
    <n v="238.98"/>
    <n v="243.57"/>
    <x v="655"/>
    <n v="2.4633575563493974E-4"/>
    <n v="3144001.56"/>
    <s v="SEC01"/>
    <x v="0"/>
  </r>
  <r>
    <d v="2025-01-20T00:00:00"/>
    <x v="5"/>
    <n v="242.79"/>
    <n v="245.66"/>
    <n v="239.92"/>
    <n v="243.08"/>
    <x v="656"/>
    <n v="-2.015797268388928E-3"/>
    <n v="4282097.28"/>
    <s v="SEC01"/>
    <x v="0"/>
  </r>
  <r>
    <d v="2025-01-21T00:00:00"/>
    <x v="5"/>
    <n v="242.13"/>
    <n v="244.39"/>
    <n v="239.86"/>
    <n v="243.39"/>
    <x v="657"/>
    <n v="1.2736759932617358E-3"/>
    <n v="10798970.91"/>
    <s v="SEC01"/>
    <x v="0"/>
  </r>
  <r>
    <d v="2025-01-22T00:00:00"/>
    <x v="5"/>
    <n v="243.08"/>
    <n v="247.31"/>
    <n v="238.84"/>
    <n v="242.96"/>
    <x v="658"/>
    <n v="-1.7698386565688936E-3"/>
    <n v="7829628.96"/>
    <s v="SEC01"/>
    <x v="0"/>
  </r>
  <r>
    <d v="2025-01-23T00:00:00"/>
    <x v="5"/>
    <n v="241.89"/>
    <n v="243.64"/>
    <n v="240.14"/>
    <n v="240.85"/>
    <x v="659"/>
    <n v="-8.7606394021175569E-3"/>
    <n v="3463182.15"/>
    <s v="SEC01"/>
    <x v="0"/>
  </r>
  <r>
    <d v="2025-01-24T00:00:00"/>
    <x v="5"/>
    <n v="237.22"/>
    <n v="239.75"/>
    <n v="234.69"/>
    <n v="237.9"/>
    <x v="660"/>
    <n v="-1.2400168137873008E-2"/>
    <n v="2303347.8000000003"/>
    <s v="SEC01"/>
    <x v="0"/>
  </r>
  <r>
    <d v="2025-01-27T00:00:00"/>
    <x v="5"/>
    <n v="235.35"/>
    <n v="239.5"/>
    <n v="231.21"/>
    <n v="235.68"/>
    <x v="661"/>
    <n v="-9.4195519348268791E-3"/>
    <n v="8009113.4400000004"/>
    <s v="SEC01"/>
    <x v="0"/>
  </r>
  <r>
    <d v="2025-01-28T00:00:00"/>
    <x v="5"/>
    <n v="238.78"/>
    <n v="241.8"/>
    <n v="235.77"/>
    <n v="238.34"/>
    <x v="662"/>
    <n v="1.1160526978266328E-2"/>
    <n v="6133441.5600000005"/>
    <s v="SEC01"/>
    <x v="0"/>
  </r>
  <r>
    <d v="2025-01-29T00:00:00"/>
    <x v="5"/>
    <n v="238.04"/>
    <n v="239.86"/>
    <n v="236.22"/>
    <n v="236.51"/>
    <x v="663"/>
    <n v="-7.7375163840852929E-3"/>
    <n v="10344001.359999999"/>
    <s v="SEC01"/>
    <x v="0"/>
  </r>
  <r>
    <d v="2025-01-30T00:00:00"/>
    <x v="5"/>
    <n v="237.13"/>
    <n v="240.5"/>
    <n v="233.76"/>
    <n v="236.11"/>
    <x v="664"/>
    <n v="-1.6941256194145831E-3"/>
    <n v="11442835.040000001"/>
    <s v="SEC01"/>
    <x v="0"/>
  </r>
  <r>
    <d v="2025-01-31T00:00:00"/>
    <x v="5"/>
    <n v="239.01"/>
    <n v="240.39"/>
    <n v="237.62"/>
    <n v="238.26"/>
    <x v="665"/>
    <n v="9.0237555611515884E-3"/>
    <n v="2903198.1"/>
    <s v="SEC01"/>
    <x v="0"/>
  </r>
  <r>
    <d v="2025-02-03T00:00:00"/>
    <x v="5"/>
    <n v="236.39"/>
    <n v="238.92"/>
    <n v="233.87"/>
    <n v="237.48"/>
    <x v="666"/>
    <n v="-3.2844871147044009E-3"/>
    <n v="4789259.16"/>
    <s v="SEC01"/>
    <x v="0"/>
  </r>
  <r>
    <d v="2025-02-04T00:00:00"/>
    <x v="5"/>
    <n v="239.01"/>
    <n v="241.84"/>
    <n v="236.19"/>
    <n v="239.44"/>
    <x v="667"/>
    <n v="8.1857667891747747E-3"/>
    <n v="6722517.4399999995"/>
    <s v="SEC01"/>
    <x v="0"/>
  </r>
  <r>
    <d v="2025-02-05T00:00:00"/>
    <x v="5"/>
    <n v="234.17"/>
    <n v="237.81"/>
    <n v="230.53"/>
    <n v="234.89"/>
    <x v="668"/>
    <n v="-1.9370769296266386E-2"/>
    <n v="5631017.9699999997"/>
    <s v="SEC01"/>
    <x v="0"/>
  </r>
  <r>
    <d v="2025-02-06T00:00:00"/>
    <x v="5"/>
    <n v="234.35"/>
    <n v="236.71"/>
    <n v="231.99"/>
    <n v="234.56"/>
    <x v="669"/>
    <n v="-1.4068894952250345E-3"/>
    <n v="687729.92"/>
    <s v="SEC01"/>
    <x v="0"/>
  </r>
  <r>
    <d v="2025-02-07T00:00:00"/>
    <x v="5"/>
    <n v="234.61"/>
    <n v="237"/>
    <n v="232.21"/>
    <n v="234.85"/>
    <x v="670"/>
    <n v="1.2348307430274305E-3"/>
    <n v="9254264.25"/>
    <s v="SEC01"/>
    <x v="0"/>
  </r>
  <r>
    <d v="2025-02-10T00:00:00"/>
    <x v="5"/>
    <n v="235.53"/>
    <n v="237.06"/>
    <n v="233.99"/>
    <n v="234.97"/>
    <x v="671"/>
    <n v="5.1070349406309127E-4"/>
    <n v="6786403.54"/>
    <s v="SEC01"/>
    <x v="0"/>
  </r>
  <r>
    <d v="2025-02-11T00:00:00"/>
    <x v="5"/>
    <n v="231.42"/>
    <n v="233.29"/>
    <n v="229.55"/>
    <n v="230.18"/>
    <x v="672"/>
    <n v="-2.0809801025284524E-2"/>
    <n v="1720365.32"/>
    <s v="SEC01"/>
    <x v="0"/>
  </r>
  <r>
    <d v="2025-02-12T00:00:00"/>
    <x v="5"/>
    <n v="233.61"/>
    <n v="237.46"/>
    <n v="229.76"/>
    <n v="233.75"/>
    <x v="673"/>
    <n v="1.5272727272727243E-2"/>
    <n v="3501341.25"/>
    <s v="SEC01"/>
    <x v="0"/>
  </r>
  <r>
    <d v="2025-02-13T00:00:00"/>
    <x v="5"/>
    <n v="232.58"/>
    <n v="234.36"/>
    <n v="230.8"/>
    <n v="231.31"/>
    <x v="674"/>
    <n v="-1.0548614413557554E-2"/>
    <n v="3207575.77"/>
    <s v="SEC01"/>
    <x v="0"/>
  </r>
  <r>
    <d v="2025-02-14T00:00:00"/>
    <x v="5"/>
    <n v="232.24"/>
    <n v="236.76"/>
    <n v="227.72"/>
    <n v="232.34"/>
    <x v="675"/>
    <n v="4.4331583024877384E-3"/>
    <n v="7324983.1799999997"/>
    <s v="SEC01"/>
    <x v="0"/>
  </r>
  <r>
    <d v="2025-02-17T00:00:00"/>
    <x v="5"/>
    <n v="233.42"/>
    <n v="236.85"/>
    <n v="229.99"/>
    <n v="232.42"/>
    <x v="676"/>
    <n v="3.4420445744765547E-4"/>
    <n v="1499341.42"/>
    <s v="SEC01"/>
    <x v="0"/>
  </r>
  <r>
    <d v="2025-02-18T00:00:00"/>
    <x v="5"/>
    <n v="235.01"/>
    <n v="236.65"/>
    <n v="233.37"/>
    <n v="235.43"/>
    <x v="677"/>
    <n v="1.2785116595166374E-2"/>
    <n v="9641800.2200000007"/>
    <s v="SEC01"/>
    <x v="0"/>
  </r>
  <r>
    <d v="2025-02-19T00:00:00"/>
    <x v="5"/>
    <n v="241.98"/>
    <n v="242.92"/>
    <n v="241.03"/>
    <n v="242.07"/>
    <x v="678"/>
    <n v="2.7430082207625838E-2"/>
    <n v="7715497.1099999994"/>
    <s v="SEC01"/>
    <x v="0"/>
  </r>
  <r>
    <d v="2025-02-20T00:00:00"/>
    <x v="5"/>
    <n v="236.28"/>
    <n v="238.29"/>
    <n v="234.27"/>
    <n v="238.22"/>
    <x v="679"/>
    <n v="-1.616153135756861E-2"/>
    <n v="6282337.8399999999"/>
    <s v="SEC01"/>
    <x v="0"/>
  </r>
  <r>
    <d v="2025-02-21T00:00:00"/>
    <x v="5"/>
    <n v="236.25"/>
    <n v="240.63"/>
    <n v="231.88"/>
    <n v="236.34"/>
    <x v="680"/>
    <n v="-7.9546416180079349E-3"/>
    <n v="7158738.6000000006"/>
    <s v="SEC01"/>
    <x v="0"/>
  </r>
  <r>
    <d v="2025-02-24T00:00:00"/>
    <x v="5"/>
    <n v="235.64"/>
    <n v="238.83"/>
    <n v="232.44"/>
    <n v="236.96"/>
    <x v="681"/>
    <n v="2.6164753544902285E-3"/>
    <n v="1508487.36"/>
    <s v="SEC01"/>
    <x v="0"/>
  </r>
  <r>
    <d v="2025-02-25T00:00:00"/>
    <x v="5"/>
    <n v="232.66"/>
    <n v="235.57"/>
    <n v="229.74"/>
    <n v="233.74"/>
    <x v="682"/>
    <n v="-1.3775990416702313E-2"/>
    <n v="2738731.58"/>
    <s v="SEC01"/>
    <x v="0"/>
  </r>
  <r>
    <d v="2025-02-26T00:00:00"/>
    <x v="5"/>
    <n v="237.22"/>
    <n v="239.5"/>
    <n v="234.94"/>
    <n v="236.11"/>
    <x v="683"/>
    <n v="1.0037694295031995E-2"/>
    <n v="5751639.6000000006"/>
    <s v="SEC01"/>
    <x v="0"/>
  </r>
  <r>
    <d v="2025-02-27T00:00:00"/>
    <x v="5"/>
    <n v="237.92"/>
    <n v="240.87"/>
    <n v="234.96"/>
    <n v="238.69"/>
    <x v="684"/>
    <n v="1.080899912019768E-2"/>
    <n v="8935360.1500000004"/>
    <s v="SEC01"/>
    <x v="0"/>
  </r>
  <r>
    <d v="2025-02-28T00:00:00"/>
    <x v="5"/>
    <n v="239.94"/>
    <n v="243.15"/>
    <n v="236.72"/>
    <n v="240.43"/>
    <x v="685"/>
    <n v="7.2370336480472863E-3"/>
    <n v="10108879.35"/>
    <s v="SEC01"/>
    <x v="0"/>
  </r>
  <r>
    <d v="2025-03-03T00:00:00"/>
    <x v="5"/>
    <n v="240.65"/>
    <n v="244.12"/>
    <n v="237.18"/>
    <n v="241.21"/>
    <x v="686"/>
    <n v="3.2336967787405212E-3"/>
    <n v="4587814.2"/>
    <s v="SEC01"/>
    <x v="0"/>
  </r>
  <r>
    <d v="2025-03-04T00:00:00"/>
    <x v="5"/>
    <n v="245.04"/>
    <n v="247.32"/>
    <n v="242.75"/>
    <n v="245.46"/>
    <x v="687"/>
    <n v="1.7314430049702598E-2"/>
    <n v="5083476.6000000006"/>
    <s v="SEC01"/>
    <x v="0"/>
  </r>
  <r>
    <d v="2025-03-05T00:00:00"/>
    <x v="5"/>
    <n v="242.97"/>
    <n v="245.04"/>
    <n v="240.9"/>
    <n v="241.97"/>
    <x v="688"/>
    <n v="-1.4423275612679295E-2"/>
    <n v="1443834.99"/>
    <s v="SEC01"/>
    <x v="0"/>
  </r>
  <r>
    <d v="2025-03-06T00:00:00"/>
    <x v="5"/>
    <n v="242.52"/>
    <n v="246.34"/>
    <n v="238.7"/>
    <n v="242.23"/>
    <x v="689"/>
    <n v="1.0733600297237788E-3"/>
    <n v="1628270.0599999998"/>
    <s v="SEC01"/>
    <x v="0"/>
  </r>
  <r>
    <d v="2025-03-07T00:00:00"/>
    <x v="5"/>
    <n v="240.06"/>
    <n v="241.26"/>
    <n v="238.86"/>
    <n v="240.04"/>
    <x v="690"/>
    <n v="-9.1234794200966418E-3"/>
    <n v="9172408.4800000004"/>
    <s v="SEC01"/>
    <x v="0"/>
  </r>
  <r>
    <d v="2025-03-10T00:00:00"/>
    <x v="5"/>
    <n v="242.37"/>
    <n v="245.14"/>
    <n v="239.59"/>
    <n v="242.81"/>
    <x v="691"/>
    <n v="1.1408096865862239E-2"/>
    <n v="3228644.57"/>
    <s v="SEC01"/>
    <x v="0"/>
  </r>
  <r>
    <d v="2025-03-11T00:00:00"/>
    <x v="5"/>
    <n v="239.09"/>
    <n v="241.6"/>
    <n v="236.59"/>
    <n v="237.32"/>
    <x v="692"/>
    <n v="-2.3133322096747046E-2"/>
    <n v="4912998.6399999997"/>
    <s v="SEC01"/>
    <x v="0"/>
  </r>
  <r>
    <d v="2025-03-12T00:00:00"/>
    <x v="5"/>
    <n v="237.12"/>
    <n v="241.66"/>
    <n v="232.58"/>
    <n v="237.29"/>
    <x v="693"/>
    <n v="-1.2642757806903426E-4"/>
    <n v="5013225.83"/>
    <s v="SEC01"/>
    <x v="0"/>
  </r>
  <r>
    <d v="2025-03-13T00:00:00"/>
    <x v="5"/>
    <n v="238.43"/>
    <n v="240.8"/>
    <n v="236.06"/>
    <n v="238.35"/>
    <x v="694"/>
    <n v="4.447241451646748E-3"/>
    <n v="7027034.7000000002"/>
    <s v="SEC01"/>
    <x v="0"/>
  </r>
  <r>
    <d v="2025-03-14T00:00:00"/>
    <x v="5"/>
    <n v="234.73"/>
    <n v="237.43"/>
    <n v="232.03"/>
    <n v="235.58"/>
    <x v="695"/>
    <n v="-1.1758213770269045E-2"/>
    <n v="9787406.6799999997"/>
    <s v="SEC01"/>
    <x v="0"/>
  </r>
  <r>
    <d v="2025-03-17T00:00:00"/>
    <x v="5"/>
    <n v="234.66"/>
    <n v="238.23"/>
    <n v="231.09"/>
    <n v="233.79"/>
    <x v="696"/>
    <n v="-7.6564438171009049E-3"/>
    <n v="4710634.71"/>
    <s v="SEC01"/>
    <x v="0"/>
  </r>
  <r>
    <d v="2025-03-18T00:00:00"/>
    <x v="5"/>
    <n v="233.02"/>
    <n v="236.8"/>
    <n v="229.25"/>
    <n v="233.89"/>
    <x v="697"/>
    <n v="4.2755141305739588E-4"/>
    <n v="1393048.8399999999"/>
    <s v="SEC01"/>
    <x v="0"/>
  </r>
  <r>
    <d v="2025-03-19T00:00:00"/>
    <x v="5"/>
    <n v="237.26"/>
    <n v="239.45"/>
    <n v="235.08"/>
    <n v="236.78"/>
    <x v="698"/>
    <n v="1.2205422755300342E-2"/>
    <n v="3887217.2600000002"/>
    <s v="SEC01"/>
    <x v="0"/>
  </r>
  <r>
    <d v="2025-03-20T00:00:00"/>
    <x v="5"/>
    <n v="233.54"/>
    <n v="237.87"/>
    <n v="229.21"/>
    <n v="233.77"/>
    <x v="699"/>
    <n v="-1.2875903665996453E-2"/>
    <n v="7854204.46"/>
    <s v="SEC01"/>
    <x v="0"/>
  </r>
  <r>
    <d v="2025-03-21T00:00:00"/>
    <x v="5"/>
    <n v="231.97"/>
    <n v="233.65"/>
    <n v="230.29"/>
    <n v="231.31"/>
    <x v="700"/>
    <n v="-1.0635078466127742E-2"/>
    <n v="4992595.04"/>
    <s v="SEC01"/>
    <x v="0"/>
  </r>
  <r>
    <d v="2025-03-24T00:00:00"/>
    <x v="5"/>
    <n v="232.96"/>
    <n v="235.74"/>
    <n v="230.18"/>
    <n v="234.67"/>
    <x v="701"/>
    <n v="1.4317978437806219E-2"/>
    <n v="10410195.869999999"/>
    <s v="SEC01"/>
    <x v="0"/>
  </r>
  <r>
    <d v="2025-03-25T00:00:00"/>
    <x v="5"/>
    <n v="234.98"/>
    <n v="237.1"/>
    <n v="232.87"/>
    <n v="233.92"/>
    <x v="702"/>
    <n v="-3.2062243502051983E-3"/>
    <n v="3273944.32"/>
    <s v="SEC01"/>
    <x v="0"/>
  </r>
  <r>
    <d v="2025-03-26T00:00:00"/>
    <x v="5"/>
    <n v="232.06"/>
    <n v="235.03"/>
    <n v="229.08"/>
    <n v="231.69"/>
    <x v="703"/>
    <n v="-9.6249298631792043E-3"/>
    <n v="5473907.9400000004"/>
    <s v="SEC01"/>
    <x v="0"/>
  </r>
  <r>
    <d v="2025-03-27T00:00:00"/>
    <x v="5"/>
    <n v="232.69"/>
    <n v="235.41"/>
    <n v="229.96"/>
    <n v="233.89"/>
    <x v="704"/>
    <n v="9.4061310872631948E-3"/>
    <n v="498653.48"/>
    <s v="SEC01"/>
    <x v="0"/>
  </r>
  <r>
    <d v="2025-03-28T00:00:00"/>
    <x v="5"/>
    <n v="231.25"/>
    <n v="234.15"/>
    <n v="228.35"/>
    <n v="232.51"/>
    <x v="705"/>
    <n v="-5.9352285923185907E-3"/>
    <n v="9315513.1500000004"/>
    <s v="SEC01"/>
    <x v="0"/>
  </r>
  <r>
    <d v="2025-03-31T00:00:00"/>
    <x v="5"/>
    <n v="236.71"/>
    <n v="239.8"/>
    <n v="233.62"/>
    <n v="235.59"/>
    <x v="706"/>
    <n v="1.3073559998302188E-2"/>
    <n v="748940.61"/>
    <s v="SEC01"/>
    <x v="0"/>
  </r>
  <r>
    <d v="2025-04-01T00:00:00"/>
    <x v="5"/>
    <n v="233.53"/>
    <n v="237.53"/>
    <n v="229.53"/>
    <n v="233.69"/>
    <x v="707"/>
    <n v="-8.130429201078376E-3"/>
    <n v="11417392.33"/>
    <s v="SEC01"/>
    <x v="0"/>
  </r>
  <r>
    <d v="2025-04-02T00:00:00"/>
    <x v="5"/>
    <n v="232.37"/>
    <n v="234.23"/>
    <n v="230.52"/>
    <n v="233.27"/>
    <x v="708"/>
    <n v="-1.8004887040767672E-3"/>
    <n v="9439037.2800000012"/>
    <s v="SEC01"/>
    <x v="0"/>
  </r>
  <r>
    <d v="2025-04-03T00:00:00"/>
    <x v="5"/>
    <n v="235.42"/>
    <n v="237.52"/>
    <n v="233.32"/>
    <n v="236.12"/>
    <x v="709"/>
    <n v="1.2070133830255778E-2"/>
    <n v="3510868.2800000003"/>
    <s v="SEC01"/>
    <x v="0"/>
  </r>
  <r>
    <d v="2025-04-04T00:00:00"/>
    <x v="5"/>
    <n v="235.83"/>
    <n v="236.48"/>
    <n v="235.17"/>
    <n v="235.51"/>
    <x v="710"/>
    <n v="-2.5901235616322604E-3"/>
    <n v="7667028.0499999998"/>
    <s v="SEC01"/>
    <x v="0"/>
  </r>
  <r>
    <d v="2025-04-07T00:00:00"/>
    <x v="5"/>
    <n v="236.43"/>
    <n v="239.22"/>
    <n v="233.63"/>
    <n v="237.82"/>
    <x v="711"/>
    <n v="9.7132284921369206E-3"/>
    <n v="11409652.32"/>
    <s v="SEC01"/>
    <x v="0"/>
  </r>
  <r>
    <d v="2025-04-08T00:00:00"/>
    <x v="5"/>
    <n v="236.72"/>
    <n v="239.62"/>
    <n v="233.82"/>
    <n v="237.68"/>
    <x v="712"/>
    <n v="-5.8902726354756962E-4"/>
    <n v="10955859.6"/>
    <s v="SEC01"/>
    <x v="0"/>
  </r>
  <r>
    <d v="2025-04-09T00:00:00"/>
    <x v="5"/>
    <n v="242.09"/>
    <n v="243.98"/>
    <n v="240.2"/>
    <n v="243.75"/>
    <x v="713"/>
    <n v="2.4902564102564074E-2"/>
    <n v="11716575"/>
    <s v="SEC01"/>
    <x v="0"/>
  </r>
  <r>
    <d v="2025-04-10T00:00:00"/>
    <x v="5"/>
    <n v="248.96"/>
    <n v="252.5"/>
    <n v="245.41"/>
    <n v="248.67"/>
    <x v="714"/>
    <n v="1.9785257570273808E-2"/>
    <n v="4394744.91"/>
    <s v="SEC01"/>
    <x v="0"/>
  </r>
  <r>
    <d v="2025-04-11T00:00:00"/>
    <x v="5"/>
    <n v="245.43"/>
    <n v="248.89"/>
    <n v="241.96"/>
    <n v="244.6"/>
    <x v="715"/>
    <n v="-1.6639411283728509E-2"/>
    <n v="2058309"/>
    <s v="SEC01"/>
    <x v="0"/>
  </r>
  <r>
    <d v="2025-04-14T00:00:00"/>
    <x v="5"/>
    <n v="244.7"/>
    <n v="247.7"/>
    <n v="241.69"/>
    <n v="246.28"/>
    <x v="716"/>
    <n v="6.8215039792106826E-3"/>
    <n v="9537439.2799999993"/>
    <s v="SEC01"/>
    <x v="0"/>
  </r>
  <r>
    <d v="2025-04-15T00:00:00"/>
    <x v="5"/>
    <n v="242.26"/>
    <n v="244.44"/>
    <n v="240.08"/>
    <n v="243.81"/>
    <x v="717"/>
    <n v="-1.0130839588203924E-2"/>
    <n v="8107170.1200000001"/>
    <s v="SEC01"/>
    <x v="0"/>
  </r>
  <r>
    <d v="2025-04-16T00:00:00"/>
    <x v="5"/>
    <n v="244.2"/>
    <n v="246.5"/>
    <n v="241.91"/>
    <n v="244.46"/>
    <x v="718"/>
    <n v="2.6589217049824334E-3"/>
    <n v="8592280.0800000001"/>
    <s v="SEC01"/>
    <x v="0"/>
  </r>
  <r>
    <d v="2025-04-17T00:00:00"/>
    <x v="5"/>
    <n v="246.01"/>
    <n v="248.27"/>
    <n v="243.75"/>
    <n v="244.73"/>
    <x v="719"/>
    <n v="1.103256650185845E-3"/>
    <n v="11672152.619999999"/>
    <s v="SEC01"/>
    <x v="0"/>
  </r>
  <r>
    <d v="2025-04-18T00:00:00"/>
    <x v="5"/>
    <n v="241.55"/>
    <n v="243.02"/>
    <n v="240.09"/>
    <n v="241.55"/>
    <x v="720"/>
    <n v="-1.3164976195404588E-2"/>
    <n v="9517553.0999999996"/>
    <s v="SEC01"/>
    <x v="0"/>
  </r>
  <r>
    <d v="2025-04-21T00:00:00"/>
    <x v="5"/>
    <n v="246.89"/>
    <n v="249.18"/>
    <n v="244.6"/>
    <n v="244.86"/>
    <x v="721"/>
    <n v="1.3517928612268243E-2"/>
    <n v="2737289.94"/>
    <s v="SEC01"/>
    <x v="0"/>
  </r>
  <r>
    <d v="2025-04-22T00:00:00"/>
    <x v="5"/>
    <n v="247.37"/>
    <n v="250.29"/>
    <n v="244.44"/>
    <n v="245.54"/>
    <x v="722"/>
    <n v="2.7694062067279402E-3"/>
    <n v="7662321.2399999993"/>
    <s v="SEC01"/>
    <x v="0"/>
  </r>
  <r>
    <d v="2025-04-23T00:00:00"/>
    <x v="5"/>
    <n v="245.27"/>
    <n v="247.86"/>
    <n v="242.69"/>
    <n v="244.72"/>
    <x v="723"/>
    <n v="-3.3507682249100733E-3"/>
    <n v="5729384.6399999997"/>
    <s v="SEC01"/>
    <x v="0"/>
  </r>
  <r>
    <d v="2025-04-24T00:00:00"/>
    <x v="5"/>
    <n v="243.72"/>
    <n v="245.49"/>
    <n v="241.96"/>
    <n v="243.43"/>
    <x v="724"/>
    <n v="-5.299264675676753E-3"/>
    <n v="8889333.3100000005"/>
    <s v="SEC01"/>
    <x v="0"/>
  </r>
  <r>
    <d v="2025-04-25T00:00:00"/>
    <x v="5"/>
    <n v="245.3"/>
    <n v="247.91"/>
    <n v="242.69"/>
    <n v="243.92"/>
    <x v="725"/>
    <n v="2.0088553624138272E-3"/>
    <n v="4290308.88"/>
    <s v="SEC01"/>
    <x v="0"/>
  </r>
  <r>
    <d v="2025-04-28T00:00:00"/>
    <x v="5"/>
    <n v="244.72"/>
    <n v="245.85"/>
    <n v="243.58"/>
    <n v="245.23"/>
    <x v="726"/>
    <n v="5.3419239081678518E-3"/>
    <n v="2014319.22"/>
    <s v="SEC01"/>
    <x v="0"/>
  </r>
  <r>
    <d v="2025-04-29T00:00:00"/>
    <x v="5"/>
    <n v="244.47"/>
    <n v="248.86"/>
    <n v="240.08"/>
    <n v="244.91"/>
    <x v="727"/>
    <n v="-1.3066024253807244E-3"/>
    <n v="6888583.5700000003"/>
    <s v="SEC01"/>
    <x v="0"/>
  </r>
  <r>
    <d v="2025-04-30T00:00:00"/>
    <x v="5"/>
    <n v="236.9"/>
    <n v="239.98"/>
    <n v="233.81"/>
    <n v="236.38"/>
    <x v="728"/>
    <n v="-3.6085963279465276E-2"/>
    <n v="4579862.5"/>
    <s v="SEC01"/>
    <x v="0"/>
  </r>
  <r>
    <d v="2025-05-01T00:00:00"/>
    <x v="5"/>
    <n v="237.86"/>
    <n v="239.61"/>
    <n v="236.11"/>
    <n v="236.48"/>
    <x v="729"/>
    <n v="4.2286874154260116E-4"/>
    <n v="2604590.7199999997"/>
    <s v="SEC01"/>
    <x v="0"/>
  </r>
  <r>
    <d v="2025-05-02T00:00:00"/>
    <x v="5"/>
    <n v="233.99"/>
    <n v="235.79"/>
    <n v="232.19"/>
    <n v="232.28"/>
    <x v="730"/>
    <n v="-1.8081625624246551E-2"/>
    <n v="7405318.6799999997"/>
    <s v="SEC01"/>
    <x v="0"/>
  </r>
  <r>
    <d v="2025-05-05T00:00:00"/>
    <x v="5"/>
    <n v="232.18"/>
    <n v="235.34"/>
    <n v="229.02"/>
    <n v="231.73"/>
    <x v="731"/>
    <n v="-2.3734518620809192E-3"/>
    <n v="1054603.23"/>
    <s v="SEC01"/>
    <x v="0"/>
  </r>
  <r>
    <d v="2025-05-06T00:00:00"/>
    <x v="5"/>
    <n v="227.21"/>
    <n v="227.91"/>
    <n v="226.51"/>
    <n v="227.72"/>
    <x v="732"/>
    <n v="-1.7609344809415031E-2"/>
    <n v="6713868.7599999998"/>
    <s v="SEC01"/>
    <x v="0"/>
  </r>
  <r>
    <d v="2025-05-07T00:00:00"/>
    <x v="5"/>
    <n v="224.45"/>
    <n v="227.99"/>
    <n v="220.91"/>
    <n v="223.74"/>
    <x v="733"/>
    <n v="-1.7788504514168184E-2"/>
    <n v="2719783.44"/>
    <s v="SEC01"/>
    <x v="0"/>
  </r>
  <r>
    <d v="2025-05-08T00:00:00"/>
    <x v="5"/>
    <n v="226.8"/>
    <n v="229.85"/>
    <n v="223.75"/>
    <n v="227.3"/>
    <x v="734"/>
    <n v="1.5662120545534546E-2"/>
    <n v="8882429.4000000004"/>
    <s v="SEC01"/>
    <x v="0"/>
  </r>
  <r>
    <d v="2025-05-09T00:00:00"/>
    <x v="5"/>
    <n v="226.76"/>
    <n v="228.75"/>
    <n v="224.77"/>
    <n v="226.44"/>
    <x v="735"/>
    <n v="-3.7979155626215052E-3"/>
    <n v="2655688.3199999998"/>
    <s v="SEC01"/>
    <x v="0"/>
  </r>
  <r>
    <d v="2025-05-12T00:00:00"/>
    <x v="5"/>
    <n v="226.02"/>
    <n v="227.39"/>
    <n v="224.65"/>
    <n v="225.37"/>
    <x v="736"/>
    <n v="-4.7477481474907622E-3"/>
    <n v="4786408.0600000005"/>
    <s v="SEC01"/>
    <x v="0"/>
  </r>
  <r>
    <d v="2025-05-13T00:00:00"/>
    <x v="5"/>
    <n v="227.37"/>
    <n v="230.04"/>
    <n v="224.7"/>
    <n v="226.8"/>
    <x v="737"/>
    <n v="6.3051146384480016E-3"/>
    <n v="4639420.8"/>
    <s v="SEC01"/>
    <x v="0"/>
  </r>
  <r>
    <d v="2025-05-14T00:00:00"/>
    <x v="5"/>
    <n v="225.79"/>
    <n v="226.34"/>
    <n v="225.23"/>
    <n v="225.79"/>
    <x v="738"/>
    <n v="-4.4731830461934513E-3"/>
    <n v="7739178.04"/>
    <s v="SEC01"/>
    <x v="0"/>
  </r>
  <r>
    <d v="2025-05-15T00:00:00"/>
    <x v="5"/>
    <n v="233.28"/>
    <n v="235.91"/>
    <n v="230.64"/>
    <n v="231.91"/>
    <x v="739"/>
    <n v="2.6389547669354512E-2"/>
    <n v="3258335.5"/>
    <s v="SEC01"/>
    <x v="0"/>
  </r>
  <r>
    <d v="2025-05-16T00:00:00"/>
    <x v="5"/>
    <n v="230.96"/>
    <n v="231.41"/>
    <n v="230.52"/>
    <n v="231.17"/>
    <x v="740"/>
    <n v="-3.2011074101311117E-3"/>
    <n v="8813356.25"/>
    <s v="SEC01"/>
    <x v="0"/>
  </r>
  <r>
    <d v="2025-05-19T00:00:00"/>
    <x v="5"/>
    <n v="233.47"/>
    <n v="235.38"/>
    <n v="231.56"/>
    <n v="232.29"/>
    <x v="741"/>
    <n v="4.821559257824291E-3"/>
    <n v="8635613.0399999991"/>
    <s v="SEC01"/>
    <x v="0"/>
  </r>
  <r>
    <d v="2025-05-20T00:00:00"/>
    <x v="5"/>
    <n v="235.15"/>
    <n v="238.51"/>
    <n v="231.79"/>
    <n v="235.21"/>
    <x v="742"/>
    <n v="1.2414438161642855E-2"/>
    <n v="276136.54000000004"/>
    <s v="SEC01"/>
    <x v="0"/>
  </r>
  <r>
    <d v="2025-05-21T00:00:00"/>
    <x v="5"/>
    <n v="239.79"/>
    <n v="242.15"/>
    <n v="237.42"/>
    <n v="240.06"/>
    <x v="243"/>
    <n v="2.0203282512705135E-2"/>
    <n v="3147666.72"/>
    <s v="SEC01"/>
    <x v="0"/>
  </r>
  <r>
    <d v="2025-05-22T00:00:00"/>
    <x v="5"/>
    <n v="238.4"/>
    <n v="239.7"/>
    <n v="237.11"/>
    <n v="237.88"/>
    <x v="743"/>
    <n v="-9.1642845131999617E-3"/>
    <n v="8306531.7199999997"/>
    <s v="SEC01"/>
    <x v="0"/>
  </r>
  <r>
    <d v="2025-05-23T00:00:00"/>
    <x v="5"/>
    <n v="238.8"/>
    <n v="240.98"/>
    <n v="236.62"/>
    <n v="236.69"/>
    <x v="744"/>
    <n v="-5.0276733279817389E-3"/>
    <n v="6063524.4199999999"/>
    <s v="SEC01"/>
    <x v="0"/>
  </r>
  <r>
    <d v="2025-05-26T00:00:00"/>
    <x v="5"/>
    <n v="242.57"/>
    <n v="244.62"/>
    <n v="240.53"/>
    <n v="240.58"/>
    <x v="745"/>
    <n v="1.6169257627400509E-2"/>
    <n v="10785923.140000001"/>
    <s v="SEC01"/>
    <x v="0"/>
  </r>
  <r>
    <d v="2025-05-27T00:00:00"/>
    <x v="5"/>
    <n v="242.55"/>
    <n v="246.1"/>
    <n v="239.01"/>
    <n v="243.11"/>
    <x v="746"/>
    <n v="1.0406811731315047E-2"/>
    <n v="11380951.540000001"/>
    <s v="SEC01"/>
    <x v="0"/>
  </r>
  <r>
    <d v="2025-05-28T00:00:00"/>
    <x v="5"/>
    <n v="245.32"/>
    <n v="247.64"/>
    <n v="243.01"/>
    <n v="246.48"/>
    <x v="747"/>
    <n v="1.3672508925673387E-2"/>
    <n v="5251502.88"/>
    <s v="SEC01"/>
    <x v="0"/>
  </r>
  <r>
    <d v="2025-05-29T00:00:00"/>
    <x v="5"/>
    <n v="242.74"/>
    <n v="245.75"/>
    <n v="239.74"/>
    <n v="242.32"/>
    <x v="748"/>
    <n v="-1.7167381974248913E-2"/>
    <n v="9463807.5999999996"/>
    <s v="SEC01"/>
    <x v="0"/>
  </r>
  <r>
    <d v="2025-05-30T00:00:00"/>
    <x v="5"/>
    <n v="246.04"/>
    <n v="247.41"/>
    <n v="244.66"/>
    <n v="247.16"/>
    <x v="749"/>
    <n v="1.9582456708205225E-2"/>
    <n v="9934349.0399999991"/>
    <s v="SEC01"/>
    <x v="0"/>
  </r>
  <r>
    <d v="2025-06-02T00:00:00"/>
    <x v="5"/>
    <n v="245.75"/>
    <n v="247.22"/>
    <n v="244.27"/>
    <n v="244.85"/>
    <x v="750"/>
    <n v="-9.4343475597304573E-3"/>
    <n v="12087509.949999999"/>
    <s v="SEC01"/>
    <x v="0"/>
  </r>
  <r>
    <d v="2025-06-03T00:00:00"/>
    <x v="5"/>
    <n v="246.11"/>
    <n v="249.43"/>
    <n v="242.79"/>
    <n v="245.51"/>
    <x v="751"/>
    <n v="2.688281536393616E-3"/>
    <n v="8968725.8100000005"/>
    <s v="SEC01"/>
    <x v="0"/>
  </r>
  <r>
    <d v="2025-06-04T00:00:00"/>
    <x v="5"/>
    <n v="243.51"/>
    <n v="246.22"/>
    <n v="240.8"/>
    <n v="245.11"/>
    <x v="752"/>
    <n v="-1.6319203622862275E-3"/>
    <n v="1159615.4100000001"/>
    <s v="SEC01"/>
    <x v="0"/>
  </r>
  <r>
    <d v="2025-06-05T00:00:00"/>
    <x v="5"/>
    <n v="242.59"/>
    <n v="245.75"/>
    <n v="239.44"/>
    <n v="242.47"/>
    <x v="753"/>
    <n v="-1.088794490040011E-2"/>
    <n v="6574089.1100000003"/>
    <s v="SEC01"/>
    <x v="0"/>
  </r>
  <r>
    <d v="2025-06-06T00:00:00"/>
    <x v="5"/>
    <n v="238.72"/>
    <n v="242.4"/>
    <n v="235.04"/>
    <n v="238.25"/>
    <x v="754"/>
    <n v="-1.7712486883525703E-2"/>
    <n v="5110939"/>
    <s v="SEC01"/>
    <x v="0"/>
  </r>
  <r>
    <d v="2025-06-09T00:00:00"/>
    <x v="5"/>
    <n v="232.56"/>
    <n v="233.46"/>
    <n v="231.67"/>
    <n v="233.13"/>
    <x v="755"/>
    <n v="-2.1961995453180647E-2"/>
    <n v="9869325.4199999999"/>
    <s v="SEC01"/>
    <x v="0"/>
  </r>
  <r>
    <d v="2025-06-10T00:00:00"/>
    <x v="5"/>
    <n v="232.92"/>
    <n v="236.2"/>
    <n v="229.64"/>
    <n v="233.53"/>
    <x v="756"/>
    <n v="1.7128420331435177E-3"/>
    <n v="5154941.22"/>
    <s v="SEC01"/>
    <x v="0"/>
  </r>
  <r>
    <d v="2025-06-11T00:00:00"/>
    <x v="5"/>
    <n v="230.01"/>
    <n v="232.02"/>
    <n v="228.01"/>
    <n v="229.14"/>
    <x v="757"/>
    <n v="-1.9158592999912783E-2"/>
    <n v="3940978.86"/>
    <s v="SEC01"/>
    <x v="0"/>
  </r>
  <r>
    <d v="2025-06-12T00:00:00"/>
    <x v="5"/>
    <n v="224.82"/>
    <n v="226.18"/>
    <n v="223.46"/>
    <n v="225.94"/>
    <x v="758"/>
    <n v="-1.4163052137735633E-2"/>
    <n v="4650071.1399999997"/>
    <s v="SEC01"/>
    <x v="0"/>
  </r>
  <r>
    <d v="2025-06-13T00:00:00"/>
    <x v="5"/>
    <n v="225.83"/>
    <n v="227.14"/>
    <n v="224.51"/>
    <n v="225.38"/>
    <x v="759"/>
    <n v="-2.4846925193007467E-3"/>
    <n v="3949333.7399999998"/>
    <s v="SEC01"/>
    <x v="0"/>
  </r>
  <r>
    <d v="2025-06-16T00:00:00"/>
    <x v="5"/>
    <n v="218.69"/>
    <n v="220.77"/>
    <n v="216.6"/>
    <n v="218.06"/>
    <x v="760"/>
    <n v="-3.356874254792256E-2"/>
    <n v="2574852.48"/>
    <s v="SEC01"/>
    <x v="0"/>
  </r>
  <r>
    <d v="2025-06-17T00:00:00"/>
    <x v="5"/>
    <n v="220.86"/>
    <n v="224.13"/>
    <n v="217.6"/>
    <n v="220.26"/>
    <x v="761"/>
    <n v="9.9881957686370135E-3"/>
    <n v="415630.62"/>
    <s v="SEC01"/>
    <x v="0"/>
  </r>
  <r>
    <d v="2025-06-18T00:00:00"/>
    <x v="5"/>
    <n v="214.79"/>
    <n v="217.08"/>
    <n v="212.51"/>
    <n v="213.73"/>
    <x v="762"/>
    <n v="-3.0552566321995048E-2"/>
    <n v="3719329.46"/>
    <s v="SEC01"/>
    <x v="0"/>
  </r>
  <r>
    <d v="2025-06-19T00:00:00"/>
    <x v="5"/>
    <n v="214.86"/>
    <n v="216.46"/>
    <n v="213.26"/>
    <n v="213.57"/>
    <x v="763"/>
    <n v="-7.491688907617952E-4"/>
    <n v="2830443.21"/>
    <s v="SEC01"/>
    <x v="0"/>
  </r>
  <r>
    <d v="2025-06-20T00:00:00"/>
    <x v="5"/>
    <n v="212.44"/>
    <n v="215.26"/>
    <n v="209.62"/>
    <n v="213.66"/>
    <x v="764"/>
    <n v="4.2122999157541614E-4"/>
    <n v="10089025.199999999"/>
    <s v="SEC01"/>
    <x v="0"/>
  </r>
  <r>
    <d v="2025-06-23T00:00:00"/>
    <x v="5"/>
    <n v="215.28"/>
    <n v="218.54"/>
    <n v="212.01"/>
    <n v="215.17"/>
    <x v="765"/>
    <n v="7.0177069294046152E-3"/>
    <n v="9955915.8999999985"/>
    <s v="SEC01"/>
    <x v="0"/>
  </r>
  <r>
    <d v="2025-06-24T00:00:00"/>
    <x v="5"/>
    <n v="214.63"/>
    <n v="215.96"/>
    <n v="213.3"/>
    <n v="215.1"/>
    <x v="766"/>
    <n v="-3.2543003254297155E-4"/>
    <n v="8541405.9000000004"/>
    <s v="SEC01"/>
    <x v="0"/>
  </r>
  <r>
    <d v="2025-06-25T00:00:00"/>
    <x v="5"/>
    <n v="219.84"/>
    <n v="223.35"/>
    <n v="216.32"/>
    <n v="220.69"/>
    <x v="767"/>
    <n v="2.5329647922425137E-2"/>
    <n v="3567674.54"/>
    <s v="SEC01"/>
    <x v="0"/>
  </r>
  <r>
    <d v="2025-06-26T00:00:00"/>
    <x v="5"/>
    <n v="220.14"/>
    <n v="223.26"/>
    <n v="217.01"/>
    <n v="221.35"/>
    <x v="768"/>
    <n v="2.9817031850011143E-3"/>
    <n v="8755720.5999999996"/>
    <s v="SEC01"/>
    <x v="0"/>
  </r>
  <r>
    <d v="2025-06-27T00:00:00"/>
    <x v="5"/>
    <n v="226.32"/>
    <n v="228.75"/>
    <n v="223.9"/>
    <n v="224.36"/>
    <x v="769"/>
    <n v="1.3415938669994737E-2"/>
    <n v="9312061.8000000007"/>
    <s v="SEC01"/>
    <x v="0"/>
  </r>
  <r>
    <d v="2025-06-30T00:00:00"/>
    <x v="5"/>
    <n v="221.73"/>
    <n v="222.88"/>
    <n v="220.58"/>
    <n v="222.38"/>
    <x v="770"/>
    <n v="-8.9036783883443583E-3"/>
    <n v="664471.43999999994"/>
    <s v="SEC01"/>
    <x v="0"/>
  </r>
  <r>
    <d v="2025-01-01T00:00:00"/>
    <x v="6"/>
    <n v="451.6"/>
    <n v="456.73"/>
    <n v="446.47"/>
    <n v="453.01"/>
    <x v="771"/>
    <n v="0"/>
    <n v="15001426.15"/>
    <s v="SEC05"/>
    <x v="3"/>
  </r>
  <r>
    <d v="2025-01-02T00:00:00"/>
    <x v="6"/>
    <n v="455.77"/>
    <n v="457.35"/>
    <n v="454.19"/>
    <n v="455.26"/>
    <x v="772"/>
    <n v="4.9422308131617096E-3"/>
    <n v="2968295.1999999997"/>
    <s v="SEC05"/>
    <x v="3"/>
  </r>
  <r>
    <d v="2025-01-03T00:00:00"/>
    <x v="6"/>
    <n v="450.26"/>
    <n v="457.49"/>
    <n v="443.03"/>
    <n v="450.82"/>
    <x v="133"/>
    <n v="-9.8487201100217331E-3"/>
    <n v="19207186.100000001"/>
    <s v="SEC05"/>
    <x v="3"/>
  </r>
  <r>
    <d v="2025-01-06T00:00:00"/>
    <x v="6"/>
    <n v="453.35"/>
    <n v="458.26"/>
    <n v="448.45"/>
    <n v="451.13"/>
    <x v="773"/>
    <n v="6.8716334537716911E-4"/>
    <n v="6336120.8499999996"/>
    <s v="SEC05"/>
    <x v="3"/>
  </r>
  <r>
    <d v="2025-01-07T00:00:00"/>
    <x v="6"/>
    <n v="453.76"/>
    <n v="454.22"/>
    <n v="453.29"/>
    <n v="453.47"/>
    <x v="774"/>
    <n v="5.1602090546233083E-3"/>
    <n v="14490180.380000001"/>
    <s v="SEC05"/>
    <x v="3"/>
  </r>
  <r>
    <d v="2025-01-08T00:00:00"/>
    <x v="6"/>
    <n v="467.12"/>
    <n v="474.67"/>
    <n v="459.57"/>
    <n v="467.82"/>
    <x v="775"/>
    <n v="3.0674190928134681E-2"/>
    <n v="10344903.66"/>
    <s v="SEC05"/>
    <x v="3"/>
  </r>
  <r>
    <d v="2025-01-09T00:00:00"/>
    <x v="6"/>
    <n v="473.5"/>
    <n v="475.67"/>
    <n v="471.33"/>
    <n v="472.33"/>
    <x v="776"/>
    <n v="9.5484089513687281E-3"/>
    <n v="21226037.870000001"/>
    <s v="SEC05"/>
    <x v="3"/>
  </r>
  <r>
    <d v="2025-01-10T00:00:00"/>
    <x v="6"/>
    <n v="480.18"/>
    <n v="481.77"/>
    <n v="478.6"/>
    <n v="480.63"/>
    <x v="777"/>
    <n v="1.726900110271937E-2"/>
    <n v="13375452.27"/>
    <s v="SEC05"/>
    <x v="3"/>
  </r>
  <r>
    <d v="2025-01-13T00:00:00"/>
    <x v="6"/>
    <n v="491.84"/>
    <n v="493.86"/>
    <n v="489.82"/>
    <n v="492.22"/>
    <x v="778"/>
    <n v="2.354638169924024E-2"/>
    <n v="16179271.4"/>
    <s v="SEC05"/>
    <x v="3"/>
  </r>
  <r>
    <d v="2025-01-14T00:00:00"/>
    <x v="6"/>
    <n v="495.45"/>
    <n v="497.7"/>
    <n v="493.2"/>
    <n v="495.38"/>
    <x v="779"/>
    <n v="6.3789414187088054E-3"/>
    <n v="18960669.5"/>
    <s v="SEC05"/>
    <x v="3"/>
  </r>
  <r>
    <d v="2025-01-15T00:00:00"/>
    <x v="6"/>
    <n v="495.22"/>
    <n v="502.97"/>
    <n v="487.48"/>
    <n v="497.28"/>
    <x v="780"/>
    <n v="3.8207850707850251E-3"/>
    <n v="4638627.8399999999"/>
    <s v="SEC05"/>
    <x v="3"/>
  </r>
  <r>
    <d v="2025-01-16T00:00:00"/>
    <x v="6"/>
    <n v="490.7"/>
    <n v="494.84"/>
    <n v="486.55"/>
    <n v="490.76"/>
    <x v="781"/>
    <n v="-1.3285516342000127E-2"/>
    <n v="17672267.600000001"/>
    <s v="SEC05"/>
    <x v="3"/>
  </r>
  <r>
    <d v="2025-01-17T00:00:00"/>
    <x v="6"/>
    <n v="490.13"/>
    <n v="496.99"/>
    <n v="483.28"/>
    <n v="490.16"/>
    <x v="782"/>
    <n v="-1.2240900930307775E-3"/>
    <n v="4725142.4000000004"/>
    <s v="SEC05"/>
    <x v="3"/>
  </r>
  <r>
    <d v="2025-01-20T00:00:00"/>
    <x v="6"/>
    <n v="485.23"/>
    <n v="487.81"/>
    <n v="482.65"/>
    <n v="485.83"/>
    <x v="783"/>
    <n v="-8.9125825906182024E-3"/>
    <n v="18463483.32"/>
    <s v="SEC05"/>
    <x v="3"/>
  </r>
  <r>
    <d v="2025-01-21T00:00:00"/>
    <x v="6"/>
    <n v="484.65"/>
    <n v="491.91"/>
    <n v="477.39"/>
    <n v="483.5"/>
    <x v="784"/>
    <n v="-4.8190279214063783E-3"/>
    <n v="6385584.5"/>
    <s v="SEC05"/>
    <x v="3"/>
  </r>
  <r>
    <d v="2025-01-22T00:00:00"/>
    <x v="6"/>
    <n v="496.37"/>
    <n v="504.5"/>
    <n v="488.25"/>
    <n v="495.14"/>
    <x v="785"/>
    <n v="2.3508502645716335E-2"/>
    <n v="14812608.24"/>
    <s v="SEC05"/>
    <x v="3"/>
  </r>
  <r>
    <d v="2025-01-23T00:00:00"/>
    <x v="6"/>
    <n v="494.89"/>
    <n v="497.14"/>
    <n v="492.63"/>
    <n v="495.98"/>
    <x v="786"/>
    <n v="1.6936166780919227E-3"/>
    <n v="9954814.5800000001"/>
    <s v="SEC05"/>
    <x v="3"/>
  </r>
  <r>
    <d v="2025-01-24T00:00:00"/>
    <x v="6"/>
    <n v="492.95"/>
    <n v="500.27"/>
    <n v="485.62"/>
    <n v="490.65"/>
    <x v="787"/>
    <n v="-1.0863140731682546E-2"/>
    <n v="8247826.5"/>
    <s v="SEC05"/>
    <x v="3"/>
  </r>
  <r>
    <d v="2025-01-27T00:00:00"/>
    <x v="6"/>
    <n v="497.83"/>
    <n v="501.38"/>
    <n v="494.27"/>
    <n v="499.34"/>
    <x v="788"/>
    <n v="1.7402971922938274E-2"/>
    <n v="13180578.639999999"/>
    <s v="SEC05"/>
    <x v="3"/>
  </r>
  <r>
    <d v="2025-01-28T00:00:00"/>
    <x v="6"/>
    <n v="506.34"/>
    <n v="513.36"/>
    <n v="499.33"/>
    <n v="505.51"/>
    <x v="789"/>
    <n v="1.2205495440248494E-2"/>
    <n v="20261851.82"/>
    <s v="SEC05"/>
    <x v="3"/>
  </r>
  <r>
    <d v="2025-01-29T00:00:00"/>
    <x v="6"/>
    <n v="510.01"/>
    <n v="512.79999999999995"/>
    <n v="507.23"/>
    <n v="512.09"/>
    <x v="790"/>
    <n v="1.284930383331063E-2"/>
    <n v="21068406.780000001"/>
    <s v="SEC05"/>
    <x v="3"/>
  </r>
  <r>
    <d v="2025-01-30T00:00:00"/>
    <x v="6"/>
    <n v="502.74"/>
    <n v="508.27"/>
    <n v="497.21"/>
    <n v="499.43"/>
    <x v="791"/>
    <n v="-2.5348897743427558E-2"/>
    <n v="24420628.710000001"/>
    <s v="SEC05"/>
    <x v="3"/>
  </r>
  <r>
    <d v="2025-01-31T00:00:00"/>
    <x v="6"/>
    <n v="513.21"/>
    <n v="514.54999999999995"/>
    <n v="511.86"/>
    <n v="511.96"/>
    <x v="792"/>
    <n v="2.4474568325650391E-2"/>
    <n v="20774824.84"/>
    <s v="SEC05"/>
    <x v="3"/>
  </r>
  <r>
    <d v="2025-02-03T00:00:00"/>
    <x v="6"/>
    <n v="508.21"/>
    <n v="515.58000000000004"/>
    <n v="500.84"/>
    <n v="508.49"/>
    <x v="793"/>
    <n v="-6.8241263348344516E-3"/>
    <n v="17426969.280000001"/>
    <s v="SEC05"/>
    <x v="3"/>
  </r>
  <r>
    <d v="2025-02-04T00:00:00"/>
    <x v="6"/>
    <n v="517.07000000000005"/>
    <n v="522.6"/>
    <n v="511.53"/>
    <n v="513.62"/>
    <x v="311"/>
    <n v="9.9879288189712156E-3"/>
    <n v="13848736.060000001"/>
    <s v="SEC05"/>
    <x v="3"/>
  </r>
  <r>
    <d v="2025-02-05T00:00:00"/>
    <x v="6"/>
    <n v="527.91"/>
    <n v="533.88"/>
    <n v="521.95000000000005"/>
    <n v="530.34"/>
    <x v="794"/>
    <n v="3.1526944978692961E-2"/>
    <n v="910593.78"/>
    <s v="SEC05"/>
    <x v="3"/>
  </r>
  <r>
    <d v="2025-02-06T00:00:00"/>
    <x v="6"/>
    <n v="543.38"/>
    <n v="550.64"/>
    <n v="536.13"/>
    <n v="545.07000000000005"/>
    <x v="795"/>
    <n v="2.7024051956629453E-2"/>
    <n v="16406607.000000002"/>
    <s v="SEC05"/>
    <x v="3"/>
  </r>
  <r>
    <d v="2025-02-07T00:00:00"/>
    <x v="6"/>
    <n v="541.05999999999995"/>
    <n v="543.74"/>
    <n v="538.38"/>
    <n v="538.53"/>
    <x v="796"/>
    <n v="-1.2144170241212332E-2"/>
    <n v="24206384.969999999"/>
    <s v="SEC05"/>
    <x v="3"/>
  </r>
  <r>
    <d v="2025-02-10T00:00:00"/>
    <x v="6"/>
    <n v="526.74"/>
    <n v="533.04"/>
    <n v="520.44000000000005"/>
    <n v="528.94000000000005"/>
    <x v="797"/>
    <n v="-1.8130600824289932E-2"/>
    <n v="23507151.480000004"/>
    <s v="SEC05"/>
    <x v="3"/>
  </r>
  <r>
    <d v="2025-02-11T00:00:00"/>
    <x v="6"/>
    <n v="539.08000000000004"/>
    <n v="541.71"/>
    <n v="536.45000000000005"/>
    <n v="538.69000000000005"/>
    <x v="121"/>
    <n v="1.809946351333791E-2"/>
    <n v="20193872.030000001"/>
    <s v="SEC05"/>
    <x v="3"/>
  </r>
  <r>
    <d v="2025-02-12T00:00:00"/>
    <x v="6"/>
    <n v="542.41999999999996"/>
    <n v="549.25"/>
    <n v="535.58000000000004"/>
    <n v="539.78"/>
    <x v="798"/>
    <n v="2.0193412130866616E-3"/>
    <n v="21461113.02"/>
    <s v="SEC05"/>
    <x v="3"/>
  </r>
  <r>
    <d v="2025-02-13T00:00:00"/>
    <x v="6"/>
    <n v="541.35"/>
    <n v="546.9"/>
    <n v="535.79999999999995"/>
    <n v="536.51"/>
    <x v="799"/>
    <n v="-6.0949469720974108E-3"/>
    <n v="6472456.6399999997"/>
    <s v="SEC05"/>
    <x v="3"/>
  </r>
  <r>
    <d v="2025-02-14T00:00:00"/>
    <x v="6"/>
    <n v="543.73"/>
    <n v="551.48"/>
    <n v="535.99"/>
    <n v="540.86"/>
    <x v="800"/>
    <n v="8.0427467366786642E-3"/>
    <n v="4043469.36"/>
    <s v="SEC05"/>
    <x v="3"/>
  </r>
  <r>
    <d v="2025-02-17T00:00:00"/>
    <x v="6"/>
    <n v="541.88"/>
    <n v="548.55999999999995"/>
    <n v="535.20000000000005"/>
    <n v="539.88"/>
    <x v="801"/>
    <n v="-1.8152181966363233E-3"/>
    <n v="12667204.439999999"/>
    <s v="SEC05"/>
    <x v="3"/>
  </r>
  <r>
    <d v="2025-02-18T00:00:00"/>
    <x v="6"/>
    <n v="549.70000000000005"/>
    <n v="555.07000000000005"/>
    <n v="544.33000000000004"/>
    <n v="544.79999999999995"/>
    <x v="802"/>
    <n v="9.0308370044052122E-3"/>
    <n v="15224980.799999999"/>
    <s v="SEC05"/>
    <x v="3"/>
  </r>
  <r>
    <d v="2025-02-19T00:00:00"/>
    <x v="6"/>
    <n v="544.67999999999995"/>
    <n v="547.79"/>
    <n v="541.57000000000005"/>
    <n v="545.39"/>
    <x v="803"/>
    <n v="1.0817946790370777E-3"/>
    <n v="12726675.65"/>
    <s v="SEC05"/>
    <x v="3"/>
  </r>
  <r>
    <d v="2025-02-20T00:00:00"/>
    <x v="6"/>
    <n v="549.97"/>
    <n v="557.21"/>
    <n v="542.73"/>
    <n v="550.51"/>
    <x v="804"/>
    <n v="9.3004668398394292E-3"/>
    <n v="12667235.1"/>
    <s v="SEC05"/>
    <x v="3"/>
  </r>
  <r>
    <d v="2025-02-21T00:00:00"/>
    <x v="6"/>
    <n v="546.23"/>
    <n v="548.49"/>
    <n v="543.97"/>
    <n v="544.47"/>
    <x v="805"/>
    <n v="-1.1093356842433859E-2"/>
    <n v="24297518.220000003"/>
    <s v="SEC05"/>
    <x v="3"/>
  </r>
  <r>
    <d v="2025-02-24T00:00:00"/>
    <x v="6"/>
    <n v="557.51"/>
    <n v="564.76"/>
    <n v="550.25"/>
    <n v="554.46"/>
    <x v="806"/>
    <n v="1.8017530570284615E-2"/>
    <n v="19220355.900000002"/>
    <s v="SEC05"/>
    <x v="3"/>
  </r>
  <r>
    <d v="2025-02-25T00:00:00"/>
    <x v="6"/>
    <n v="560.48"/>
    <n v="566.89"/>
    <n v="554.07000000000005"/>
    <n v="559.49"/>
    <x v="807"/>
    <n v="8.9903304795438208E-3"/>
    <n v="8774481.6699999999"/>
    <s v="SEC05"/>
    <x v="3"/>
  </r>
  <r>
    <d v="2025-02-26T00:00:00"/>
    <x v="6"/>
    <n v="567.22"/>
    <n v="571.33000000000004"/>
    <n v="563.12"/>
    <n v="564.19000000000005"/>
    <x v="808"/>
    <n v="8.3305269501409897E-3"/>
    <n v="25690391.650000002"/>
    <s v="SEC05"/>
    <x v="3"/>
  </r>
  <r>
    <d v="2025-02-27T00:00:00"/>
    <x v="6"/>
    <n v="559.12"/>
    <n v="562.54"/>
    <n v="555.70000000000005"/>
    <n v="556.44000000000005"/>
    <x v="809"/>
    <n v="-1.3927826899575875E-2"/>
    <n v="12597245.160000002"/>
    <s v="SEC05"/>
    <x v="3"/>
  </r>
  <r>
    <d v="2025-02-28T00:00:00"/>
    <x v="6"/>
    <n v="567.91999999999996"/>
    <n v="573.46"/>
    <n v="562.38"/>
    <n v="568.62"/>
    <x v="810"/>
    <n v="2.1420280679539851E-2"/>
    <n v="2524104.1800000002"/>
    <s v="SEC05"/>
    <x v="3"/>
  </r>
  <r>
    <d v="2025-03-03T00:00:00"/>
    <x v="6"/>
    <n v="568.36"/>
    <n v="577.20000000000005"/>
    <n v="559.52"/>
    <n v="568.65"/>
    <x v="811"/>
    <n v="5.27565286203688E-5"/>
    <n v="7151911.0499999998"/>
    <s v="SEC05"/>
    <x v="3"/>
  </r>
  <r>
    <d v="2025-03-04T00:00:00"/>
    <x v="6"/>
    <n v="578.29999999999995"/>
    <n v="582.74"/>
    <n v="573.86"/>
    <n v="574.03"/>
    <x v="812"/>
    <n v="9.3723324564918137E-3"/>
    <n v="14497127.649999999"/>
    <s v="SEC05"/>
    <x v="3"/>
  </r>
  <r>
    <d v="2025-03-05T00:00:00"/>
    <x v="6"/>
    <n v="573.70000000000005"/>
    <n v="579.99"/>
    <n v="567.41999999999996"/>
    <n v="571.84"/>
    <x v="813"/>
    <n v="-3.8297425853384527E-3"/>
    <n v="21118623.040000003"/>
    <s v="SEC05"/>
    <x v="3"/>
  </r>
  <r>
    <d v="2025-03-06T00:00:00"/>
    <x v="6"/>
    <n v="569.87"/>
    <n v="576.09"/>
    <n v="563.64"/>
    <n v="573.86"/>
    <x v="814"/>
    <n v="3.5200223050918023E-3"/>
    <n v="21083616.400000002"/>
    <s v="SEC05"/>
    <x v="3"/>
  </r>
  <r>
    <d v="2025-03-07T00:00:00"/>
    <x v="6"/>
    <n v="575.57000000000005"/>
    <n v="577.97"/>
    <n v="573.16999999999996"/>
    <n v="576.15"/>
    <x v="815"/>
    <n v="3.974659376898314E-3"/>
    <n v="10586180.1"/>
    <s v="SEC05"/>
    <x v="3"/>
  </r>
  <r>
    <d v="2025-03-10T00:00:00"/>
    <x v="6"/>
    <n v="555.85"/>
    <n v="562.80999999999995"/>
    <n v="548.89"/>
    <n v="556.16999999999996"/>
    <x v="816"/>
    <n v="-3.5924267759857631E-2"/>
    <n v="828137.12999999989"/>
    <s v="SEC05"/>
    <x v="3"/>
  </r>
  <r>
    <d v="2025-03-11T00:00:00"/>
    <x v="6"/>
    <n v="560.1"/>
    <n v="566.89"/>
    <n v="553.30999999999995"/>
    <n v="560.4"/>
    <x v="817"/>
    <n v="7.5481798715203753E-3"/>
    <n v="11362110"/>
    <s v="SEC05"/>
    <x v="3"/>
  </r>
  <r>
    <d v="2025-03-12T00:00:00"/>
    <x v="6"/>
    <n v="573.19000000000005"/>
    <n v="580.03"/>
    <n v="566.35"/>
    <n v="574.58000000000004"/>
    <x v="818"/>
    <n v="2.467889588917133E-2"/>
    <n v="19432870.18"/>
    <s v="SEC05"/>
    <x v="3"/>
  </r>
  <r>
    <d v="2025-03-13T00:00:00"/>
    <x v="6"/>
    <n v="577.47"/>
    <n v="583.11"/>
    <n v="571.83000000000004"/>
    <n v="578.64"/>
    <x v="819"/>
    <n v="7.0164523710769143E-3"/>
    <n v="22978951.68"/>
    <s v="SEC05"/>
    <x v="3"/>
  </r>
  <r>
    <d v="2025-03-14T00:00:00"/>
    <x v="6"/>
    <n v="571.99"/>
    <n v="574.6"/>
    <n v="569.38"/>
    <n v="571.84"/>
    <x v="820"/>
    <n v="-1.1891438164521465E-2"/>
    <n v="1503367.36"/>
    <s v="SEC05"/>
    <x v="3"/>
  </r>
  <r>
    <d v="2025-03-17T00:00:00"/>
    <x v="6"/>
    <n v="577.51"/>
    <n v="586.70000000000005"/>
    <n v="568.32000000000005"/>
    <n v="576.67999999999995"/>
    <x v="821"/>
    <n v="8.3928695290280894E-3"/>
    <n v="26786785.999999996"/>
    <s v="SEC05"/>
    <x v="3"/>
  </r>
  <r>
    <d v="2025-03-18T00:00:00"/>
    <x v="6"/>
    <n v="585.22"/>
    <n v="586.76"/>
    <n v="583.66999999999996"/>
    <n v="584.57000000000005"/>
    <x v="822"/>
    <n v="1.3497100432796926E-2"/>
    <n v="11659248.65"/>
    <s v="SEC05"/>
    <x v="3"/>
  </r>
  <r>
    <d v="2025-03-19T00:00:00"/>
    <x v="6"/>
    <n v="586.66999999999996"/>
    <n v="590.07000000000005"/>
    <n v="583.27"/>
    <n v="588.49"/>
    <x v="823"/>
    <n v="6.6611157368858583E-3"/>
    <n v="3463852.14"/>
    <s v="SEC05"/>
    <x v="3"/>
  </r>
  <r>
    <d v="2025-03-20T00:00:00"/>
    <x v="6"/>
    <n v="587.28"/>
    <n v="595.84"/>
    <n v="578.72"/>
    <n v="588.08000000000004"/>
    <x v="824"/>
    <n v="-6.9718405659088584E-4"/>
    <n v="10448417.360000001"/>
    <s v="SEC05"/>
    <x v="3"/>
  </r>
  <r>
    <d v="2025-03-21T00:00:00"/>
    <x v="6"/>
    <n v="586.53"/>
    <n v="592.87"/>
    <n v="580.17999999999995"/>
    <n v="586.42999999999995"/>
    <x v="825"/>
    <n v="-2.8136350459561942E-3"/>
    <n v="7756123.1799999997"/>
    <s v="SEC05"/>
    <x v="3"/>
  </r>
  <r>
    <d v="2025-03-24T00:00:00"/>
    <x v="6"/>
    <n v="586.58000000000004"/>
    <n v="592.20000000000005"/>
    <n v="580.96"/>
    <n v="584.75"/>
    <x v="826"/>
    <n v="-2.8730226592560068E-3"/>
    <n v="28528783"/>
    <s v="SEC05"/>
    <x v="3"/>
  </r>
  <r>
    <d v="2025-03-25T00:00:00"/>
    <x v="6"/>
    <n v="592.20000000000005"/>
    <n v="599.79999999999995"/>
    <n v="584.59"/>
    <n v="590.05999999999995"/>
    <x v="446"/>
    <n v="8.9990848388298572E-3"/>
    <n v="29448714.479999997"/>
    <s v="SEC05"/>
    <x v="3"/>
  </r>
  <r>
    <d v="2025-03-26T00:00:00"/>
    <x v="6"/>
    <n v="578.85"/>
    <n v="587.41999999999996"/>
    <n v="570.27"/>
    <n v="579.83000000000004"/>
    <x v="827"/>
    <n v="-1.7643102288601664E-2"/>
    <n v="28738694.120000001"/>
    <s v="SEC05"/>
    <x v="3"/>
  </r>
  <r>
    <d v="2025-03-27T00:00:00"/>
    <x v="6"/>
    <n v="577.47"/>
    <n v="586.66"/>
    <n v="568.27"/>
    <n v="577.25"/>
    <x v="828"/>
    <n v="-4.4694673018623489E-3"/>
    <n v="6353213.5"/>
    <s v="SEC05"/>
    <x v="3"/>
  </r>
  <r>
    <d v="2025-03-28T00:00:00"/>
    <x v="6"/>
    <n v="590.28"/>
    <n v="600.70000000000005"/>
    <n v="579.85"/>
    <n v="589.12"/>
    <x v="829"/>
    <n v="2.0148696360673554E-2"/>
    <n v="12562394.880000001"/>
    <s v="SEC05"/>
    <x v="3"/>
  </r>
  <r>
    <d v="2025-03-31T00:00:00"/>
    <x v="6"/>
    <n v="605.11"/>
    <n v="610.51"/>
    <n v="599.70000000000005"/>
    <n v="601.52"/>
    <x v="830"/>
    <n v="2.0614443410027893E-2"/>
    <n v="18083495.759999998"/>
    <s v="SEC05"/>
    <x v="3"/>
  </r>
  <r>
    <d v="2025-04-01T00:00:00"/>
    <x v="6"/>
    <n v="589.21"/>
    <n v="590.92999999999995"/>
    <n v="587.49"/>
    <n v="590.55999999999995"/>
    <x v="831"/>
    <n v="-1.8558656190734282E-2"/>
    <n v="1236042.0799999998"/>
    <s v="SEC05"/>
    <x v="3"/>
  </r>
  <r>
    <d v="2025-04-02T00:00:00"/>
    <x v="6"/>
    <n v="579.58000000000004"/>
    <n v="587.16999999999996"/>
    <n v="571.99"/>
    <n v="582.34"/>
    <x v="832"/>
    <n v="-1.4115465192155636E-2"/>
    <n v="3907501.4000000004"/>
    <s v="SEC05"/>
    <x v="3"/>
  </r>
  <r>
    <d v="2025-04-03T00:00:00"/>
    <x v="6"/>
    <n v="583.5"/>
    <n v="586.96"/>
    <n v="580.04"/>
    <n v="580.49"/>
    <x v="833"/>
    <n v="-3.1869627383762384E-3"/>
    <n v="20001943.93"/>
    <s v="SEC05"/>
    <x v="3"/>
  </r>
  <r>
    <d v="2025-04-04T00:00:00"/>
    <x v="6"/>
    <n v="589.28"/>
    <n v="596.4"/>
    <n v="582.16"/>
    <n v="587.20000000000005"/>
    <x v="834"/>
    <n v="1.1427111716621315E-2"/>
    <n v="801528.00000000012"/>
    <s v="SEC05"/>
    <x v="3"/>
  </r>
  <r>
    <d v="2025-04-07T00:00:00"/>
    <x v="6"/>
    <n v="577.20000000000005"/>
    <n v="584.16"/>
    <n v="570.24"/>
    <n v="573.97"/>
    <x v="835"/>
    <n v="-2.3049985190863664E-2"/>
    <n v="14622459.720000001"/>
    <s v="SEC05"/>
    <x v="3"/>
  </r>
  <r>
    <d v="2025-04-08T00:00:00"/>
    <x v="6"/>
    <n v="572.39"/>
    <n v="578.72"/>
    <n v="566.05999999999995"/>
    <n v="573.71"/>
    <x v="836"/>
    <n v="-4.5319063638422008E-4"/>
    <n v="18933003.710000001"/>
    <s v="SEC05"/>
    <x v="3"/>
  </r>
  <r>
    <d v="2025-04-09T00:00:00"/>
    <x v="6"/>
    <n v="570.05999999999995"/>
    <n v="578.96"/>
    <n v="561.16"/>
    <n v="570.42999999999995"/>
    <x v="837"/>
    <n v="-5.7500482092458088E-3"/>
    <n v="12761659.959999999"/>
    <s v="SEC05"/>
    <x v="3"/>
  </r>
  <r>
    <d v="2025-04-10T00:00:00"/>
    <x v="6"/>
    <n v="580.02"/>
    <n v="580.96"/>
    <n v="579.07000000000005"/>
    <n v="580.17999999999995"/>
    <x v="838"/>
    <n v="1.6805129442586785E-2"/>
    <n v="16780546.139999997"/>
    <s v="SEC05"/>
    <x v="3"/>
  </r>
  <r>
    <d v="2025-04-11T00:00:00"/>
    <x v="6"/>
    <n v="568.01"/>
    <n v="578.45000000000005"/>
    <n v="557.57000000000005"/>
    <n v="568.17999999999995"/>
    <x v="839"/>
    <n v="-2.1120067584216272E-2"/>
    <n v="5855663.0799999991"/>
    <s v="SEC05"/>
    <x v="3"/>
  </r>
  <r>
    <d v="2025-04-14T00:00:00"/>
    <x v="6"/>
    <n v="568.69000000000005"/>
    <n v="578.16"/>
    <n v="559.22"/>
    <n v="568.98"/>
    <x v="840"/>
    <n v="1.4060248163381282E-3"/>
    <n v="21750967.440000001"/>
    <s v="SEC05"/>
    <x v="3"/>
  </r>
  <r>
    <d v="2025-04-15T00:00:00"/>
    <x v="6"/>
    <n v="565.70000000000005"/>
    <n v="571.58000000000004"/>
    <n v="559.83000000000004"/>
    <n v="566.29999999999995"/>
    <x v="841"/>
    <n v="-4.7324739537348819E-3"/>
    <n v="11446055.6"/>
    <s v="SEC05"/>
    <x v="3"/>
  </r>
  <r>
    <d v="2025-04-16T00:00:00"/>
    <x v="6"/>
    <n v="577.64"/>
    <n v="578.52"/>
    <n v="576.76"/>
    <n v="577.02"/>
    <x v="842"/>
    <n v="1.8578212193684843E-2"/>
    <n v="3227849.88"/>
    <s v="SEC05"/>
    <x v="3"/>
  </r>
  <r>
    <d v="2025-04-17T00:00:00"/>
    <x v="6"/>
    <n v="583.79999999999995"/>
    <n v="586.24"/>
    <n v="581.36"/>
    <n v="581.52"/>
    <x v="843"/>
    <n v="7.7383408997111023E-3"/>
    <n v="17549692.079999998"/>
    <s v="SEC05"/>
    <x v="3"/>
  </r>
  <r>
    <d v="2025-04-18T00:00:00"/>
    <x v="6"/>
    <n v="579.82000000000005"/>
    <n v="584.94000000000005"/>
    <n v="574.70000000000005"/>
    <n v="577.38"/>
    <x v="844"/>
    <n v="-7.1703211056842742E-3"/>
    <n v="19592235.539999999"/>
    <s v="SEC05"/>
    <x v="3"/>
  </r>
  <r>
    <d v="2025-04-21T00:00:00"/>
    <x v="6"/>
    <n v="578.51"/>
    <n v="583.96"/>
    <n v="573.05999999999995"/>
    <n v="583.76"/>
    <x v="845"/>
    <n v="1.0929148965328209E-2"/>
    <n v="10726590"/>
    <s v="SEC05"/>
    <x v="3"/>
  </r>
  <r>
    <d v="2025-04-22T00:00:00"/>
    <x v="6"/>
    <n v="582.07000000000005"/>
    <n v="584.64"/>
    <n v="579.51"/>
    <n v="581.04999999999995"/>
    <x v="846"/>
    <n v="-4.6639703984167223E-3"/>
    <n v="21851547.349999998"/>
    <s v="SEC05"/>
    <x v="3"/>
  </r>
  <r>
    <d v="2025-04-23T00:00:00"/>
    <x v="6"/>
    <n v="588.88"/>
    <n v="595.84"/>
    <n v="581.91999999999996"/>
    <n v="588.54999999999995"/>
    <x v="847"/>
    <n v="1.2743182397417382E-2"/>
    <n v="27830763.849999998"/>
    <s v="SEC05"/>
    <x v="3"/>
  </r>
  <r>
    <d v="2025-04-24T00:00:00"/>
    <x v="6"/>
    <n v="587.01"/>
    <n v="591.80999999999995"/>
    <n v="582.21"/>
    <n v="586.94000000000005"/>
    <x v="848"/>
    <n v="-2.7430401744639992E-3"/>
    <n v="6911805.4400000004"/>
    <s v="SEC05"/>
    <x v="3"/>
  </r>
  <r>
    <d v="2025-04-25T00:00:00"/>
    <x v="6"/>
    <n v="591.54"/>
    <n v="595.75"/>
    <n v="587.33000000000004"/>
    <n v="594.92999999999995"/>
    <x v="849"/>
    <n v="1.3430151446388476E-2"/>
    <n v="5479305.2999999998"/>
    <s v="SEC05"/>
    <x v="3"/>
  </r>
  <r>
    <d v="2025-04-28T00:00:00"/>
    <x v="6"/>
    <n v="596.76"/>
    <n v="603.64"/>
    <n v="589.88"/>
    <n v="598.35"/>
    <x v="850"/>
    <n v="5.7157182251191992E-3"/>
    <n v="24442597.5"/>
    <s v="SEC05"/>
    <x v="3"/>
  </r>
  <r>
    <d v="2025-04-29T00:00:00"/>
    <x v="6"/>
    <n v="623.65"/>
    <n v="630.80999999999995"/>
    <n v="616.49"/>
    <n v="623.59"/>
    <x v="851"/>
    <n v="4.04753123045591E-2"/>
    <n v="7541697.46"/>
    <s v="SEC05"/>
    <x v="3"/>
  </r>
  <r>
    <d v="2025-04-30T00:00:00"/>
    <x v="6"/>
    <n v="623.32000000000005"/>
    <n v="634.89"/>
    <n v="611.74"/>
    <n v="623.32000000000005"/>
    <x v="852"/>
    <n v="-4.3316434576137747E-4"/>
    <n v="4885582.16"/>
    <s v="SEC05"/>
    <x v="3"/>
  </r>
  <r>
    <d v="2025-05-01T00:00:00"/>
    <x v="6"/>
    <n v="626.39"/>
    <n v="634.23"/>
    <n v="618.54999999999995"/>
    <n v="626.48"/>
    <x v="853"/>
    <n v="5.0440556761588047E-3"/>
    <n v="3756374.08"/>
    <s v="SEC05"/>
    <x v="3"/>
  </r>
  <r>
    <d v="2025-05-02T00:00:00"/>
    <x v="6"/>
    <n v="622.95000000000005"/>
    <n v="635.26"/>
    <n v="610.64"/>
    <n v="622.86"/>
    <x v="854"/>
    <n v="-5.8118999454131017E-3"/>
    <n v="9474323.4600000009"/>
    <s v="SEC05"/>
    <x v="3"/>
  </r>
  <r>
    <d v="2025-05-05T00:00:00"/>
    <x v="6"/>
    <n v="625.52"/>
    <n v="633.76"/>
    <n v="617.28"/>
    <n v="623.03"/>
    <x v="855"/>
    <n v="2.7286005489295714E-4"/>
    <n v="15718423.869999999"/>
    <s v="SEC05"/>
    <x v="3"/>
  </r>
  <r>
    <d v="2025-05-06T00:00:00"/>
    <x v="6"/>
    <n v="605.57000000000005"/>
    <n v="609.47"/>
    <n v="601.67999999999995"/>
    <n v="602.32000000000005"/>
    <x v="856"/>
    <n v="-3.4383716296984862E-2"/>
    <n v="17800965.280000001"/>
    <s v="SEC05"/>
    <x v="3"/>
  </r>
  <r>
    <d v="2025-05-07T00:00:00"/>
    <x v="6"/>
    <n v="608.86"/>
    <n v="616.1"/>
    <n v="601.62"/>
    <n v="606.01"/>
    <x v="857"/>
    <n v="6.0890084322039913E-3"/>
    <n v="24607036.050000001"/>
    <s v="SEC05"/>
    <x v="3"/>
  </r>
  <r>
    <d v="2025-05-08T00:00:00"/>
    <x v="6"/>
    <n v="612.99"/>
    <n v="621.1"/>
    <n v="604.89"/>
    <n v="616.5"/>
    <x v="858"/>
    <n v="1.701540957015411E-2"/>
    <n v="16346497.5"/>
    <s v="SEC05"/>
    <x v="3"/>
  </r>
  <r>
    <d v="2025-05-09T00:00:00"/>
    <x v="6"/>
    <n v="618.54999999999995"/>
    <n v="625.92999999999995"/>
    <n v="611.16999999999996"/>
    <n v="619.73"/>
    <x v="859"/>
    <n v="5.2119471382699213E-3"/>
    <n v="20608501.420000002"/>
    <s v="SEC05"/>
    <x v="3"/>
  </r>
  <r>
    <d v="2025-05-12T00:00:00"/>
    <x v="6"/>
    <n v="615.22"/>
    <n v="621.58000000000004"/>
    <n v="608.85"/>
    <n v="609.70000000000005"/>
    <x v="860"/>
    <n v="-1.6450713465638794E-2"/>
    <n v="1168794.9000000001"/>
    <s v="SEC05"/>
    <x v="3"/>
  </r>
  <r>
    <d v="2025-05-13T00:00:00"/>
    <x v="6"/>
    <n v="600.82000000000005"/>
    <n v="605.61"/>
    <n v="596.04"/>
    <n v="603.72"/>
    <x v="861"/>
    <n v="-9.9052540913006325E-3"/>
    <n v="24211586.880000003"/>
    <s v="SEC05"/>
    <x v="3"/>
  </r>
  <r>
    <d v="2025-05-14T00:00:00"/>
    <x v="6"/>
    <n v="582.57000000000005"/>
    <n v="587.76"/>
    <n v="577.39"/>
    <n v="585.65"/>
    <x v="862"/>
    <n v="-3.085460599334082E-2"/>
    <n v="6407596.6499999994"/>
    <s v="SEC05"/>
    <x v="3"/>
  </r>
  <r>
    <d v="2025-05-15T00:00:00"/>
    <x v="6"/>
    <n v="593.82000000000005"/>
    <n v="599.94000000000005"/>
    <n v="587.69000000000005"/>
    <n v="593.05999999999995"/>
    <x v="863"/>
    <n v="1.2494519947391442E-2"/>
    <n v="13126196.979999999"/>
    <s v="SEC05"/>
    <x v="3"/>
  </r>
  <r>
    <d v="2025-05-16T00:00:00"/>
    <x v="6"/>
    <n v="582.07000000000005"/>
    <n v="586.44000000000005"/>
    <n v="577.70000000000005"/>
    <n v="585.73"/>
    <x v="864"/>
    <n v="-1.2514298396872155E-2"/>
    <n v="7726950.1600000001"/>
    <s v="SEC05"/>
    <x v="3"/>
  </r>
  <r>
    <d v="2025-05-19T00:00:00"/>
    <x v="6"/>
    <n v="585.13"/>
    <n v="592.79999999999995"/>
    <n v="577.46"/>
    <n v="585.66"/>
    <x v="865"/>
    <n v="-1.1952327288879217E-4"/>
    <n v="13036205.939999999"/>
    <s v="SEC05"/>
    <x v="3"/>
  </r>
  <r>
    <d v="2025-05-20T00:00:00"/>
    <x v="6"/>
    <n v="583.30999999999995"/>
    <n v="589.98"/>
    <n v="576.64"/>
    <n v="584.66"/>
    <x v="866"/>
    <n v="-1.7103957855847845E-3"/>
    <n v="28220953.539999999"/>
    <s v="SEC05"/>
    <x v="3"/>
  </r>
  <r>
    <d v="2025-05-21T00:00:00"/>
    <x v="6"/>
    <n v="596.15"/>
    <n v="602.25"/>
    <n v="590.04999999999995"/>
    <n v="595.87"/>
    <x v="867"/>
    <n v="1.8812828301475217E-2"/>
    <n v="3702140.31"/>
    <s v="SEC05"/>
    <x v="3"/>
  </r>
  <r>
    <d v="2025-05-22T00:00:00"/>
    <x v="6"/>
    <n v="598.41999999999996"/>
    <n v="607.16999999999996"/>
    <n v="589.66999999999996"/>
    <n v="596.65"/>
    <x v="868"/>
    <n v="1.3072990865666183E-3"/>
    <n v="15823158"/>
    <s v="SEC05"/>
    <x v="3"/>
  </r>
  <r>
    <d v="2025-05-23T00:00:00"/>
    <x v="6"/>
    <n v="599.02"/>
    <n v="606.24"/>
    <n v="591.79999999999995"/>
    <n v="602.9"/>
    <x v="869"/>
    <n v="1.0366561618842262E-2"/>
    <n v="26268353"/>
    <s v="SEC05"/>
    <x v="3"/>
  </r>
  <r>
    <d v="2025-05-26T00:00:00"/>
    <x v="6"/>
    <n v="608.66"/>
    <n v="614.41"/>
    <n v="602.9"/>
    <n v="607.21"/>
    <x v="870"/>
    <n v="7.098038569852372E-3"/>
    <n v="7537297.7300000004"/>
    <s v="SEC05"/>
    <x v="3"/>
  </r>
  <r>
    <d v="2025-05-27T00:00:00"/>
    <x v="6"/>
    <n v="621.78"/>
    <n v="626.53"/>
    <n v="617.03"/>
    <n v="617.85"/>
    <x v="871"/>
    <n v="1.7221008335356454E-2"/>
    <n v="15145357.050000001"/>
    <s v="SEC05"/>
    <x v="3"/>
  </r>
  <r>
    <d v="2025-05-28T00:00:00"/>
    <x v="6"/>
    <n v="612.91999999999996"/>
    <n v="617.17999999999995"/>
    <n v="608.66"/>
    <n v="616.14"/>
    <x v="872"/>
    <n v="-2.7753432661408711E-3"/>
    <n v="18668425.859999999"/>
    <s v="SEC05"/>
    <x v="3"/>
  </r>
  <r>
    <d v="2025-05-29T00:00:00"/>
    <x v="6"/>
    <n v="628.16999999999996"/>
    <n v="634.08000000000004"/>
    <n v="622.26"/>
    <n v="630.97"/>
    <x v="873"/>
    <n v="2.3503494619395597E-2"/>
    <n v="14670052.5"/>
    <s v="SEC05"/>
    <x v="3"/>
  </r>
  <r>
    <d v="2025-05-30T00:00:00"/>
    <x v="6"/>
    <n v="611.52"/>
    <n v="618.13"/>
    <n v="604.91"/>
    <n v="615.53"/>
    <x v="874"/>
    <n v="-2.5084073887544158E-2"/>
    <n v="1392328.8599999999"/>
    <s v="SEC05"/>
    <x v="3"/>
  </r>
  <r>
    <d v="2025-06-02T00:00:00"/>
    <x v="6"/>
    <n v="624.28"/>
    <n v="630.87"/>
    <n v="617.69000000000005"/>
    <n v="622.37"/>
    <x v="875"/>
    <n v="1.0990246959204383E-2"/>
    <n v="25610525.5"/>
    <s v="SEC05"/>
    <x v="3"/>
  </r>
  <r>
    <d v="2025-06-03T00:00:00"/>
    <x v="6"/>
    <n v="612.58000000000004"/>
    <n v="619.28"/>
    <n v="605.87"/>
    <n v="615.75"/>
    <x v="876"/>
    <n v="-1.0751116524563549E-2"/>
    <n v="18380137.5"/>
    <s v="SEC05"/>
    <x v="3"/>
  </r>
  <r>
    <d v="2025-06-04T00:00:00"/>
    <x v="6"/>
    <n v="606.78"/>
    <n v="612.46"/>
    <n v="601.1"/>
    <n v="612.09"/>
    <x v="877"/>
    <n v="-5.9795128167425835E-3"/>
    <n v="29276264.700000003"/>
    <s v="SEC05"/>
    <x v="3"/>
  </r>
  <r>
    <d v="2025-06-05T00:00:00"/>
    <x v="6"/>
    <n v="616.54"/>
    <n v="624.08000000000004"/>
    <n v="609.01"/>
    <n v="616.64"/>
    <x v="878"/>
    <n v="7.3786974571872646E-3"/>
    <n v="21581166.719999999"/>
    <s v="SEC05"/>
    <x v="3"/>
  </r>
  <r>
    <d v="2025-06-06T00:00:00"/>
    <x v="6"/>
    <n v="626.04"/>
    <n v="631.69000000000005"/>
    <n v="620.39"/>
    <n v="621.16999999999996"/>
    <x v="879"/>
    <n v="7.2926896018802789E-3"/>
    <n v="9761686.5499999989"/>
    <s v="SEC05"/>
    <x v="3"/>
  </r>
  <r>
    <d v="2025-06-09T00:00:00"/>
    <x v="6"/>
    <n v="620.39"/>
    <n v="626.91999999999996"/>
    <n v="613.87"/>
    <n v="626.08000000000004"/>
    <x v="880"/>
    <n v="7.842448249425123E-3"/>
    <n v="8910370.5600000005"/>
    <s v="SEC05"/>
    <x v="3"/>
  </r>
  <r>
    <d v="2025-06-10T00:00:00"/>
    <x v="6"/>
    <n v="614.02"/>
    <n v="623.63"/>
    <n v="604.41"/>
    <n v="615.39"/>
    <x v="881"/>
    <n v="-1.7371098002892563E-2"/>
    <n v="16307835"/>
    <s v="SEC05"/>
    <x v="3"/>
  </r>
  <r>
    <d v="2025-06-11T00:00:00"/>
    <x v="6"/>
    <n v="624.99"/>
    <n v="627.94000000000005"/>
    <n v="622.04"/>
    <n v="626.88"/>
    <x v="882"/>
    <n v="1.8328866768759586E-2"/>
    <n v="14699709.119999999"/>
    <s v="SEC05"/>
    <x v="3"/>
  </r>
  <r>
    <d v="2025-06-12T00:00:00"/>
    <x v="6"/>
    <n v="621.49"/>
    <n v="625.11"/>
    <n v="617.87"/>
    <n v="619.95000000000005"/>
    <x v="883"/>
    <n v="-1.1178320832325107E-2"/>
    <n v="16328243.100000001"/>
    <s v="SEC05"/>
    <x v="3"/>
  </r>
  <r>
    <d v="2025-06-13T00:00:00"/>
    <x v="6"/>
    <n v="615.36"/>
    <n v="619.89"/>
    <n v="610.83000000000004"/>
    <n v="614.13"/>
    <x v="884"/>
    <n v="-9.4768208685458294E-3"/>
    <n v="28840158.93"/>
    <s v="SEC05"/>
    <x v="3"/>
  </r>
  <r>
    <d v="2025-06-16T00:00:00"/>
    <x v="6"/>
    <n v="616.98"/>
    <n v="620.16"/>
    <n v="613.79999999999995"/>
    <n v="619.23"/>
    <x v="885"/>
    <n v="8.2360350758200057E-3"/>
    <n v="12718364.970000001"/>
    <s v="SEC05"/>
    <x v="3"/>
  </r>
  <r>
    <d v="2025-06-17T00:00:00"/>
    <x v="6"/>
    <n v="618.47"/>
    <n v="629.16"/>
    <n v="607.78"/>
    <n v="617.15"/>
    <x v="886"/>
    <n v="-3.3703313619056E-3"/>
    <n v="9330690.8499999996"/>
    <s v="SEC05"/>
    <x v="3"/>
  </r>
  <r>
    <d v="2025-06-18T00:00:00"/>
    <x v="6"/>
    <n v="620.35"/>
    <n v="621.12"/>
    <n v="619.59"/>
    <n v="619.70000000000005"/>
    <x v="887"/>
    <n v="4.1148943036954464E-3"/>
    <n v="22129487"/>
    <s v="SEC05"/>
    <x v="3"/>
  </r>
  <r>
    <d v="2025-06-19T00:00:00"/>
    <x v="6"/>
    <n v="606.08000000000004"/>
    <n v="612.86"/>
    <n v="599.29"/>
    <n v="603.23"/>
    <x v="888"/>
    <n v="-2.7303018749067563E-2"/>
    <n v="15972927.17"/>
    <s v="SEC05"/>
    <x v="3"/>
  </r>
  <r>
    <d v="2025-06-20T00:00:00"/>
    <x v="6"/>
    <n v="606.75"/>
    <n v="608.20000000000005"/>
    <n v="605.29"/>
    <n v="605.54"/>
    <x v="889"/>
    <n v="3.8147768933512989E-3"/>
    <n v="10919702.819999998"/>
    <s v="SEC05"/>
    <x v="3"/>
  </r>
  <r>
    <d v="2025-06-23T00:00:00"/>
    <x v="6"/>
    <n v="606.75"/>
    <n v="610.46"/>
    <n v="603.03"/>
    <n v="607.35"/>
    <x v="890"/>
    <n v="2.9801597102166117E-3"/>
    <n v="11187387"/>
    <s v="SEC05"/>
    <x v="3"/>
  </r>
  <r>
    <d v="2025-06-24T00:00:00"/>
    <x v="6"/>
    <n v="602.71"/>
    <n v="604.36"/>
    <n v="601.05999999999995"/>
    <n v="603.6"/>
    <x v="891"/>
    <n v="-6.2127236580516894E-3"/>
    <n v="7453856.4000000004"/>
    <s v="SEC05"/>
    <x v="3"/>
  </r>
  <r>
    <d v="2025-06-25T00:00:00"/>
    <x v="6"/>
    <n v="588.89"/>
    <n v="598.74"/>
    <n v="579.04"/>
    <n v="588.16999999999996"/>
    <x v="892"/>
    <n v="-2.623391196422814E-2"/>
    <n v="7912651.0099999998"/>
    <s v="SEC05"/>
    <x v="3"/>
  </r>
  <r>
    <d v="2025-06-26T00:00:00"/>
    <x v="6"/>
    <n v="590.9"/>
    <n v="596.89"/>
    <n v="584.91999999999996"/>
    <n v="586.74"/>
    <x v="893"/>
    <n v="-2.437195350581092E-3"/>
    <n v="9874834.1999999993"/>
    <s v="SEC05"/>
    <x v="3"/>
  </r>
  <r>
    <d v="2025-06-27T00:00:00"/>
    <x v="6"/>
    <n v="582.32000000000005"/>
    <n v="587.76"/>
    <n v="576.87"/>
    <n v="586.6"/>
    <x v="894"/>
    <n v="-2.3866348448685023E-4"/>
    <n v="27022315.600000001"/>
    <s v="SEC05"/>
    <x v="3"/>
  </r>
  <r>
    <d v="2025-06-30T00:00:00"/>
    <x v="6"/>
    <n v="582.63"/>
    <n v="590.62"/>
    <n v="574.65"/>
    <n v="584.03"/>
    <x v="895"/>
    <n v="-4.4004588805370446E-3"/>
    <n v="6828478.7599999998"/>
    <s v="SEC05"/>
    <x v="3"/>
  </r>
  <r>
    <d v="2025-01-01T00:00:00"/>
    <x v="7"/>
    <n v="991.39"/>
    <n v="1001.97"/>
    <n v="980.81"/>
    <n v="986.3"/>
    <x v="896"/>
    <n v="0"/>
    <n v="25074704.899999999"/>
    <s v="SEC03"/>
    <x v="4"/>
  </r>
  <r>
    <d v="2025-01-02T00:00:00"/>
    <x v="7"/>
    <n v="972.56"/>
    <n v="983.93"/>
    <n v="961.19"/>
    <n v="977.8"/>
    <x v="897"/>
    <n v="-8.692984250357947E-3"/>
    <n v="2895265.8"/>
    <s v="SEC03"/>
    <x v="4"/>
  </r>
  <r>
    <d v="2025-01-03T00:00:00"/>
    <x v="7"/>
    <n v="985.67"/>
    <n v="997.34"/>
    <n v="974"/>
    <n v="990.54"/>
    <x v="898"/>
    <n v="1.2861671411553303E-2"/>
    <n v="14120147.699999999"/>
    <s v="SEC03"/>
    <x v="4"/>
  </r>
  <r>
    <d v="2025-01-06T00:00:00"/>
    <x v="7"/>
    <n v="997.05"/>
    <n v="1010.86"/>
    <n v="983.24"/>
    <n v="992.23"/>
    <x v="543"/>
    <n v="1.7032341291838128E-3"/>
    <n v="21222807.469999999"/>
    <s v="SEC03"/>
    <x v="4"/>
  </r>
  <r>
    <d v="2025-01-07T00:00:00"/>
    <x v="7"/>
    <n v="990.9"/>
    <n v="992.43"/>
    <n v="989.37"/>
    <n v="991.2"/>
    <x v="899"/>
    <n v="-1.0391444713478337E-3"/>
    <n v="44523712.800000004"/>
    <s v="SEC03"/>
    <x v="4"/>
  </r>
  <r>
    <d v="2025-01-08T00:00:00"/>
    <x v="7"/>
    <n v="999.71"/>
    <n v="1009.49"/>
    <n v="989.92"/>
    <n v="995.36"/>
    <x v="900"/>
    <n v="4.1793923806461662E-3"/>
    <n v="43156818.880000003"/>
    <s v="SEC03"/>
    <x v="4"/>
  </r>
  <r>
    <d v="2025-01-09T00:00:00"/>
    <x v="7"/>
    <n v="1000.31"/>
    <n v="1014.39"/>
    <n v="986.23"/>
    <n v="995.12"/>
    <x v="901"/>
    <n v="-2.4117694348421204E-4"/>
    <n v="32362297.52"/>
    <s v="SEC03"/>
    <x v="4"/>
  </r>
  <r>
    <d v="2025-01-10T00:00:00"/>
    <x v="7"/>
    <n v="1016.8"/>
    <n v="1018.78"/>
    <n v="1014.83"/>
    <n v="1014.93"/>
    <x v="902"/>
    <n v="1.9518587488792278E-2"/>
    <n v="32831970.569999997"/>
    <s v="SEC03"/>
    <x v="4"/>
  </r>
  <r>
    <d v="2025-01-13T00:00:00"/>
    <x v="7"/>
    <n v="1004.74"/>
    <n v="1018.95"/>
    <n v="990.53"/>
    <n v="1005.64"/>
    <x v="903"/>
    <n v="-9.2378982538482597E-3"/>
    <n v="33893084.920000002"/>
    <s v="SEC03"/>
    <x v="4"/>
  </r>
  <r>
    <d v="2025-01-14T00:00:00"/>
    <x v="7"/>
    <n v="995.94"/>
    <n v="1000.42"/>
    <n v="991.46"/>
    <n v="994.99"/>
    <x v="904"/>
    <n v="-1.0703625162061907E-2"/>
    <n v="5220712.53"/>
    <s v="SEC03"/>
    <x v="4"/>
  </r>
  <r>
    <d v="2025-01-15T00:00:00"/>
    <x v="7"/>
    <n v="978.62"/>
    <n v="994.02"/>
    <n v="963.22"/>
    <n v="978.03"/>
    <x v="905"/>
    <n v="-1.7340981360490001E-2"/>
    <n v="11445885.09"/>
    <s v="SEC03"/>
    <x v="4"/>
  </r>
  <r>
    <d v="2025-01-16T00:00:00"/>
    <x v="7"/>
    <n v="974.75"/>
    <n v="986.87"/>
    <n v="962.64"/>
    <n v="971.63"/>
    <x v="906"/>
    <n v="-6.5868694873562747E-3"/>
    <n v="13012068.959999999"/>
    <s v="SEC03"/>
    <x v="4"/>
  </r>
  <r>
    <d v="2025-01-17T00:00:00"/>
    <x v="7"/>
    <n v="961"/>
    <n v="971.3"/>
    <n v="950.7"/>
    <n v="958.58"/>
    <x v="907"/>
    <n v="-1.3613887208162026E-2"/>
    <n v="7002426.9000000004"/>
    <s v="SEC03"/>
    <x v="4"/>
  </r>
  <r>
    <d v="2025-01-20T00:00:00"/>
    <x v="7"/>
    <n v="966.25"/>
    <n v="977.91"/>
    <n v="954.59"/>
    <n v="961.45"/>
    <x v="908"/>
    <n v="2.9850746268656764E-3"/>
    <n v="12909389.15"/>
    <s v="SEC03"/>
    <x v="4"/>
  </r>
  <r>
    <d v="2025-01-21T00:00:00"/>
    <x v="7"/>
    <n v="967.65"/>
    <n v="979.42"/>
    <n v="955.89"/>
    <n v="961.93"/>
    <x v="909"/>
    <n v="4.9899680849947974E-4"/>
    <n v="3107033.9"/>
    <s v="SEC03"/>
    <x v="4"/>
  </r>
  <r>
    <d v="2025-01-22T00:00:00"/>
    <x v="7"/>
    <n v="946"/>
    <n v="951.2"/>
    <n v="940.81"/>
    <n v="949.17"/>
    <x v="910"/>
    <n v="-1.3443324167430482E-2"/>
    <n v="25795593.09"/>
    <s v="SEC03"/>
    <x v="4"/>
  </r>
  <r>
    <d v="2025-01-23T00:00:00"/>
    <x v="7"/>
    <n v="954.96"/>
    <n v="960"/>
    <n v="949.92"/>
    <n v="956.46"/>
    <x v="911"/>
    <n v="7.6218555924974143E-3"/>
    <n v="44991878.399999999"/>
    <s v="SEC03"/>
    <x v="4"/>
  </r>
  <r>
    <d v="2025-01-24T00:00:00"/>
    <x v="7"/>
    <n v="975.55"/>
    <n v="991.98"/>
    <n v="959.11"/>
    <n v="975.15"/>
    <x v="912"/>
    <n v="1.9166282110444487E-2"/>
    <n v="14412717"/>
    <s v="SEC03"/>
    <x v="4"/>
  </r>
  <r>
    <d v="2025-01-27T00:00:00"/>
    <x v="7"/>
    <n v="981.78"/>
    <n v="994.19"/>
    <n v="969.38"/>
    <n v="979.79"/>
    <x v="913"/>
    <n v="4.7357086722664924E-3"/>
    <n v="38850633.079999998"/>
    <s v="SEC03"/>
    <x v="4"/>
  </r>
  <r>
    <d v="2025-01-28T00:00:00"/>
    <x v="7"/>
    <n v="950.95"/>
    <n v="958.47"/>
    <n v="943.42"/>
    <n v="949.12"/>
    <x v="914"/>
    <n v="-3.2314143627781483E-2"/>
    <n v="25532277.120000001"/>
    <s v="SEC03"/>
    <x v="4"/>
  </r>
  <r>
    <d v="2025-01-29T00:00:00"/>
    <x v="7"/>
    <n v="973.88"/>
    <n v="985.72"/>
    <n v="962.05"/>
    <n v="973.41"/>
    <x v="915"/>
    <n v="2.4953513935546137E-2"/>
    <n v="16801056.599999998"/>
    <s v="SEC03"/>
    <x v="4"/>
  </r>
  <r>
    <d v="2025-01-30T00:00:00"/>
    <x v="7"/>
    <n v="985.89"/>
    <n v="989.83"/>
    <n v="981.96"/>
    <n v="982.85"/>
    <x v="916"/>
    <n v="9.6047209645419487E-3"/>
    <n v="41702325.5"/>
    <s v="SEC03"/>
    <x v="4"/>
  </r>
  <r>
    <d v="2025-01-31T00:00:00"/>
    <x v="7"/>
    <n v="1004.86"/>
    <n v="1020.89"/>
    <n v="988.84"/>
    <n v="1007.61"/>
    <x v="917"/>
    <n v="2.4572999474002828E-2"/>
    <n v="14132737.859999999"/>
    <s v="SEC03"/>
    <x v="4"/>
  </r>
  <r>
    <d v="2025-02-03T00:00:00"/>
    <x v="7"/>
    <n v="1020.87"/>
    <n v="1033.3800000000001"/>
    <n v="1008.37"/>
    <n v="1021.8"/>
    <x v="918"/>
    <n v="1.3887257780387494E-2"/>
    <n v="44904022.799999997"/>
    <s v="SEC03"/>
    <x v="4"/>
  </r>
  <r>
    <d v="2025-02-04T00:00:00"/>
    <x v="7"/>
    <n v="1037.24"/>
    <n v="1047.33"/>
    <n v="1027.1500000000001"/>
    <n v="1038.8"/>
    <x v="919"/>
    <n v="1.6365036580670005E-2"/>
    <n v="8670863.5999999996"/>
    <s v="SEC03"/>
    <x v="4"/>
  </r>
  <r>
    <d v="2025-02-05T00:00:00"/>
    <x v="7"/>
    <n v="1033.24"/>
    <n v="1041.96"/>
    <n v="1024.51"/>
    <n v="1041.73"/>
    <x v="920"/>
    <n v="2.8126289921573378E-3"/>
    <n v="5904525.6399999997"/>
    <s v="SEC03"/>
    <x v="4"/>
  </r>
  <r>
    <d v="2025-02-06T00:00:00"/>
    <x v="7"/>
    <n v="1045.6199999999999"/>
    <n v="1054.74"/>
    <n v="1036.49"/>
    <n v="1038.54"/>
    <x v="921"/>
    <n v="-3.071619773913431E-3"/>
    <n v="36851553.359999999"/>
    <s v="SEC03"/>
    <x v="4"/>
  </r>
  <r>
    <d v="2025-02-07T00:00:00"/>
    <x v="7"/>
    <n v="1047.29"/>
    <n v="1053.3800000000001"/>
    <n v="1041.21"/>
    <n v="1043.69"/>
    <x v="922"/>
    <n v="4.9344153915435529E-3"/>
    <n v="36558373.32"/>
    <s v="SEC03"/>
    <x v="4"/>
  </r>
  <r>
    <d v="2025-02-10T00:00:00"/>
    <x v="7"/>
    <n v="1038.3699999999999"/>
    <n v="1046.77"/>
    <n v="1029.98"/>
    <n v="1034.6600000000001"/>
    <x v="923"/>
    <n v="-8.7275046875301757E-3"/>
    <n v="32349679.560000002"/>
    <s v="SEC03"/>
    <x v="4"/>
  </r>
  <r>
    <d v="2025-02-11T00:00:00"/>
    <x v="7"/>
    <n v="1039.08"/>
    <n v="1052.96"/>
    <n v="1025.2"/>
    <n v="1040.58"/>
    <x v="924"/>
    <n v="5.6891349055333039E-3"/>
    <n v="15620146.379999999"/>
    <s v="SEC03"/>
    <x v="4"/>
  </r>
  <r>
    <d v="2025-02-12T00:00:00"/>
    <x v="7"/>
    <n v="1004.46"/>
    <n v="1019.37"/>
    <n v="989.55"/>
    <n v="1006.94"/>
    <x v="925"/>
    <n v="-3.3408147456650716E-2"/>
    <n v="40296731.859999999"/>
    <s v="SEC03"/>
    <x v="4"/>
  </r>
  <r>
    <d v="2025-02-13T00:00:00"/>
    <x v="7"/>
    <n v="1007.03"/>
    <n v="1009.81"/>
    <n v="1004.25"/>
    <n v="1007.73"/>
    <x v="926"/>
    <n v="7.8394014269691646E-4"/>
    <n v="31907754.990000002"/>
    <s v="SEC03"/>
    <x v="4"/>
  </r>
  <r>
    <d v="2025-02-14T00:00:00"/>
    <x v="7"/>
    <n v="1018.61"/>
    <n v="1031.27"/>
    <n v="1005.95"/>
    <n v="1025.19"/>
    <x v="927"/>
    <n v="1.7030989377578826E-2"/>
    <n v="43766386.289999999"/>
    <s v="SEC03"/>
    <x v="4"/>
  </r>
  <r>
    <d v="2025-02-17T00:00:00"/>
    <x v="7"/>
    <n v="1034.08"/>
    <n v="1046.8499999999999"/>
    <n v="1021.32"/>
    <n v="1026.6500000000001"/>
    <x v="928"/>
    <n v="1.4221010081332842E-3"/>
    <n v="33280913.050000004"/>
    <s v="SEC03"/>
    <x v="4"/>
  </r>
  <r>
    <d v="2025-02-18T00:00:00"/>
    <x v="7"/>
    <n v="1050.3699999999999"/>
    <n v="1058.54"/>
    <n v="1042.2"/>
    <n v="1049.49"/>
    <x v="929"/>
    <n v="2.1762951528837737E-2"/>
    <n v="49668163.740000002"/>
    <s v="SEC03"/>
    <x v="4"/>
  </r>
  <r>
    <d v="2025-02-19T00:00:00"/>
    <x v="7"/>
    <n v="1047.18"/>
    <n v="1048.68"/>
    <n v="1045.69"/>
    <n v="1046.26"/>
    <x v="930"/>
    <n v="-3.0871867413453809E-3"/>
    <n v="23050154.059999999"/>
    <s v="SEC03"/>
    <x v="4"/>
  </r>
  <r>
    <d v="2025-02-20T00:00:00"/>
    <x v="7"/>
    <n v="1064.21"/>
    <n v="1080.78"/>
    <n v="1047.6400000000001"/>
    <n v="1059.81"/>
    <x v="931"/>
    <n v="1.2785310574536904E-2"/>
    <n v="32252137.919999998"/>
    <s v="SEC03"/>
    <x v="4"/>
  </r>
  <r>
    <d v="2025-02-21T00:00:00"/>
    <x v="7"/>
    <n v="1050.69"/>
    <n v="1060.51"/>
    <n v="1040.8699999999999"/>
    <n v="1048.4000000000001"/>
    <x v="932"/>
    <n v="-1.088325066768395E-2"/>
    <n v="22943185.600000001"/>
    <s v="SEC03"/>
    <x v="4"/>
  </r>
  <r>
    <d v="2025-02-24T00:00:00"/>
    <x v="7"/>
    <n v="1068.53"/>
    <n v="1077.25"/>
    <n v="1059.81"/>
    <n v="1061.44"/>
    <x v="933"/>
    <n v="1.2285197467591161E-2"/>
    <n v="47359329.920000002"/>
    <s v="SEC03"/>
    <x v="4"/>
  </r>
  <r>
    <d v="2025-02-25T00:00:00"/>
    <x v="7"/>
    <n v="1064.68"/>
    <n v="1072.28"/>
    <n v="1057.08"/>
    <n v="1064.8"/>
    <x v="934"/>
    <n v="3.155522163786533E-3"/>
    <n v="22512001.599999998"/>
    <s v="SEC03"/>
    <x v="4"/>
  </r>
  <r>
    <d v="2025-02-26T00:00:00"/>
    <x v="7"/>
    <n v="1056.74"/>
    <n v="1063.21"/>
    <n v="1050.27"/>
    <n v="1062.1099999999999"/>
    <x v="935"/>
    <n v="-2.5326943536922303E-3"/>
    <n v="10459659.279999999"/>
    <s v="SEC03"/>
    <x v="4"/>
  </r>
  <r>
    <d v="2025-02-27T00:00:00"/>
    <x v="7"/>
    <n v="1033.3699999999999"/>
    <n v="1045.6400000000001"/>
    <n v="1021.1"/>
    <n v="1028.47"/>
    <x v="199"/>
    <n v="-3.2708781004793401E-2"/>
    <n v="22531720.760000002"/>
    <s v="SEC03"/>
    <x v="4"/>
  </r>
  <r>
    <d v="2025-02-28T00:00:00"/>
    <x v="7"/>
    <n v="1031.78"/>
    <n v="1042.67"/>
    <n v="1020.88"/>
    <n v="1025.42"/>
    <x v="936"/>
    <n v="-2.9743909812564163E-3"/>
    <n v="44320703.240000002"/>
    <s v="SEC03"/>
    <x v="4"/>
  </r>
  <r>
    <d v="2025-03-03T00:00:00"/>
    <x v="7"/>
    <n v="1023.93"/>
    <n v="1031.3"/>
    <n v="1016.57"/>
    <n v="1028.43"/>
    <x v="937"/>
    <n v="2.9267913226957505E-3"/>
    <n v="11279820.24"/>
    <s v="SEC03"/>
    <x v="4"/>
  </r>
  <r>
    <d v="2025-03-04T00:00:00"/>
    <x v="7"/>
    <n v="1040.21"/>
    <n v="1045.2"/>
    <n v="1035.22"/>
    <n v="1039.47"/>
    <x v="938"/>
    <n v="1.0620797137002475E-2"/>
    <n v="10680554.25"/>
    <s v="SEC03"/>
    <x v="4"/>
  </r>
  <r>
    <d v="2025-03-05T00:00:00"/>
    <x v="7"/>
    <n v="1051.72"/>
    <n v="1062.8800000000001"/>
    <n v="1040.56"/>
    <n v="1060.3699999999999"/>
    <x v="939"/>
    <n v="1.9710101191093548E-2"/>
    <n v="1490880.2199999997"/>
    <s v="SEC03"/>
    <x v="4"/>
  </r>
  <r>
    <d v="2025-03-06T00:00:00"/>
    <x v="7"/>
    <n v="1093.5899999999999"/>
    <n v="1099.73"/>
    <n v="1087.45"/>
    <n v="1088.1600000000001"/>
    <x v="940"/>
    <n v="2.553852374650804E-2"/>
    <n v="49006373.760000005"/>
    <s v="SEC03"/>
    <x v="4"/>
  </r>
  <r>
    <d v="2025-03-07T00:00:00"/>
    <x v="7"/>
    <n v="1106.33"/>
    <n v="1112.54"/>
    <n v="1100.1199999999999"/>
    <n v="1105.6500000000001"/>
    <x v="941"/>
    <n v="1.5818749152082492E-2"/>
    <n v="4000241.7"/>
    <s v="SEC03"/>
    <x v="4"/>
  </r>
  <r>
    <d v="2025-03-10T00:00:00"/>
    <x v="7"/>
    <n v="1094.6500000000001"/>
    <n v="1112.52"/>
    <n v="1076.78"/>
    <n v="1098.1099999999999"/>
    <x v="942"/>
    <n v="-6.8663430803837426E-3"/>
    <n v="44688684.559999995"/>
    <s v="SEC03"/>
    <x v="4"/>
  </r>
  <r>
    <d v="2025-03-11T00:00:00"/>
    <x v="7"/>
    <n v="1095.07"/>
    <n v="1114.47"/>
    <n v="1075.67"/>
    <n v="1094.1600000000001"/>
    <x v="943"/>
    <n v="-3.6100753089126068E-3"/>
    <n v="17199101.040000003"/>
    <s v="SEC03"/>
    <x v="4"/>
  </r>
  <r>
    <d v="2025-03-12T00:00:00"/>
    <x v="7"/>
    <n v="1101.6400000000001"/>
    <n v="1109.94"/>
    <n v="1093.3399999999999"/>
    <n v="1104.6500000000001"/>
    <x v="944"/>
    <n v="9.4962205223373987E-3"/>
    <n v="27662645.300000001"/>
    <s v="SEC03"/>
    <x v="4"/>
  </r>
  <r>
    <d v="2025-03-13T00:00:00"/>
    <x v="7"/>
    <n v="1104.95"/>
    <n v="1113.1500000000001"/>
    <n v="1096.75"/>
    <n v="1112.17"/>
    <x v="945"/>
    <n v="6.7615562369062118E-3"/>
    <n v="30600245.380000003"/>
    <s v="SEC03"/>
    <x v="4"/>
  </r>
  <r>
    <d v="2025-03-14T00:00:00"/>
    <x v="7"/>
    <n v="1130.3900000000001"/>
    <n v="1140.75"/>
    <n v="1120.02"/>
    <n v="1135.5"/>
    <x v="946"/>
    <n v="2.0546014971378184E-2"/>
    <n v="52785988.5"/>
    <s v="SEC03"/>
    <x v="4"/>
  </r>
  <r>
    <d v="2025-03-17T00:00:00"/>
    <x v="7"/>
    <n v="1168.6099999999999"/>
    <n v="1172.9000000000001"/>
    <n v="1164.31"/>
    <n v="1171.81"/>
    <x v="947"/>
    <n v="3.0986252037446298E-2"/>
    <n v="28015633.48"/>
    <s v="SEC03"/>
    <x v="4"/>
  </r>
  <r>
    <d v="2025-03-18T00:00:00"/>
    <x v="7"/>
    <n v="1207.47"/>
    <n v="1215.06"/>
    <n v="1199.8900000000001"/>
    <n v="1206.05"/>
    <x v="948"/>
    <n v="2.8390199411301366E-2"/>
    <n v="46978059.600000001"/>
    <s v="SEC03"/>
    <x v="4"/>
  </r>
  <r>
    <d v="2025-03-19T00:00:00"/>
    <x v="7"/>
    <n v="1225.49"/>
    <n v="1240.17"/>
    <n v="1210.82"/>
    <n v="1229.25"/>
    <x v="949"/>
    <n v="1.8873296725645756E-2"/>
    <n v="60145973.25"/>
    <s v="SEC03"/>
    <x v="4"/>
  </r>
  <r>
    <d v="2025-03-20T00:00:00"/>
    <x v="7"/>
    <n v="1240.97"/>
    <n v="1251.07"/>
    <n v="1230.8699999999999"/>
    <n v="1237.75"/>
    <x v="950"/>
    <n v="6.8672995354473847E-3"/>
    <n v="37298358.5"/>
    <s v="SEC03"/>
    <x v="4"/>
  </r>
  <r>
    <d v="2025-03-21T00:00:00"/>
    <x v="7"/>
    <n v="1261.96"/>
    <n v="1269.23"/>
    <n v="1254.7"/>
    <n v="1259.27"/>
    <x v="951"/>
    <n v="1.7089266003319368E-2"/>
    <n v="60191846.729999997"/>
    <s v="SEC03"/>
    <x v="4"/>
  </r>
  <r>
    <d v="2025-03-24T00:00:00"/>
    <x v="7"/>
    <n v="1296.32"/>
    <n v="1307.5"/>
    <n v="1285.1400000000001"/>
    <n v="1286.22"/>
    <x v="952"/>
    <n v="2.0952869649049188E-2"/>
    <n v="49251936.240000002"/>
    <s v="SEC03"/>
    <x v="4"/>
  </r>
  <r>
    <d v="2025-03-25T00:00:00"/>
    <x v="7"/>
    <n v="1280.31"/>
    <n v="1289.79"/>
    <n v="1270.83"/>
    <n v="1284.1400000000001"/>
    <x v="953"/>
    <n v="-1.6197610852398702E-3"/>
    <n v="8106775.8200000003"/>
    <s v="SEC03"/>
    <x v="4"/>
  </r>
  <r>
    <d v="2025-03-26T00:00:00"/>
    <x v="7"/>
    <n v="1280.01"/>
    <n v="1290.07"/>
    <n v="1269.95"/>
    <n v="1275.8499999999999"/>
    <x v="954"/>
    <n v="-6.4976290316261249E-3"/>
    <n v="7510928.9499999993"/>
    <s v="SEC03"/>
    <x v="4"/>
  </r>
  <r>
    <d v="2025-03-27T00:00:00"/>
    <x v="7"/>
    <n v="1272.8"/>
    <n v="1288.3599999999999"/>
    <n v="1257.25"/>
    <n v="1263.8800000000001"/>
    <x v="955"/>
    <n v="-9.4708358388453009E-3"/>
    <n v="5760765.04"/>
    <s v="SEC03"/>
    <x v="4"/>
  </r>
  <r>
    <d v="2025-03-28T00:00:00"/>
    <x v="7"/>
    <n v="1241.97"/>
    <n v="1255.81"/>
    <n v="1228.1400000000001"/>
    <n v="1250.3"/>
    <x v="956"/>
    <n v="-1.0861393265616377E-2"/>
    <n v="46689952.899999999"/>
    <s v="SEC03"/>
    <x v="4"/>
  </r>
  <r>
    <d v="2025-03-31T00:00:00"/>
    <x v="7"/>
    <n v="1230.05"/>
    <n v="1240.43"/>
    <n v="1219.68"/>
    <n v="1229.01"/>
    <x v="957"/>
    <n v="-1.7322885900033332E-2"/>
    <n v="50250531.869999997"/>
    <s v="SEC03"/>
    <x v="4"/>
  </r>
  <r>
    <d v="2025-04-01T00:00:00"/>
    <x v="7"/>
    <n v="1228.8699999999999"/>
    <n v="1243.1199999999999"/>
    <n v="1214.6199999999999"/>
    <n v="1233.18"/>
    <x v="958"/>
    <n v="3.3815014839683358E-3"/>
    <n v="40202901.18"/>
    <s v="SEC03"/>
    <x v="4"/>
  </r>
  <r>
    <d v="2025-04-02T00:00:00"/>
    <x v="7"/>
    <n v="1221.06"/>
    <n v="1234.53"/>
    <n v="1207.5899999999999"/>
    <n v="1218.03"/>
    <x v="959"/>
    <n v="-1.2438117287751608E-2"/>
    <n v="29353304.969999999"/>
    <s v="SEC03"/>
    <x v="4"/>
  </r>
  <r>
    <d v="2025-04-03T00:00:00"/>
    <x v="7"/>
    <n v="1200.93"/>
    <n v="1217.06"/>
    <n v="1184.79"/>
    <n v="1206.3499999999999"/>
    <x v="960"/>
    <n v="-9.6820988933560455E-3"/>
    <n v="24240396.899999999"/>
    <s v="SEC03"/>
    <x v="4"/>
  </r>
  <r>
    <d v="2025-04-04T00:00:00"/>
    <x v="7"/>
    <n v="1220.9100000000001"/>
    <n v="1237.6300000000001"/>
    <n v="1204.2"/>
    <n v="1217.3499999999999"/>
    <x v="961"/>
    <n v="9.0360208649936345E-3"/>
    <n v="3234498.9499999997"/>
    <s v="SEC03"/>
    <x v="4"/>
  </r>
  <r>
    <d v="2025-04-07T00:00:00"/>
    <x v="7"/>
    <n v="1222.01"/>
    <n v="1226.22"/>
    <n v="1217.8"/>
    <n v="1220.43"/>
    <x v="962"/>
    <n v="2.5237006628812423E-3"/>
    <n v="5081870.5200000005"/>
    <s v="SEC03"/>
    <x v="4"/>
  </r>
  <r>
    <d v="2025-04-08T00:00:00"/>
    <x v="7"/>
    <n v="1235.49"/>
    <n v="1249.81"/>
    <n v="1221.18"/>
    <n v="1227.3399999999999"/>
    <x v="963"/>
    <n v="5.6300617595775046E-3"/>
    <n v="25284431.34"/>
    <s v="SEC03"/>
    <x v="4"/>
  </r>
  <r>
    <d v="2025-04-09T00:00:00"/>
    <x v="7"/>
    <n v="1245.21"/>
    <n v="1255.17"/>
    <n v="1235.26"/>
    <n v="1248.93"/>
    <x v="964"/>
    <n v="1.7286797498658968E-2"/>
    <n v="6934059.3600000003"/>
    <s v="SEC03"/>
    <x v="4"/>
  </r>
  <r>
    <d v="2025-04-10T00:00:00"/>
    <x v="7"/>
    <n v="1259.57"/>
    <n v="1270.7"/>
    <n v="1248.44"/>
    <n v="1262.9100000000001"/>
    <x v="965"/>
    <n v="1.106967242321307E-2"/>
    <n v="4636142.6100000003"/>
    <s v="SEC03"/>
    <x v="4"/>
  </r>
  <r>
    <d v="2025-04-11T00:00:00"/>
    <x v="7"/>
    <n v="1291.8"/>
    <n v="1310.3900000000001"/>
    <n v="1273.21"/>
    <n v="1287.6199999999999"/>
    <x v="966"/>
    <n v="1.919044438576584E-2"/>
    <n v="6080141.6399999997"/>
    <s v="SEC03"/>
    <x v="4"/>
  </r>
  <r>
    <d v="2025-04-14T00:00:00"/>
    <x v="7"/>
    <n v="1289.43"/>
    <n v="1307.5999999999999"/>
    <n v="1271.26"/>
    <n v="1289.22"/>
    <x v="967"/>
    <n v="1.2410604861855512E-3"/>
    <n v="28927518.359999999"/>
    <s v="SEC03"/>
    <x v="4"/>
  </r>
  <r>
    <d v="2025-04-15T00:00:00"/>
    <x v="7"/>
    <n v="1311.6"/>
    <n v="1326.39"/>
    <n v="1296.81"/>
    <n v="1315.99"/>
    <x v="968"/>
    <n v="2.0342099863980716E-2"/>
    <n v="43752719.530000001"/>
    <s v="SEC03"/>
    <x v="4"/>
  </r>
  <r>
    <d v="2025-04-16T00:00:00"/>
    <x v="7"/>
    <n v="1320.41"/>
    <n v="1343.58"/>
    <n v="1297.24"/>
    <n v="1322.28"/>
    <x v="969"/>
    <n v="4.756934991075993E-3"/>
    <n v="28343071.800000001"/>
    <s v="SEC03"/>
    <x v="4"/>
  </r>
  <r>
    <d v="2025-04-17T00:00:00"/>
    <x v="7"/>
    <n v="1322.26"/>
    <n v="1335.54"/>
    <n v="1308.99"/>
    <n v="1325.41"/>
    <x v="970"/>
    <n v="2.3615334123026905E-3"/>
    <n v="37623088.260000005"/>
    <s v="SEC03"/>
    <x v="4"/>
  </r>
  <r>
    <d v="2025-04-18T00:00:00"/>
    <x v="7"/>
    <n v="1347.42"/>
    <n v="1371.43"/>
    <n v="1323.42"/>
    <n v="1350.36"/>
    <x v="971"/>
    <n v="1.8476554400307932E-2"/>
    <n v="4217174.2799999993"/>
    <s v="SEC03"/>
    <x v="4"/>
  </r>
  <r>
    <d v="2025-04-21T00:00:00"/>
    <x v="7"/>
    <n v="1335.54"/>
    <n v="1353.54"/>
    <n v="1317.54"/>
    <n v="1335.92"/>
    <x v="972"/>
    <n v="-1.0809030480866988E-2"/>
    <n v="64412718.720000006"/>
    <s v="SEC03"/>
    <x v="4"/>
  </r>
  <r>
    <d v="2025-04-22T00:00:00"/>
    <x v="7"/>
    <n v="1372.2"/>
    <n v="1379.09"/>
    <n v="1365.31"/>
    <n v="1370.74"/>
    <x v="973"/>
    <n v="2.5402337423581375E-2"/>
    <n v="19191730.739999998"/>
    <s v="SEC03"/>
    <x v="4"/>
  </r>
  <r>
    <d v="2025-04-23T00:00:00"/>
    <x v="7"/>
    <n v="1371.67"/>
    <n v="1383.22"/>
    <n v="1360.12"/>
    <n v="1366.21"/>
    <x v="974"/>
    <n v="-3.3157420894298628E-3"/>
    <n v="67182010.540000007"/>
    <s v="SEC03"/>
    <x v="4"/>
  </r>
  <r>
    <d v="2025-04-24T00:00:00"/>
    <x v="7"/>
    <n v="1340.07"/>
    <n v="1359.09"/>
    <n v="1321.04"/>
    <n v="1345.72"/>
    <x v="975"/>
    <n v="-1.5226049995541427E-2"/>
    <n v="49440407.079999998"/>
    <s v="SEC03"/>
    <x v="4"/>
  </r>
  <r>
    <d v="2025-04-25T00:00:00"/>
    <x v="7"/>
    <n v="1351.27"/>
    <n v="1360.71"/>
    <n v="1341.82"/>
    <n v="1357.17"/>
    <x v="976"/>
    <n v="8.4366733717957543E-3"/>
    <n v="40940390.219999999"/>
    <s v="SEC03"/>
    <x v="4"/>
  </r>
  <r>
    <d v="2025-04-28T00:00:00"/>
    <x v="7"/>
    <n v="1349.15"/>
    <n v="1371.52"/>
    <n v="1326.79"/>
    <n v="1351.05"/>
    <x v="977"/>
    <n v="-4.5298101476630168E-3"/>
    <n v="35927121.600000001"/>
    <s v="SEC03"/>
    <x v="4"/>
  </r>
  <r>
    <d v="2025-04-29T00:00:00"/>
    <x v="7"/>
    <n v="1391.16"/>
    <n v="1405.45"/>
    <n v="1376.87"/>
    <n v="1386.31"/>
    <x v="978"/>
    <n v="2.5434426643391444E-2"/>
    <n v="10788264.42"/>
    <s v="SEC03"/>
    <x v="4"/>
  </r>
  <r>
    <d v="2025-04-30T00:00:00"/>
    <x v="7"/>
    <n v="1370.2"/>
    <n v="1379.56"/>
    <n v="1360.85"/>
    <n v="1379.1"/>
    <x v="979"/>
    <n v="-5.2280472772098015E-3"/>
    <n v="12835283.699999999"/>
    <s v="SEC03"/>
    <x v="4"/>
  </r>
  <r>
    <d v="2025-05-01T00:00:00"/>
    <x v="7"/>
    <n v="1388.49"/>
    <n v="1394.2"/>
    <n v="1382.78"/>
    <n v="1384.9"/>
    <x v="980"/>
    <n v="4.1880280164634139E-3"/>
    <n v="54490275.400000006"/>
    <s v="SEC03"/>
    <x v="4"/>
  </r>
  <r>
    <d v="2025-05-02T00:00:00"/>
    <x v="7"/>
    <n v="1349.54"/>
    <n v="1361.22"/>
    <n v="1337.85"/>
    <n v="1360.57"/>
    <x v="981"/>
    <n v="-1.788221113209916E-2"/>
    <n v="30155673.48"/>
    <s v="SEC03"/>
    <x v="4"/>
  </r>
  <r>
    <d v="2025-05-05T00:00:00"/>
    <x v="7"/>
    <n v="1375.46"/>
    <n v="1383.28"/>
    <n v="1367.63"/>
    <n v="1374.91"/>
    <x v="982"/>
    <n v="1.0429773585180225E-2"/>
    <n v="5418520.3100000005"/>
    <s v="SEC03"/>
    <x v="4"/>
  </r>
  <r>
    <d v="2025-05-06T00:00:00"/>
    <x v="7"/>
    <n v="1361.04"/>
    <n v="1385.48"/>
    <n v="1336.6"/>
    <n v="1361.83"/>
    <x v="983"/>
    <n v="-9.6047230564755923E-3"/>
    <n v="63822162.949999996"/>
    <s v="SEC03"/>
    <x v="4"/>
  </r>
  <r>
    <d v="2025-05-07T00:00:00"/>
    <x v="7"/>
    <n v="1383.91"/>
    <n v="1399.58"/>
    <n v="1368.23"/>
    <n v="1374.11"/>
    <x v="984"/>
    <n v="8.9366935689282317E-3"/>
    <n v="36220165.489999995"/>
    <s v="SEC03"/>
    <x v="4"/>
  </r>
  <r>
    <d v="2025-05-08T00:00:00"/>
    <x v="7"/>
    <n v="1369.51"/>
    <n v="1382.73"/>
    <n v="1356.29"/>
    <n v="1367.04"/>
    <x v="985"/>
    <n v="-5.1717579588014513E-3"/>
    <n v="12820101.119999999"/>
    <s v="SEC03"/>
    <x v="4"/>
  </r>
  <r>
    <d v="2025-05-09T00:00:00"/>
    <x v="7"/>
    <n v="1340.17"/>
    <n v="1348.09"/>
    <n v="1332.25"/>
    <n v="1332.55"/>
    <x v="986"/>
    <n v="-2.5882706089827782E-2"/>
    <n v="19555171.25"/>
    <s v="SEC03"/>
    <x v="4"/>
  </r>
  <r>
    <d v="2025-05-12T00:00:00"/>
    <x v="7"/>
    <n v="1335.95"/>
    <n v="1343.45"/>
    <n v="1328.45"/>
    <n v="1335.07"/>
    <x v="987"/>
    <n v="1.8875414772258998E-3"/>
    <n v="48213382.909999996"/>
    <s v="SEC03"/>
    <x v="4"/>
  </r>
  <r>
    <d v="2025-05-13T00:00:00"/>
    <x v="7"/>
    <n v="1339.39"/>
    <n v="1352.58"/>
    <n v="1326.21"/>
    <n v="1336.85"/>
    <x v="988"/>
    <n v="1.3314881998728152E-3"/>
    <n v="9193517.4499999993"/>
    <s v="SEC03"/>
    <x v="4"/>
  </r>
  <r>
    <d v="2025-05-14T00:00:00"/>
    <x v="7"/>
    <n v="1355.73"/>
    <n v="1366.81"/>
    <n v="1344.65"/>
    <n v="1352.09"/>
    <x v="989"/>
    <n v="1.1271439031425431E-2"/>
    <n v="7687983.7399999993"/>
    <s v="SEC03"/>
    <x v="4"/>
  </r>
  <r>
    <d v="2025-05-15T00:00:00"/>
    <x v="7"/>
    <n v="1370.46"/>
    <n v="1386.67"/>
    <n v="1354.24"/>
    <n v="1379.19"/>
    <x v="990"/>
    <n v="1.964921439395597E-2"/>
    <n v="18212203.949999999"/>
    <s v="SEC03"/>
    <x v="4"/>
  </r>
  <r>
    <d v="2025-05-16T00:00:00"/>
    <x v="7"/>
    <n v="1414.59"/>
    <n v="1418.65"/>
    <n v="1410.52"/>
    <n v="1413.16"/>
    <x v="991"/>
    <n v="2.4038325455008652E-2"/>
    <n v="24764215.84"/>
    <s v="SEC03"/>
    <x v="4"/>
  </r>
  <r>
    <d v="2025-05-19T00:00:00"/>
    <x v="7"/>
    <n v="1429.35"/>
    <n v="1452.75"/>
    <n v="1405.94"/>
    <n v="1428.97"/>
    <x v="992"/>
    <n v="1.1063913168226027E-2"/>
    <n v="25504256.559999999"/>
    <s v="SEC03"/>
    <x v="4"/>
  </r>
  <r>
    <d v="2025-05-20T00:00:00"/>
    <x v="7"/>
    <n v="1425.85"/>
    <n v="1440.82"/>
    <n v="1410.89"/>
    <n v="1434.33"/>
    <x v="993"/>
    <n v="3.736936409333905E-3"/>
    <n v="56977324.919999994"/>
    <s v="SEC03"/>
    <x v="4"/>
  </r>
  <r>
    <d v="2025-05-21T00:00:00"/>
    <x v="7"/>
    <n v="1407.65"/>
    <n v="1411.64"/>
    <n v="1403.66"/>
    <n v="1409.1"/>
    <x v="994"/>
    <n v="-1.7905045773898245E-2"/>
    <n v="42697139.099999994"/>
    <s v="SEC03"/>
    <x v="4"/>
  </r>
  <r>
    <d v="2025-05-22T00:00:00"/>
    <x v="7"/>
    <n v="1405.5"/>
    <n v="1422.57"/>
    <n v="1388.43"/>
    <n v="1413.03"/>
    <x v="995"/>
    <n v="2.7812572981465813E-3"/>
    <n v="41415909.299999997"/>
    <s v="SEC03"/>
    <x v="4"/>
  </r>
  <r>
    <d v="2025-05-23T00:00:00"/>
    <x v="7"/>
    <n v="1409.53"/>
    <n v="1423.19"/>
    <n v="1395.87"/>
    <n v="1417.2"/>
    <x v="996"/>
    <n v="2.942421676545352E-3"/>
    <n v="56534942.399999999"/>
    <s v="SEC03"/>
    <x v="4"/>
  </r>
  <r>
    <d v="2025-05-26T00:00:00"/>
    <x v="7"/>
    <n v="1415.57"/>
    <n v="1438.62"/>
    <n v="1392.53"/>
    <n v="1414"/>
    <x v="997"/>
    <n v="-2.2630834512022951E-3"/>
    <n v="34394136"/>
    <s v="SEC03"/>
    <x v="4"/>
  </r>
  <r>
    <d v="2025-05-27T00:00:00"/>
    <x v="7"/>
    <n v="1424.8"/>
    <n v="1435.19"/>
    <n v="1414.41"/>
    <n v="1425.66"/>
    <x v="990"/>
    <n v="8.1786681256401112E-3"/>
    <n v="18825840.300000001"/>
    <s v="SEC03"/>
    <x v="4"/>
  </r>
  <r>
    <d v="2025-05-28T00:00:00"/>
    <x v="7"/>
    <n v="1451.16"/>
    <n v="1462.28"/>
    <n v="1440.04"/>
    <n v="1446.29"/>
    <x v="998"/>
    <n v="1.4264082583714111E-2"/>
    <n v="5918218.6799999997"/>
    <s v="SEC03"/>
    <x v="4"/>
  </r>
  <r>
    <d v="2025-05-29T00:00:00"/>
    <x v="7"/>
    <n v="1432.45"/>
    <n v="1454.86"/>
    <n v="1410.03"/>
    <n v="1431.8"/>
    <x v="999"/>
    <n v="-1.0120128509568381E-2"/>
    <n v="37026348"/>
    <s v="SEC03"/>
    <x v="4"/>
  </r>
  <r>
    <d v="2025-05-30T00:00:00"/>
    <x v="7"/>
    <n v="1415.49"/>
    <n v="1421.4"/>
    <n v="1409.57"/>
    <n v="1417.17"/>
    <x v="1000"/>
    <n v="-1.0323390983438742E-2"/>
    <n v="37927720.710000001"/>
    <s v="SEC03"/>
    <x v="4"/>
  </r>
  <r>
    <d v="2025-06-02T00:00:00"/>
    <x v="7"/>
    <n v="1419.02"/>
    <n v="1426.56"/>
    <n v="1411.47"/>
    <n v="1415.02"/>
    <x v="1001"/>
    <n v="-1.5194131531710443E-3"/>
    <n v="57840357.519999996"/>
    <s v="SEC03"/>
    <x v="4"/>
  </r>
  <r>
    <d v="2025-06-03T00:00:00"/>
    <x v="7"/>
    <n v="1407.84"/>
    <n v="1427.67"/>
    <n v="1388"/>
    <n v="1404.43"/>
    <x v="104"/>
    <n v="-7.5404256531118805E-3"/>
    <n v="49966810.539999999"/>
    <s v="SEC03"/>
    <x v="4"/>
  </r>
  <r>
    <d v="2025-06-04T00:00:00"/>
    <x v="7"/>
    <n v="1382.95"/>
    <n v="1395.2"/>
    <n v="1370.69"/>
    <n v="1376.02"/>
    <x v="1002"/>
    <n v="-2.0646502231072283E-2"/>
    <n v="58878519.780000001"/>
    <s v="SEC03"/>
    <x v="4"/>
  </r>
  <r>
    <d v="2025-06-05T00:00:00"/>
    <x v="7"/>
    <n v="1367.75"/>
    <n v="1385.7"/>
    <n v="1349.8"/>
    <n v="1359.17"/>
    <x v="1003"/>
    <n v="-1.2397271864446616E-2"/>
    <n v="2298356.4700000002"/>
    <s v="SEC03"/>
    <x v="4"/>
  </r>
  <r>
    <d v="2025-06-06T00:00:00"/>
    <x v="7"/>
    <n v="1346.56"/>
    <n v="1362.53"/>
    <n v="1330.59"/>
    <n v="1338.55"/>
    <x v="1004"/>
    <n v="-1.5404728997796211E-2"/>
    <n v="43810741.5"/>
    <s v="SEC03"/>
    <x v="4"/>
  </r>
  <r>
    <d v="2025-06-09T00:00:00"/>
    <x v="7"/>
    <n v="1361.73"/>
    <n v="1370.59"/>
    <n v="1352.87"/>
    <n v="1359.41"/>
    <x v="1005"/>
    <n v="1.5344892269440512E-2"/>
    <n v="32307738.060000002"/>
    <s v="SEC03"/>
    <x v="4"/>
  </r>
  <r>
    <d v="2025-06-10T00:00:00"/>
    <x v="7"/>
    <n v="1398.24"/>
    <n v="1411.18"/>
    <n v="1385.3"/>
    <n v="1389.22"/>
    <x v="1006"/>
    <n v="2.1458084392680744E-2"/>
    <n v="25971467.900000002"/>
    <s v="SEC03"/>
    <x v="4"/>
  </r>
  <r>
    <d v="2025-06-11T00:00:00"/>
    <x v="7"/>
    <n v="1376.36"/>
    <n v="1393.1"/>
    <n v="1359.62"/>
    <n v="1370.51"/>
    <x v="1007"/>
    <n v="-1.3651852230191707E-2"/>
    <n v="36306180.409999996"/>
    <s v="SEC03"/>
    <x v="4"/>
  </r>
  <r>
    <d v="2025-06-12T00:00:00"/>
    <x v="7"/>
    <n v="1381.97"/>
    <n v="1398.42"/>
    <n v="1365.52"/>
    <n v="1380.3"/>
    <x v="1008"/>
    <n v="7.0926610157211935E-3"/>
    <n v="46992313.5"/>
    <s v="SEC03"/>
    <x v="4"/>
  </r>
  <r>
    <d v="2025-06-13T00:00:00"/>
    <x v="7"/>
    <n v="1401.49"/>
    <n v="1414.64"/>
    <n v="1388.35"/>
    <n v="1395.9"/>
    <x v="1009"/>
    <n v="1.1175585643670848E-2"/>
    <n v="43966662.300000004"/>
    <s v="SEC03"/>
    <x v="4"/>
  </r>
  <r>
    <d v="2025-06-16T00:00:00"/>
    <x v="7"/>
    <n v="1364.55"/>
    <n v="1371.05"/>
    <n v="1358.05"/>
    <n v="1370.23"/>
    <x v="1010"/>
    <n v="-1.8734081139662736E-2"/>
    <n v="65340787.780000001"/>
    <s v="SEC03"/>
    <x v="4"/>
  </r>
  <r>
    <d v="2025-06-17T00:00:00"/>
    <x v="7"/>
    <n v="1373.49"/>
    <n v="1400.49"/>
    <n v="1346.5"/>
    <n v="1373.34"/>
    <x v="1011"/>
    <n v="2.2645521138246177E-3"/>
    <n v="61093029.899999999"/>
    <s v="SEC03"/>
    <x v="4"/>
  </r>
  <r>
    <d v="2025-06-18T00:00:00"/>
    <x v="7"/>
    <n v="1412.41"/>
    <n v="1428.2"/>
    <n v="1396.61"/>
    <n v="1418.22"/>
    <x v="1012"/>
    <n v="3.1645301857257765E-2"/>
    <n v="15696858.960000001"/>
    <s v="SEC03"/>
    <x v="4"/>
  </r>
  <r>
    <d v="2025-06-19T00:00:00"/>
    <x v="7"/>
    <n v="1438.96"/>
    <n v="1455.49"/>
    <n v="1422.43"/>
    <n v="1430.71"/>
    <x v="1013"/>
    <n v="8.7299312928546032E-3"/>
    <n v="1841323.77"/>
    <s v="SEC03"/>
    <x v="4"/>
  </r>
  <r>
    <d v="2025-06-20T00:00:00"/>
    <x v="7"/>
    <n v="1429.61"/>
    <n v="1444.31"/>
    <n v="1414.9"/>
    <n v="1426.64"/>
    <x v="1014"/>
    <n v="-2.8528570627487917E-3"/>
    <n v="51545929.840000004"/>
    <s v="SEC03"/>
    <x v="4"/>
  </r>
  <r>
    <d v="2025-06-23T00:00:00"/>
    <x v="7"/>
    <n v="1419.27"/>
    <n v="1435.79"/>
    <n v="1402.75"/>
    <n v="1416.94"/>
    <x v="1015"/>
    <n v="-6.8457379987861486E-3"/>
    <n v="59476056.5"/>
    <s v="SEC03"/>
    <x v="4"/>
  </r>
  <r>
    <d v="2025-06-24T00:00:00"/>
    <x v="7"/>
    <n v="1371.49"/>
    <n v="1387.19"/>
    <n v="1355.8"/>
    <n v="1381.62"/>
    <x v="1016"/>
    <n v="-2.5564192759224797E-2"/>
    <n v="5772408.3599999994"/>
    <s v="SEC03"/>
    <x v="4"/>
  </r>
  <r>
    <d v="2025-06-25T00:00:00"/>
    <x v="7"/>
    <n v="1392.25"/>
    <n v="1397.92"/>
    <n v="1386.57"/>
    <n v="1390.16"/>
    <x v="1017"/>
    <n v="6.1431777637107887E-3"/>
    <n v="38405950.32"/>
    <s v="SEC03"/>
    <x v="4"/>
  </r>
  <r>
    <d v="2025-06-26T00:00:00"/>
    <x v="7"/>
    <n v="1426.17"/>
    <n v="1442.23"/>
    <n v="1410.12"/>
    <n v="1425.04"/>
    <x v="1018"/>
    <n v="2.4476505922640685E-2"/>
    <n v="51902806.879999995"/>
    <s v="SEC03"/>
    <x v="4"/>
  </r>
  <r>
    <d v="2025-06-27T00:00:00"/>
    <x v="7"/>
    <n v="1410.54"/>
    <n v="1424.13"/>
    <n v="1396.96"/>
    <n v="1410.84"/>
    <x v="1019"/>
    <n v="-1.0064925859771517E-2"/>
    <n v="11477183.399999999"/>
    <s v="SEC03"/>
    <x v="4"/>
  </r>
  <r>
    <d v="2025-06-30T00:00:00"/>
    <x v="7"/>
    <n v="1378.34"/>
    <n v="1385.28"/>
    <n v="1371.39"/>
    <n v="1377.18"/>
    <x v="1020"/>
    <n v="-2.4441249509867886E-2"/>
    <n v="33380088.84"/>
    <s v="SEC03"/>
    <x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PF000008"/>
    <s v="COMP006"/>
    <d v="2025-01-10T00:00:00"/>
    <n v="896"/>
    <s v="COMP001"/>
    <n v="791.89"/>
    <n v="709533.44"/>
  </r>
  <r>
    <s v="PF000010"/>
    <s v="COMP007"/>
    <d v="2025-02-18T00:00:00"/>
    <n v="916"/>
    <s v="COMP001"/>
    <n v="769.29"/>
    <n v="704669.64"/>
  </r>
  <r>
    <s v="PF000002"/>
    <s v="COMP008"/>
    <d v="2025-02-19T00:00:00"/>
    <n v="809"/>
    <s v="COMP001"/>
    <n v="781.13"/>
    <n v="631934.17000000004"/>
  </r>
  <r>
    <s v="PF000008"/>
    <s v="COMP004"/>
    <d v="2025-02-21T00:00:00"/>
    <n v="345"/>
    <s v="COMP001"/>
    <n v="792.41"/>
    <n v="273381.45"/>
  </r>
  <r>
    <s v="PF000009"/>
    <s v="COMP003"/>
    <d v="2025-02-27T00:00:00"/>
    <n v="479"/>
    <s v="COMP001"/>
    <n v="769.96"/>
    <n v="368810.84"/>
  </r>
  <r>
    <s v="PF000001"/>
    <s v="COMP004"/>
    <d v="2025-02-28T00:00:00"/>
    <n v="908"/>
    <s v="COMP001"/>
    <n v="757.19"/>
    <n v="687528.52"/>
  </r>
  <r>
    <s v="PF000007"/>
    <s v="COMP006"/>
    <d v="2025-03-21T00:00:00"/>
    <n v="833"/>
    <s v="COMP001"/>
    <n v="757"/>
    <n v="630581"/>
  </r>
  <r>
    <s v="PF000007"/>
    <s v="COMP003"/>
    <d v="2025-04-16T00:00:00"/>
    <n v="202"/>
    <s v="COMP001"/>
    <n v="800.85"/>
    <n v="161771.70000000001"/>
  </r>
  <r>
    <s v="PF000004"/>
    <s v="COMP001"/>
    <d v="2025-04-29T00:00:00"/>
    <n v="618"/>
    <s v="COMP001"/>
    <n v="832.62"/>
    <n v="514559.16"/>
  </r>
  <r>
    <s v="PF000005"/>
    <s v="COMP001"/>
    <d v="2025-06-05T00:00:00"/>
    <n v="934"/>
    <s v="COMP001"/>
    <n v="760.7"/>
    <n v="710493.8"/>
  </r>
  <r>
    <s v="PF000008"/>
    <s v="COMP006"/>
    <d v="2025-01-10T00:00:00"/>
    <n v="896"/>
    <s v="COMP002"/>
    <n v="1177.96"/>
    <n v="1055452.1600000001"/>
  </r>
  <r>
    <s v="PF000010"/>
    <s v="COMP007"/>
    <d v="2025-02-18T00:00:00"/>
    <n v="916"/>
    <s v="COMP002"/>
    <n v="1200.9100000000001"/>
    <n v="1100033.56"/>
  </r>
  <r>
    <s v="PF000002"/>
    <s v="COMP008"/>
    <d v="2025-02-19T00:00:00"/>
    <n v="809"/>
    <s v="COMP002"/>
    <n v="1210.21"/>
    <n v="979059.89"/>
  </r>
  <r>
    <s v="PF000008"/>
    <s v="COMP004"/>
    <d v="2025-02-21T00:00:00"/>
    <n v="345"/>
    <s v="COMP002"/>
    <n v="1232.58"/>
    <n v="425240.1"/>
  </r>
  <r>
    <s v="PF000009"/>
    <s v="COMP003"/>
    <d v="2025-02-27T00:00:00"/>
    <n v="479"/>
    <s v="COMP002"/>
    <n v="1266.29"/>
    <n v="606552.91"/>
  </r>
  <r>
    <s v="PF000001"/>
    <s v="COMP004"/>
    <d v="2025-02-28T00:00:00"/>
    <n v="908"/>
    <s v="COMP002"/>
    <n v="1268.45"/>
    <n v="1151752.6000000001"/>
  </r>
  <r>
    <s v="PF000007"/>
    <s v="COMP006"/>
    <d v="2025-03-21T00:00:00"/>
    <n v="833"/>
    <s v="COMP002"/>
    <n v="1271.97"/>
    <n v="1059551.01"/>
  </r>
  <r>
    <s v="PF000007"/>
    <s v="COMP003"/>
    <d v="2025-04-16T00:00:00"/>
    <n v="202"/>
    <s v="COMP002"/>
    <n v="1280.4100000000001"/>
    <n v="258642.82"/>
  </r>
  <r>
    <s v="PF000004"/>
    <s v="COMP001"/>
    <d v="2025-04-29T00:00:00"/>
    <n v="618"/>
    <s v="COMP002"/>
    <n v="1230.19"/>
    <n v="760257.42"/>
  </r>
  <r>
    <s v="PF000005"/>
    <s v="COMP001"/>
    <d v="2025-06-05T00:00:00"/>
    <n v="934"/>
    <s v="COMP002"/>
    <n v="1194.03"/>
    <n v="1115224.02"/>
  </r>
  <r>
    <s v="PF000008"/>
    <s v="COMP006"/>
    <d v="2025-01-10T00:00:00"/>
    <n v="896"/>
    <s v="COMP003"/>
    <n v="1974.95"/>
    <n v="1769555.2"/>
  </r>
  <r>
    <s v="PF000010"/>
    <s v="COMP007"/>
    <d v="2025-02-18T00:00:00"/>
    <n v="916"/>
    <s v="COMP003"/>
    <n v="2180.9299999999998"/>
    <n v="1997731.88"/>
  </r>
  <r>
    <s v="PF000002"/>
    <s v="COMP008"/>
    <d v="2025-02-19T00:00:00"/>
    <n v="809"/>
    <s v="COMP003"/>
    <n v="2163.65"/>
    <n v="1750392.85"/>
  </r>
  <r>
    <s v="PF000008"/>
    <s v="COMP004"/>
    <d v="2025-02-21T00:00:00"/>
    <n v="345"/>
    <s v="COMP003"/>
    <n v="2105.5300000000002"/>
    <n v="726407.85000000009"/>
  </r>
  <r>
    <s v="PF000009"/>
    <s v="COMP003"/>
    <d v="2025-02-27T00:00:00"/>
    <n v="479"/>
    <s v="COMP003"/>
    <n v="2133.59"/>
    <n v="1021989.6100000001"/>
  </r>
  <r>
    <s v="PF000001"/>
    <s v="COMP004"/>
    <d v="2025-02-28T00:00:00"/>
    <n v="908"/>
    <s v="COMP003"/>
    <n v="2133.86"/>
    <n v="1937544.8800000001"/>
  </r>
  <r>
    <s v="PF000007"/>
    <s v="COMP006"/>
    <d v="2025-03-21T00:00:00"/>
    <n v="833"/>
    <s v="COMP003"/>
    <n v="2161.1"/>
    <n v="1800196.2999999998"/>
  </r>
  <r>
    <s v="PF000007"/>
    <s v="COMP003"/>
    <d v="2025-04-16T00:00:00"/>
    <n v="202"/>
    <s v="COMP003"/>
    <n v="2198.52"/>
    <n v="444101.04"/>
  </r>
  <r>
    <s v="PF000004"/>
    <s v="COMP001"/>
    <d v="2025-04-29T00:00:00"/>
    <n v="618"/>
    <s v="COMP003"/>
    <n v="2105.06"/>
    <n v="1300927.08"/>
  </r>
  <r>
    <s v="PF000005"/>
    <s v="COMP001"/>
    <d v="2025-06-05T00:00:00"/>
    <n v="934"/>
    <s v="COMP003"/>
    <n v="2177.64"/>
    <n v="2033915.7599999998"/>
  </r>
  <r>
    <s v="PF000008"/>
    <s v="COMP006"/>
    <d v="2025-01-10T00:00:00"/>
    <n v="896"/>
    <s v="COMP004"/>
    <n v="616.4"/>
    <n v="552294.40000000002"/>
  </r>
  <r>
    <s v="PF000010"/>
    <s v="COMP007"/>
    <d v="2025-02-18T00:00:00"/>
    <n v="916"/>
    <s v="COMP004"/>
    <n v="641.42999999999995"/>
    <n v="587549.88"/>
  </r>
  <r>
    <s v="PF000002"/>
    <s v="COMP008"/>
    <d v="2025-02-19T00:00:00"/>
    <n v="809"/>
    <s v="COMP004"/>
    <n v="637.09"/>
    <n v="515405.81"/>
  </r>
  <r>
    <s v="PF000008"/>
    <s v="COMP004"/>
    <d v="2025-02-21T00:00:00"/>
    <n v="345"/>
    <s v="COMP004"/>
    <n v="625.79"/>
    <n v="215897.55"/>
  </r>
  <r>
    <s v="PF000009"/>
    <s v="COMP003"/>
    <d v="2025-02-27T00:00:00"/>
    <n v="479"/>
    <s v="COMP004"/>
    <n v="667.89"/>
    <n v="319919.31"/>
  </r>
  <r>
    <s v="PF000001"/>
    <s v="COMP004"/>
    <d v="2025-02-28T00:00:00"/>
    <n v="908"/>
    <s v="COMP004"/>
    <n v="663.41"/>
    <n v="602376.28"/>
  </r>
  <r>
    <s v="PF000007"/>
    <s v="COMP006"/>
    <d v="2025-03-21T00:00:00"/>
    <n v="833"/>
    <s v="COMP004"/>
    <n v="627.16999999999996"/>
    <n v="522432.61"/>
  </r>
  <r>
    <s v="PF000007"/>
    <s v="COMP003"/>
    <d v="2025-04-16T00:00:00"/>
    <n v="202"/>
    <s v="COMP004"/>
    <n v="640.33000000000004"/>
    <n v="129346.66"/>
  </r>
  <r>
    <s v="PF000004"/>
    <s v="COMP001"/>
    <d v="2025-04-29T00:00:00"/>
    <n v="618"/>
    <s v="COMP004"/>
    <n v="667.69"/>
    <n v="412632.42000000004"/>
  </r>
  <r>
    <s v="PF000005"/>
    <s v="COMP001"/>
    <d v="2025-06-05T00:00:00"/>
    <n v="934"/>
    <s v="COMP004"/>
    <n v="662.9"/>
    <n v="619148.6"/>
  </r>
  <r>
    <s v="PF000008"/>
    <s v="COMP006"/>
    <d v="2025-01-10T00:00:00"/>
    <n v="896"/>
    <s v="COMP005"/>
    <n v="233.42"/>
    <n v="209144.31999999998"/>
  </r>
  <r>
    <s v="PF000010"/>
    <s v="COMP007"/>
    <d v="2025-02-18T00:00:00"/>
    <n v="916"/>
    <s v="COMP005"/>
    <n v="232.89"/>
    <n v="213327.24"/>
  </r>
  <r>
    <s v="PF000002"/>
    <s v="COMP008"/>
    <d v="2025-02-19T00:00:00"/>
    <n v="809"/>
    <s v="COMP005"/>
    <n v="234.43"/>
    <n v="189653.87"/>
  </r>
  <r>
    <s v="PF000008"/>
    <s v="COMP004"/>
    <d v="2025-02-21T00:00:00"/>
    <n v="345"/>
    <s v="COMP005"/>
    <n v="236.74"/>
    <n v="81675.3"/>
  </r>
  <r>
    <s v="PF000009"/>
    <s v="COMP003"/>
    <d v="2025-02-27T00:00:00"/>
    <n v="479"/>
    <s v="COMP005"/>
    <n v="237.27"/>
    <n v="113652.33"/>
  </r>
  <r>
    <s v="PF000001"/>
    <s v="COMP004"/>
    <d v="2025-02-28T00:00:00"/>
    <n v="908"/>
    <s v="COMP005"/>
    <n v="240.91"/>
    <n v="218746.28"/>
  </r>
  <r>
    <s v="PF000007"/>
    <s v="COMP006"/>
    <d v="2025-03-21T00:00:00"/>
    <n v="833"/>
    <s v="COMP005"/>
    <n v="248.78"/>
    <n v="207233.74"/>
  </r>
  <r>
    <s v="PF000007"/>
    <s v="COMP003"/>
    <d v="2025-04-16T00:00:00"/>
    <n v="202"/>
    <s v="COMP005"/>
    <n v="256.88"/>
    <n v="51889.760000000002"/>
  </r>
  <r>
    <s v="PF000004"/>
    <s v="COMP001"/>
    <d v="2025-04-29T00:00:00"/>
    <n v="618"/>
    <s v="COMP005"/>
    <n v="257.76"/>
    <n v="159295.67999999999"/>
  </r>
  <r>
    <s v="PF000005"/>
    <s v="COMP001"/>
    <d v="2025-06-05T00:00:00"/>
    <n v="934"/>
    <s v="COMP005"/>
    <n v="254.87"/>
    <n v="238048.58000000002"/>
  </r>
  <r>
    <s v="PF000008"/>
    <s v="COMP006"/>
    <d v="2025-01-10T00:00:00"/>
    <n v="896"/>
    <s v="COMP006"/>
    <n v="239.08"/>
    <n v="214215.68000000002"/>
  </r>
  <r>
    <s v="PF000010"/>
    <s v="COMP007"/>
    <d v="2025-02-18T00:00:00"/>
    <n v="916"/>
    <s v="COMP006"/>
    <n v="235.43"/>
    <n v="215653.88"/>
  </r>
  <r>
    <s v="PF000002"/>
    <s v="COMP008"/>
    <d v="2025-02-19T00:00:00"/>
    <n v="809"/>
    <s v="COMP006"/>
    <n v="242.07"/>
    <n v="195834.63"/>
  </r>
  <r>
    <s v="PF000008"/>
    <s v="COMP004"/>
    <d v="2025-02-21T00:00:00"/>
    <n v="345"/>
    <s v="COMP006"/>
    <n v="236.34"/>
    <n v="81537.3"/>
  </r>
  <r>
    <s v="PF000009"/>
    <s v="COMP003"/>
    <d v="2025-02-27T00:00:00"/>
    <n v="479"/>
    <s v="COMP006"/>
    <n v="238.69"/>
    <n v="114332.51"/>
  </r>
  <r>
    <s v="PF000001"/>
    <s v="COMP004"/>
    <d v="2025-02-28T00:00:00"/>
    <n v="908"/>
    <s v="COMP006"/>
    <n v="240.43"/>
    <n v="218310.44"/>
  </r>
  <r>
    <s v="PF000007"/>
    <s v="COMP006"/>
    <d v="2025-03-21T00:00:00"/>
    <n v="833"/>
    <s v="COMP006"/>
    <n v="231.31"/>
    <n v="192681.23"/>
  </r>
  <r>
    <s v="PF000007"/>
    <s v="COMP003"/>
    <d v="2025-04-16T00:00:00"/>
    <n v="202"/>
    <s v="COMP006"/>
    <n v="244.46"/>
    <n v="49380.92"/>
  </r>
  <r>
    <s v="PF000004"/>
    <s v="COMP001"/>
    <d v="2025-04-29T00:00:00"/>
    <n v="618"/>
    <s v="COMP006"/>
    <n v="244.91"/>
    <n v="151354.38"/>
  </r>
  <r>
    <s v="PF000005"/>
    <s v="COMP001"/>
    <d v="2025-06-05T00:00:00"/>
    <n v="934"/>
    <s v="COMP006"/>
    <n v="242.47"/>
    <n v="226466.98"/>
  </r>
  <r>
    <s v="PF000008"/>
    <s v="COMP006"/>
    <d v="2025-01-10T00:00:00"/>
    <n v="896"/>
    <s v="COMP007"/>
    <n v="480.63"/>
    <n v="430644.47999999998"/>
  </r>
  <r>
    <s v="PF000010"/>
    <s v="COMP007"/>
    <d v="2025-02-18T00:00:00"/>
    <n v="916"/>
    <s v="COMP007"/>
    <n v="544.79999999999995"/>
    <n v="499036.79999999993"/>
  </r>
  <r>
    <s v="PF000002"/>
    <s v="COMP008"/>
    <d v="2025-02-19T00:00:00"/>
    <n v="809"/>
    <s v="COMP007"/>
    <n v="545.39"/>
    <n v="441220.51"/>
  </r>
  <r>
    <s v="PF000008"/>
    <s v="COMP004"/>
    <d v="2025-02-21T00:00:00"/>
    <n v="345"/>
    <s v="COMP007"/>
    <n v="544.47"/>
    <n v="187842.15000000002"/>
  </r>
  <r>
    <s v="PF000009"/>
    <s v="COMP003"/>
    <d v="2025-02-27T00:00:00"/>
    <n v="479"/>
    <s v="COMP007"/>
    <n v="556.44000000000005"/>
    <n v="266534.76"/>
  </r>
  <r>
    <s v="PF000001"/>
    <s v="COMP004"/>
    <d v="2025-02-28T00:00:00"/>
    <n v="908"/>
    <s v="COMP007"/>
    <n v="568.62"/>
    <n v="516306.96"/>
  </r>
  <r>
    <s v="PF000007"/>
    <s v="COMP006"/>
    <d v="2025-03-21T00:00:00"/>
    <n v="833"/>
    <s v="COMP007"/>
    <n v="586.42999999999995"/>
    <n v="488496.18999999994"/>
  </r>
  <r>
    <s v="PF000007"/>
    <s v="COMP003"/>
    <d v="2025-04-16T00:00:00"/>
    <n v="202"/>
    <s v="COMP007"/>
    <n v="577.02"/>
    <n v="116558.04"/>
  </r>
  <r>
    <s v="PF000004"/>
    <s v="COMP001"/>
    <d v="2025-04-29T00:00:00"/>
    <n v="618"/>
    <s v="COMP007"/>
    <n v="623.59"/>
    <n v="385378.62"/>
  </r>
  <r>
    <s v="PF000005"/>
    <s v="COMP001"/>
    <d v="2025-06-05T00:00:00"/>
    <n v="934"/>
    <s v="COMP007"/>
    <n v="616.64"/>
    <n v="575941.76"/>
  </r>
  <r>
    <s v="PF000008"/>
    <s v="COMP006"/>
    <d v="2025-01-10T00:00:00"/>
    <n v="896"/>
    <s v="COMP008"/>
    <n v="1014.93"/>
    <n v="909377.27999999991"/>
  </r>
  <r>
    <s v="PF000010"/>
    <s v="COMP007"/>
    <d v="2025-02-18T00:00:00"/>
    <n v="916"/>
    <s v="COMP008"/>
    <n v="1049.49"/>
    <n v="961332.84"/>
  </r>
  <r>
    <s v="PF000002"/>
    <s v="COMP008"/>
    <d v="2025-02-19T00:00:00"/>
    <n v="809"/>
    <s v="COMP008"/>
    <n v="1046.26"/>
    <n v="846424.34"/>
  </r>
  <r>
    <s v="PF000008"/>
    <s v="COMP004"/>
    <d v="2025-02-21T00:00:00"/>
    <n v="345"/>
    <s v="COMP008"/>
    <n v="1048.4000000000001"/>
    <n v="361698.00000000006"/>
  </r>
  <r>
    <s v="PF000009"/>
    <s v="COMP003"/>
    <d v="2025-02-27T00:00:00"/>
    <n v="479"/>
    <s v="COMP008"/>
    <n v="1028.47"/>
    <n v="492637.13"/>
  </r>
  <r>
    <s v="PF000001"/>
    <s v="COMP004"/>
    <d v="2025-02-28T00:00:00"/>
    <n v="908"/>
    <s v="COMP008"/>
    <n v="1025.42"/>
    <n v="931081.3600000001"/>
  </r>
  <r>
    <s v="PF000007"/>
    <s v="COMP006"/>
    <d v="2025-03-21T00:00:00"/>
    <n v="833"/>
    <s v="COMP008"/>
    <n v="1259.27"/>
    <n v="1048971.9099999999"/>
  </r>
  <r>
    <s v="PF000007"/>
    <s v="COMP003"/>
    <d v="2025-04-16T00:00:00"/>
    <n v="202"/>
    <s v="COMP008"/>
    <n v="1322.28"/>
    <n v="267100.56"/>
  </r>
  <r>
    <s v="PF000004"/>
    <s v="COMP001"/>
    <d v="2025-04-29T00:00:00"/>
    <n v="618"/>
    <s v="COMP008"/>
    <n v="1386.31"/>
    <n v="856739.58"/>
  </r>
  <r>
    <s v="PF000005"/>
    <s v="COMP001"/>
    <d v="2025-06-05T00:00:00"/>
    <n v="934"/>
    <s v="COMP008"/>
    <n v="1359.17"/>
    <n v="1269464.7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d v="2025-01-01T00:00:00"/>
    <d v="2025-06-30T00:00:00"/>
    <n v="717274.88"/>
    <n v="716683.52"/>
    <n v="-8.2445379935790583E-2"/>
    <n v="-8.2445379935790588E-4"/>
    <n v="-5.0824453799357912E-2"/>
    <n v="0.16095558741129645"/>
    <n v="0.31064469897669933"/>
    <n v="17.05"/>
    <n v="799.87"/>
    <n v="2.1315963844124668"/>
  </r>
  <r>
    <x v="1"/>
    <d v="2025-01-01T00:00:00"/>
    <d v="2025-06-30T00:00:00"/>
    <n v="1063476"/>
    <n v="1122832.8"/>
    <n v="5.581395348837213"/>
    <n v="5.5813953488372134E-2"/>
    <n v="5.8139534883721311E-3"/>
    <n v="0.16095558741129645"/>
    <n v="0.31064469897669933"/>
    <n v="17.600000000000001"/>
    <n v="1225.8"/>
    <n v="1.4357970305106871"/>
  </r>
  <r>
    <x v="2"/>
    <d v="2025-01-01T00:00:00"/>
    <d v="2025-06-30T00:00:00"/>
    <n v="1592095.82"/>
    <n v="1837813.3900000001"/>
    <n v="15.433591804794769"/>
    <n v="0.15433591804794769"/>
    <n v="0.10433591804794769"/>
    <n v="0.16095558741129645"/>
    <n v="0.31064469897669933"/>
    <n v="12.5"/>
    <n v="2271.71"/>
    <n v="0.55024629023951122"/>
  </r>
  <r>
    <x v="3"/>
    <d v="2025-01-01T00:00:00"/>
    <d v="2025-06-30T00:00:00"/>
    <n v="207179.4"/>
    <n v="234972.6"/>
    <n v="13.415040298408051"/>
    <n v="0.13415040298408051"/>
    <n v="8.4150402984080511E-2"/>
    <n v="0.16095558741129645"/>
    <n v="0.31064469897669933"/>
    <n v="0"/>
    <n v="681.08"/>
    <n v="0"/>
  </r>
  <r>
    <x v="4"/>
    <d v="2025-01-01T00:00:00"/>
    <d v="2025-06-30T00:00:00"/>
    <n v="110035.88"/>
    <n v="118878.22"/>
    <n v="8.0358697544837163"/>
    <n v="8.0358697544837154E-2"/>
    <n v="3.0358697544837152E-2"/>
    <n v="0.16095558741129645"/>
    <n v="0.31064469897669933"/>
    <n v="0"/>
    <n v="248.18"/>
    <n v="0"/>
  </r>
  <r>
    <x v="5"/>
    <d v="2025-01-01T00:00:00"/>
    <d v="2025-06-30T00:00:00"/>
    <n v="227953.40000000002"/>
    <n v="201921.04"/>
    <n v="-11.42003584943239"/>
    <n v="-0.11420035849432389"/>
    <n v="-0.16420035849432391"/>
    <n v="0.16095558741129645"/>
    <n v="0.31064469897669944"/>
    <n v="26.72"/>
    <n v="222.38"/>
    <n v="12.015469016997931"/>
  </r>
  <r>
    <x v="6"/>
    <d v="2025-01-01T00:00:00"/>
    <d v="2025-06-30T00:00:00"/>
    <n v="377357.33"/>
    <n v="486496.99"/>
    <n v="28.922098849915006"/>
    <n v="0.28922098849915007"/>
    <n v="0.23922098849915008"/>
    <n v="0.16095558741129645"/>
    <n v="0.31064469897669922"/>
    <n v="33.880000000000003"/>
    <n v="584.03"/>
    <n v="5.8010718627467774"/>
  </r>
  <r>
    <x v="7"/>
    <d v="2025-01-01T00:00:00"/>
    <d v="2025-06-30T00:00:00"/>
    <n v="199232.59999999998"/>
    <n v="278190.36"/>
    <n v="39.630943931866582"/>
    <n v="0.3963094393186658"/>
    <n v="0.34630943931866581"/>
    <n v="0.16095558741129645"/>
    <n v="0.31064469897669922"/>
    <n v="12.25"/>
    <n v="1377.18"/>
    <n v="0.889498830944393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45550B-03D8-465C-8E06-D5EB5A9B5764}" name="PivotTable12"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6:B85" firstHeaderRow="1" firstDataRow="1" firstDataCol="1"/>
  <pivotFields count="13">
    <pivotField axis="axisRow" showAll="0">
      <items count="9">
        <item x="0"/>
        <item x="1"/>
        <item x="2"/>
        <item x="3"/>
        <item x="4"/>
        <item x="5"/>
        <item x="6"/>
        <item x="7"/>
        <item t="default"/>
      </items>
    </pivotField>
    <pivotField numFmtId="22" showAll="0"/>
    <pivotField numFmtId="22" showAll="0"/>
    <pivotField numFmtId="2" showAll="0"/>
    <pivotField numFmtId="2" showAll="0"/>
    <pivotField numFmtId="10" showAll="0"/>
    <pivotField numFmtId="2" showAll="0"/>
    <pivotField numFmtId="2" showAll="0"/>
    <pivotField numFmtId="2" showAll="0"/>
    <pivotField numFmtId="2" showAll="0"/>
    <pivotField showAll="0"/>
    <pivotField showAll="0"/>
    <pivotField dataField="1" numFmtId="2" showAll="0"/>
  </pivotFields>
  <rowFields count="1">
    <field x="0"/>
  </rowFields>
  <rowItems count="9">
    <i>
      <x/>
    </i>
    <i>
      <x v="1"/>
    </i>
    <i>
      <x v="2"/>
    </i>
    <i>
      <x v="3"/>
    </i>
    <i>
      <x v="4"/>
    </i>
    <i>
      <x v="5"/>
    </i>
    <i>
      <x v="6"/>
    </i>
    <i>
      <x v="7"/>
    </i>
    <i t="grand">
      <x/>
    </i>
  </rowItems>
  <colItems count="1">
    <i/>
  </colItems>
  <dataFields count="1">
    <dataField name="Sum of Column1" fld="12" baseField="0" baseItem="0" numFmtId="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E40623-75D1-4E22-A52B-7C9459F83435}" name="PivotTable9"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1:A72" firstHeaderRow="1" firstDataRow="1" firstDataCol="0"/>
  <pivotFields count="1">
    <pivotField dataField="1" showAll="0"/>
  </pivotFields>
  <rowItems count="1">
    <i/>
  </rowItems>
  <colItems count="1">
    <i/>
  </colItems>
  <dataFields count="1">
    <dataField name="Sum of Sharp_ratio"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502374-D4E7-4D3E-A147-53B6BF86AEB8}" name="PivotTable6"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8:B67" firstHeaderRow="1" firstDataRow="1" firstDataCol="1"/>
  <pivotFields count="13">
    <pivotField axis="axisRow" showAll="0">
      <items count="9">
        <item x="0"/>
        <item x="1"/>
        <item x="2"/>
        <item x="3"/>
        <item x="4"/>
        <item x="5"/>
        <item x="6"/>
        <item x="7"/>
        <item t="default"/>
      </items>
    </pivotField>
    <pivotField numFmtId="22" showAll="0"/>
    <pivotField numFmtId="22" showAll="0"/>
    <pivotField numFmtId="2" showAll="0"/>
    <pivotField numFmtId="2" showAll="0"/>
    <pivotField dataField="1" numFmtId="10" showAll="0"/>
    <pivotField numFmtId="2" showAll="0"/>
    <pivotField numFmtId="2" showAll="0"/>
    <pivotField numFmtId="2" showAll="0"/>
    <pivotField numFmtId="2" showAll="0"/>
    <pivotField showAll="0"/>
    <pivotField showAll="0"/>
    <pivotField numFmtId="2" showAll="0"/>
  </pivotFields>
  <rowFields count="1">
    <field x="0"/>
  </rowFields>
  <rowItems count="9">
    <i>
      <x/>
    </i>
    <i>
      <x v="1"/>
    </i>
    <i>
      <x v="2"/>
    </i>
    <i>
      <x v="3"/>
    </i>
    <i>
      <x v="4"/>
    </i>
    <i>
      <x v="5"/>
    </i>
    <i>
      <x v="6"/>
    </i>
    <i>
      <x v="7"/>
    </i>
    <i t="grand">
      <x/>
    </i>
  </rowItems>
  <colItems count="1">
    <i/>
  </colItems>
  <dataFields count="1">
    <dataField name="Sum of portfolio_return" fld="5" baseField="0"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602E6E-27F5-49E4-9083-4F25AB0CE7B8}" name="PivotTable5"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4:A55" firstHeaderRow="1" firstDataRow="1" firstDataCol="0"/>
  <pivotFields count="7">
    <pivotField showAll="0"/>
    <pivotField showAll="0"/>
    <pivotField numFmtId="22" showAll="0"/>
    <pivotField showAll="0"/>
    <pivotField showAll="0"/>
    <pivotField showAll="0"/>
    <pivotField dataField="1" showAll="0"/>
  </pivotFields>
  <rowItems count="1">
    <i/>
  </rowItems>
  <colItems count="1">
    <i/>
  </colItems>
  <dataFields count="1">
    <dataField name="Sum of Quantity_Heil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05CA92-ABE2-481A-BFBE-ECCCC1053140}" name="PivotTable3"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8:B17" firstHeaderRow="1" firstDataRow="1" firstDataCol="1"/>
  <pivotFields count="11">
    <pivotField numFmtId="22" showAll="0"/>
    <pivotField axis="axisRow" showAll="0">
      <items count="9">
        <item x="0"/>
        <item x="1"/>
        <item x="2"/>
        <item x="3"/>
        <item x="4"/>
        <item x="5"/>
        <item x="6"/>
        <item x="7"/>
        <item t="default"/>
      </items>
    </pivotField>
    <pivotField showAll="0"/>
    <pivotField showAll="0"/>
    <pivotField showAll="0"/>
    <pivotField showAll="0"/>
    <pivotField showAll="0">
      <items count="1022">
        <item x="142"/>
        <item x="153"/>
        <item x="472"/>
        <item x="497"/>
        <item x="406"/>
        <item x="742"/>
        <item x="1013"/>
        <item x="834"/>
        <item x="939"/>
        <item x="79"/>
        <item x="77"/>
        <item x="244"/>
        <item x="816"/>
        <item x="618"/>
        <item x="31"/>
        <item x="305"/>
        <item x="120"/>
        <item x="1003"/>
        <item x="87"/>
        <item x="28"/>
        <item x="794"/>
        <item x="562"/>
        <item x="529"/>
        <item x="599"/>
        <item x="135"/>
        <item x="619"/>
        <item x="761"/>
        <item x="860"/>
        <item x="163"/>
        <item x="590"/>
        <item x="465"/>
        <item x="93"/>
        <item x="54"/>
        <item x="831"/>
        <item x="164"/>
        <item x="704"/>
        <item x="583"/>
        <item x="53"/>
        <item x="9"/>
        <item x="874"/>
        <item x="252"/>
        <item x="98"/>
        <item x="301"/>
        <item x="820"/>
        <item x="183"/>
        <item x="961"/>
        <item x="59"/>
        <item x="335"/>
        <item x="140"/>
        <item x="669"/>
        <item x="897"/>
        <item x="770"/>
        <item x="532"/>
        <item x="325"/>
        <item x="971"/>
        <item x="597"/>
        <item x="706"/>
        <item x="13"/>
        <item x="909"/>
        <item x="165"/>
        <item x="628"/>
        <item x="254"/>
        <item x="941"/>
        <item x="965"/>
        <item x="185"/>
        <item x="643"/>
        <item x="982"/>
        <item x="456"/>
        <item x="998"/>
        <item x="264"/>
        <item x="962"/>
        <item x="1016"/>
        <item x="412"/>
        <item x="602"/>
        <item x="262"/>
        <item x="273"/>
        <item x="27"/>
        <item x="20"/>
        <item x="810"/>
        <item x="731"/>
        <item x="955"/>
        <item x="413"/>
        <item x="384"/>
        <item x="107"/>
        <item x="362"/>
        <item x="966"/>
        <item x="752"/>
        <item x="449"/>
        <item x="284"/>
        <item x="250"/>
        <item x="360"/>
        <item x="904"/>
        <item x="131"/>
        <item x="545"/>
        <item x="401"/>
        <item x="556"/>
        <item x="964"/>
        <item x="18"/>
        <item x="842"/>
        <item x="554"/>
        <item x="920"/>
        <item x="989"/>
        <item x="257"/>
        <item x="605"/>
        <item x="823"/>
        <item x="954"/>
        <item x="194"/>
        <item x="697"/>
        <item x="688"/>
        <item x="853"/>
        <item x="488"/>
        <item x="71"/>
        <item x="519"/>
        <item x="279"/>
        <item x="867"/>
        <item x="191"/>
        <item x="953"/>
        <item x="681"/>
        <item x="527"/>
        <item x="392"/>
        <item x="676"/>
        <item x="477"/>
        <item x="90"/>
        <item x="772"/>
        <item x="11"/>
        <item x="268"/>
        <item x="832"/>
        <item x="689"/>
        <item x="329"/>
        <item x="162"/>
        <item x="644"/>
        <item x="988"/>
        <item x="567"/>
        <item x="332"/>
        <item x="333"/>
        <item x="214"/>
        <item x="907"/>
        <item x="288"/>
        <item x="168"/>
        <item x="393"/>
        <item x="388"/>
        <item x="672"/>
        <item x="800"/>
        <item x="313"/>
        <item x="510"/>
        <item x="343"/>
        <item x="471"/>
        <item x="209"/>
        <item x="978"/>
        <item x="96"/>
        <item x="523"/>
        <item x="70"/>
        <item x="852"/>
        <item x="309"/>
        <item x="417"/>
        <item x="1019"/>
        <item x="379"/>
        <item x="726"/>
        <item x="919"/>
        <item x="88"/>
        <item x="715"/>
        <item x="617"/>
        <item x="494"/>
        <item x="176"/>
        <item x="156"/>
        <item x="357"/>
        <item x="499"/>
        <item x="188"/>
        <item x="49"/>
        <item x="598"/>
        <item x="3"/>
        <item x="149"/>
        <item x="849"/>
        <item x="979"/>
        <item x="780"/>
        <item x="985"/>
        <item x="144"/>
        <item x="208"/>
        <item x="603"/>
        <item x="148"/>
        <item x="385"/>
        <item x="782"/>
        <item x="1"/>
        <item x="660"/>
        <item x="450"/>
        <item x="278"/>
        <item x="935"/>
        <item x="377"/>
        <item x="228"/>
        <item x="292"/>
        <item x="938"/>
        <item x="839"/>
        <item x="575"/>
        <item x="434"/>
        <item x="155"/>
        <item x="464"/>
        <item x="607"/>
        <item x="638"/>
        <item x="334"/>
        <item x="862"/>
        <item x="937"/>
        <item x="828"/>
        <item x="729"/>
        <item x="1012"/>
        <item x="127"/>
        <item x="721"/>
        <item x="579"/>
        <item x="291"/>
        <item x="193"/>
        <item x="641"/>
        <item x="636"/>
        <item x="175"/>
        <item x="129"/>
        <item x="407"/>
        <item x="37"/>
        <item x="565"/>
        <item x="895"/>
        <item x="905"/>
        <item x="682"/>
        <item x="735"/>
        <item x="441"/>
        <item x="426"/>
        <item x="848"/>
        <item x="760"/>
        <item x="637"/>
        <item x="207"/>
        <item x="114"/>
        <item x="119"/>
        <item x="799"/>
        <item x="851"/>
        <item x="589"/>
        <item x="733"/>
        <item x="94"/>
        <item x="665"/>
        <item x="542"/>
        <item x="158"/>
        <item x="891"/>
        <item x="870"/>
        <item x="277"/>
        <item x="811"/>
        <item x="260"/>
        <item x="571"/>
        <item x="429"/>
        <item x="655"/>
        <item x="255"/>
        <item x="14"/>
        <item x="314"/>
        <item x="39"/>
        <item x="515"/>
        <item x="243"/>
        <item x="212"/>
        <item x="10"/>
        <item x="864"/>
        <item x="990"/>
        <item x="784"/>
        <item x="147"/>
        <item x="825"/>
        <item x="763"/>
        <item x="253"/>
        <item x="691"/>
        <item x="173"/>
        <item x="203"/>
        <item x="906"/>
        <item x="908"/>
        <item x="892"/>
        <item x="569"/>
        <item x="35"/>
        <item x="327"/>
        <item x="552"/>
        <item x="474"/>
        <item x="559"/>
        <item x="319"/>
        <item x="674"/>
        <item x="231"/>
        <item x="621"/>
        <item x="623"/>
        <item x="702"/>
        <item x="973"/>
        <item x="917"/>
        <item x="773"/>
        <item x="130"/>
        <item x="739"/>
        <item x="521"/>
        <item x="108"/>
        <item x="561"/>
        <item x="124"/>
        <item x="880"/>
        <item x="898"/>
        <item x="427"/>
        <item x="61"/>
        <item x="659"/>
        <item x="190"/>
        <item x="493"/>
        <item x="57"/>
        <item x="210"/>
        <item x="344"/>
        <item x="296"/>
        <item x="986"/>
        <item x="326"/>
        <item x="912"/>
        <item x="101"/>
        <item x="115"/>
        <item x="709"/>
        <item x="673"/>
        <item x="924"/>
        <item x="457"/>
        <item x="410"/>
        <item x="154"/>
        <item x="886"/>
        <item x="854"/>
        <item x="443"/>
        <item x="261"/>
        <item x="438"/>
        <item x="629"/>
        <item x="467"/>
        <item x="219"/>
        <item x="807"/>
        <item x="879"/>
        <item x="943"/>
        <item x="526"/>
        <item x="767"/>
        <item x="276"/>
        <item x="300"/>
        <item x="45"/>
        <item x="338"/>
        <item x="698"/>
        <item x="397"/>
        <item x="582"/>
        <item x="787"/>
        <item x="893"/>
        <item x="608"/>
        <item x="405"/>
        <item x="470"/>
        <item x="757"/>
        <item x="915"/>
        <item x="585"/>
        <item x="762"/>
        <item x="171"/>
        <item x="759"/>
        <item x="991"/>
        <item x="725"/>
        <item x="656"/>
        <item x="714"/>
        <item x="566"/>
        <item x="824"/>
        <item x="537"/>
        <item x="454"/>
        <item x="992"/>
        <item x="435"/>
        <item x="280"/>
        <item x="889"/>
        <item x="89"/>
        <item x="78"/>
        <item x="51"/>
        <item x="346"/>
        <item x="111"/>
        <item x="97"/>
        <item x="275"/>
        <item x="815"/>
        <item x="845"/>
        <item x="890"/>
        <item x="19"/>
        <item x="73"/>
        <item x="82"/>
        <item x="634"/>
        <item x="226"/>
        <item x="1006"/>
        <item x="646"/>
        <item x="686"/>
        <item x="539"/>
        <item x="592"/>
        <item x="517"/>
        <item x="728"/>
        <item x="482"/>
        <item x="514"/>
        <item x="157"/>
        <item x="25"/>
        <item x="507"/>
        <item x="170"/>
        <item x="81"/>
        <item x="822"/>
        <item x="786"/>
        <item x="960"/>
        <item x="696"/>
        <item x="666"/>
        <item x="36"/>
        <item x="841"/>
        <item x="237"/>
        <item x="817"/>
        <item x="518"/>
        <item x="633"/>
        <item x="270"/>
        <item x="737"/>
        <item x="46"/>
        <item x="885"/>
        <item x="610"/>
        <item x="758"/>
        <item x="963"/>
        <item x="358"/>
        <item x="692"/>
        <item x="687"/>
        <item x="491"/>
        <item x="593"/>
        <item x="206"/>
        <item x="269"/>
        <item x="274"/>
        <item x="302"/>
        <item x="215"/>
        <item x="647"/>
        <item x="693"/>
        <item x="432"/>
        <item x="934"/>
        <item x="736"/>
        <item x="414"/>
        <item x="747"/>
        <item x="829"/>
        <item x="543"/>
        <item x="969"/>
        <item x="4"/>
        <item x="754"/>
        <item x="635"/>
        <item x="600"/>
        <item x="249"/>
        <item x="700"/>
        <item x="223"/>
        <item x="236"/>
        <item x="431"/>
        <item x="445"/>
        <item x="387"/>
        <item x="196"/>
        <item x="932"/>
        <item x="199"/>
        <item x="7"/>
        <item x="649"/>
        <item x="648"/>
        <item x="930"/>
        <item x="756"/>
        <item x="625"/>
        <item x="775"/>
        <item x="863"/>
        <item x="981"/>
        <item x="152"/>
        <item x="865"/>
        <item x="642"/>
        <item x="299"/>
        <item x="837"/>
        <item x="557"/>
        <item x="213"/>
        <item x="967"/>
        <item x="272"/>
        <item x="47"/>
        <item x="809"/>
        <item x="475"/>
        <item x="540"/>
        <item x="804"/>
        <item x="873"/>
        <item x="803"/>
        <item x="509"/>
        <item x="723"/>
        <item x="287"/>
        <item x="489"/>
        <item x="882"/>
        <item x="801"/>
        <item x="350"/>
        <item x="100"/>
        <item x="703"/>
        <item x="43"/>
        <item x="69"/>
        <item x="136"/>
        <item x="404"/>
        <item x="553"/>
        <item x="1005"/>
        <item x="422"/>
        <item x="320"/>
        <item x="947"/>
        <item x="668"/>
        <item x="959"/>
        <item x="289"/>
        <item x="76"/>
        <item x="240"/>
        <item x="217"/>
        <item x="1020"/>
        <item x="416"/>
        <item x="487"/>
        <item x="66"/>
        <item x="997"/>
        <item x="683"/>
        <item x="516"/>
        <item x="263"/>
        <item x="331"/>
        <item x="871"/>
        <item x="80"/>
        <item x="200"/>
        <item x="95"/>
        <item x="463"/>
        <item x="128"/>
        <item x="241"/>
        <item x="546"/>
        <item x="235"/>
        <item x="421"/>
        <item x="944"/>
        <item x="238"/>
        <item x="351"/>
        <item x="855"/>
        <item x="812"/>
        <item x="511"/>
        <item x="594"/>
        <item x="304"/>
        <item x="38"/>
        <item x="896"/>
        <item x="835"/>
        <item x="118"/>
        <item x="161"/>
        <item x="631"/>
        <item x="744"/>
        <item x="662"/>
        <item x="447"/>
        <item x="999"/>
        <item x="195"/>
        <item x="564"/>
        <item x="479"/>
        <item x="187"/>
        <item x="490"/>
        <item x="105"/>
        <item x="883"/>
        <item x="984"/>
        <item x="679"/>
        <item x="788"/>
        <item x="888"/>
        <item x="1007"/>
        <item x="881"/>
        <item x="858"/>
        <item x="373"/>
        <item x="868"/>
        <item x="368"/>
        <item x="40"/>
        <item x="977"/>
        <item x="533"/>
        <item x="306"/>
        <item x="103"/>
        <item x="1000"/>
        <item x="16"/>
        <item x="914"/>
        <item x="52"/>
        <item x="311"/>
        <item x="294"/>
        <item x="753"/>
        <item x="606"/>
        <item x="283"/>
        <item x="910"/>
        <item x="363"/>
        <item x="177"/>
        <item x="102"/>
        <item x="596"/>
        <item x="615"/>
        <item x="544"/>
        <item x="945"/>
        <item x="370"/>
        <item x="1017"/>
        <item x="30"/>
        <item x="229"/>
        <item x="399"/>
        <item x="419"/>
        <item x="609"/>
        <item x="436"/>
        <item x="777"/>
        <item x="460"/>
        <item x="197"/>
        <item x="802"/>
        <item x="355"/>
        <item x="374"/>
        <item x="425"/>
        <item x="667"/>
        <item x="727"/>
        <item x="122"/>
        <item x="970"/>
        <item x="318"/>
        <item x="234"/>
        <item x="145"/>
        <item x="99"/>
        <item x="259"/>
        <item x="372"/>
        <item x="650"/>
        <item x="376"/>
        <item x="586"/>
        <item x="224"/>
        <item x="671"/>
        <item x="838"/>
        <item x="60"/>
        <item x="298"/>
        <item x="198"/>
        <item x="572"/>
        <item x="622"/>
        <item x="366"/>
        <item x="146"/>
        <item x="616"/>
        <item x="995"/>
        <item x="303"/>
        <item x="339"/>
        <item x="369"/>
        <item x="694"/>
        <item x="732"/>
        <item x="856"/>
        <item x="652"/>
        <item x="573"/>
        <item x="307"/>
        <item x="473"/>
        <item x="420"/>
        <item x="876"/>
        <item x="785"/>
        <item x="282"/>
        <item x="830"/>
        <item x="795"/>
        <item x="62"/>
        <item x="950"/>
        <item x="976"/>
        <item x="843"/>
        <item x="352"/>
        <item x="680"/>
        <item x="872"/>
        <item x="408"/>
        <item x="994"/>
        <item x="492"/>
        <item x="444"/>
        <item x="931"/>
        <item x="524"/>
        <item x="547"/>
        <item x="451"/>
        <item x="645"/>
        <item x="722"/>
        <item x="923"/>
        <item x="484"/>
        <item x="624"/>
        <item x="530"/>
        <item x="538"/>
        <item x="1009"/>
        <item x="551"/>
        <item x="500"/>
        <item x="548"/>
        <item x="322"/>
        <item x="675"/>
        <item x="353"/>
        <item x="926"/>
        <item x="21"/>
        <item x="286"/>
        <item x="440"/>
        <item x="678"/>
        <item x="730"/>
        <item x="774"/>
        <item x="233"/>
        <item x="5"/>
        <item x="653"/>
        <item x="658"/>
        <item x="365"/>
        <item x="902"/>
        <item x="503"/>
        <item x="928"/>
        <item x="216"/>
        <item x="239"/>
        <item x="125"/>
        <item x="389"/>
        <item x="901"/>
        <item x="710"/>
        <item x="528"/>
        <item x="958"/>
        <item x="1004"/>
        <item x="211"/>
        <item x="778"/>
        <item x="836"/>
        <item x="394"/>
        <item x="48"/>
        <item x="41"/>
        <item x="771"/>
        <item x="968"/>
        <item x="717"/>
        <item x="859"/>
        <item x="166"/>
        <item x="513"/>
        <item x="345"/>
        <item x="65"/>
        <item x="498"/>
        <item x="699"/>
        <item x="903"/>
        <item x="371"/>
        <item x="525"/>
        <item x="818"/>
        <item x="844"/>
        <item x="661"/>
        <item x="1008"/>
        <item x="375"/>
        <item x="297"/>
        <item x="793"/>
        <item x="738"/>
        <item x="317"/>
        <item x="512"/>
        <item x="439"/>
        <item x="833"/>
        <item x="398"/>
        <item x="433"/>
        <item x="172"/>
        <item x="42"/>
        <item x="806"/>
        <item x="560"/>
        <item x="361"/>
        <item x="480"/>
        <item x="468"/>
        <item x="743"/>
        <item x="478"/>
        <item x="110"/>
        <item x="340"/>
        <item x="878"/>
        <item x="246"/>
        <item x="248"/>
        <item x="922"/>
        <item x="718"/>
        <item x="218"/>
        <item x="535"/>
        <item x="522"/>
        <item x="204"/>
        <item x="921"/>
        <item x="508"/>
        <item x="462"/>
        <item x="182"/>
        <item x="104"/>
        <item x="577"/>
        <item x="568"/>
        <item x="336"/>
        <item x="887"/>
        <item x="310"/>
        <item x="75"/>
        <item x="245"/>
        <item x="382"/>
        <item x="83"/>
        <item x="442"/>
        <item x="781"/>
        <item x="323"/>
        <item x="341"/>
        <item x="987"/>
        <item x="1014"/>
        <item x="428"/>
        <item x="2"/>
        <item x="63"/>
        <item x="386"/>
        <item x="1018"/>
        <item x="578"/>
        <item x="613"/>
        <item x="724"/>
        <item x="486"/>
        <item x="751"/>
        <item x="975"/>
        <item x="814"/>
        <item x="29"/>
        <item x="33"/>
        <item x="184"/>
        <item x="813"/>
        <item x="169"/>
        <item x="452"/>
        <item x="741"/>
        <item x="632"/>
        <item x="956"/>
        <item x="189"/>
        <item x="112"/>
        <item x="251"/>
        <item x="684"/>
        <item x="159"/>
        <item x="121"/>
        <item x="453"/>
        <item x="601"/>
        <item x="846"/>
        <item x="295"/>
        <item x="506"/>
        <item x="281"/>
        <item x="783"/>
        <item x="740"/>
        <item x="192"/>
        <item x="690"/>
        <item x="178"/>
        <item x="64"/>
        <item x="595"/>
        <item x="840"/>
        <item x="91"/>
        <item x="779"/>
        <item x="952"/>
        <item x="348"/>
        <item x="550"/>
        <item x="496"/>
        <item x="409"/>
        <item x="364"/>
        <item x="402"/>
        <item x="378"/>
        <item x="113"/>
        <item x="716"/>
        <item x="391"/>
        <item x="356"/>
        <item x="458"/>
        <item x="948"/>
        <item x="202"/>
        <item x="748"/>
        <item x="734"/>
        <item x="271"/>
        <item x="424"/>
        <item x="980"/>
        <item x="466"/>
        <item x="720"/>
        <item x="670"/>
        <item x="116"/>
        <item x="74"/>
        <item x="768"/>
        <item x="285"/>
        <item x="620"/>
        <item x="68"/>
        <item x="913"/>
        <item x="766"/>
        <item x="819"/>
        <item x="993"/>
        <item x="179"/>
        <item x="798"/>
        <item x="123"/>
        <item x="293"/>
        <item x="996"/>
        <item x="400"/>
        <item x="614"/>
        <item x="139"/>
        <item x="925"/>
        <item x="705"/>
        <item x="789"/>
        <item x="861"/>
        <item x="505"/>
        <item x="749"/>
        <item x="266"/>
        <item x="186"/>
        <item x="109"/>
        <item x="708"/>
        <item x="792"/>
        <item x="857"/>
        <item x="942"/>
        <item x="581"/>
        <item x="22"/>
        <item x="143"/>
        <item x="576"/>
        <item x="850"/>
        <item x="1001"/>
        <item x="957"/>
        <item x="437"/>
        <item x="230"/>
        <item x="677"/>
        <item x="790"/>
        <item x="875"/>
        <item x="461"/>
        <item x="587"/>
        <item x="92"/>
        <item x="570"/>
        <item x="769"/>
        <item x="695"/>
        <item x="232"/>
        <item x="403"/>
        <item x="23"/>
        <item x="72"/>
        <item x="501"/>
        <item x="1015"/>
        <item x="685"/>
        <item x="0"/>
        <item x="160"/>
        <item x="640"/>
        <item x="225"/>
        <item x="755"/>
        <item x="227"/>
        <item x="132"/>
        <item x="916"/>
        <item x="654"/>
        <item x="133"/>
        <item x="415"/>
        <item x="927"/>
        <item x="396"/>
        <item x="1002"/>
        <item x="151"/>
        <item x="626"/>
        <item x="347"/>
        <item x="67"/>
        <item x="137"/>
        <item x="936"/>
        <item x="316"/>
        <item x="330"/>
        <item x="900"/>
        <item x="869"/>
        <item x="430"/>
        <item x="381"/>
        <item x="380"/>
        <item x="44"/>
        <item x="639"/>
        <item x="663"/>
        <item x="455"/>
        <item x="580"/>
        <item x="536"/>
        <item x="918"/>
        <item x="8"/>
        <item x="549"/>
        <item x="395"/>
        <item x="290"/>
        <item x="459"/>
        <item x="701"/>
        <item x="657"/>
        <item x="411"/>
        <item x="797"/>
        <item x="1011"/>
        <item x="469"/>
        <item x="933"/>
        <item x="805"/>
        <item x="745"/>
        <item x="221"/>
        <item x="899"/>
        <item x="150"/>
        <item x="776"/>
        <item x="796"/>
        <item x="588"/>
        <item x="940"/>
        <item x="258"/>
        <item x="24"/>
        <item x="534"/>
        <item x="174"/>
        <item x="558"/>
        <item x="651"/>
        <item x="367"/>
        <item x="181"/>
        <item x="180"/>
        <item x="265"/>
        <item x="106"/>
        <item x="808"/>
        <item x="117"/>
        <item x="555"/>
        <item x="328"/>
        <item x="84"/>
        <item x="531"/>
        <item x="86"/>
        <item x="321"/>
        <item x="34"/>
        <item x="894"/>
        <item x="247"/>
        <item x="712"/>
        <item x="481"/>
        <item x="765"/>
        <item x="342"/>
        <item x="315"/>
        <item x="126"/>
        <item x="821"/>
        <item x="946"/>
        <item x="56"/>
        <item x="138"/>
        <item x="495"/>
        <item x="32"/>
        <item x="584"/>
        <item x="746"/>
        <item x="983"/>
        <item x="324"/>
        <item x="6"/>
        <item x="220"/>
        <item x="884"/>
        <item x="911"/>
        <item x="630"/>
        <item x="55"/>
        <item x="50"/>
        <item x="167"/>
        <item x="17"/>
        <item x="764"/>
        <item x="308"/>
        <item x="847"/>
        <item x="929"/>
        <item x="390"/>
        <item x="448"/>
        <item x="541"/>
        <item x="256"/>
        <item x="604"/>
        <item x="1010"/>
        <item x="719"/>
        <item x="485"/>
        <item x="563"/>
        <item x="15"/>
        <item x="951"/>
        <item x="877"/>
        <item x="611"/>
        <item x="711"/>
        <item x="354"/>
        <item x="713"/>
        <item x="134"/>
        <item x="205"/>
        <item x="26"/>
        <item x="972"/>
        <item x="866"/>
        <item x="502"/>
        <item x="85"/>
        <item x="141"/>
        <item x="664"/>
        <item x="337"/>
        <item x="418"/>
        <item x="826"/>
        <item x="707"/>
        <item x="58"/>
        <item x="791"/>
        <item x="949"/>
        <item x="974"/>
        <item x="520"/>
        <item x="242"/>
        <item x="222"/>
        <item x="201"/>
        <item x="349"/>
        <item x="504"/>
        <item x="12"/>
        <item x="423"/>
        <item x="750"/>
        <item x="574"/>
        <item x="627"/>
        <item x="383"/>
        <item x="359"/>
        <item x="827"/>
        <item x="591"/>
        <item x="312"/>
        <item x="476"/>
        <item x="267"/>
        <item x="446"/>
        <item x="612"/>
        <item x="483"/>
        <item t="default"/>
      </items>
    </pivotField>
    <pivotField dataField="1" showAll="0"/>
    <pivotField showAll="0"/>
    <pivotField showAll="0"/>
    <pivotField showAll="0">
      <items count="6">
        <item x="3"/>
        <item x="2"/>
        <item x="1"/>
        <item x="4"/>
        <item x="0"/>
        <item t="default"/>
      </items>
    </pivotField>
  </pivotFields>
  <rowFields count="1">
    <field x="1"/>
  </rowFields>
  <rowItems count="9">
    <i>
      <x/>
    </i>
    <i>
      <x v="1"/>
    </i>
    <i>
      <x v="2"/>
    </i>
    <i>
      <x v="3"/>
    </i>
    <i>
      <x v="4"/>
    </i>
    <i>
      <x v="5"/>
    </i>
    <i>
      <x v="6"/>
    </i>
    <i>
      <x v="7"/>
    </i>
    <i t="grand">
      <x/>
    </i>
  </rowItems>
  <colItems count="1">
    <i/>
  </colItems>
  <dataFields count="1">
    <dataField name="StdDev of Returns" fld="7" subtotal="stdDev" baseField="1" baseItem="0"/>
  </dataFields>
  <chartFormats count="2">
    <chartFormat chart="5" format="3"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3F54B3-FA3D-4637-B66F-5E1F70559405}" name="PivotTable2"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1">
    <pivotField numFmtId="22" showAll="0"/>
    <pivotField showAll="0">
      <items count="9">
        <item x="0"/>
        <item x="1"/>
        <item x="2"/>
        <item x="3"/>
        <item x="4"/>
        <item x="5"/>
        <item x="6"/>
        <item x="7"/>
        <item t="default"/>
      </items>
    </pivotField>
    <pivotField showAll="0"/>
    <pivotField showAll="0"/>
    <pivotField showAll="0"/>
    <pivotField showAll="0"/>
    <pivotField dataField="1" showAll="0"/>
    <pivotField showAll="0"/>
    <pivotField showAll="0"/>
    <pivotField showAll="0"/>
    <pivotField showAll="0">
      <items count="6">
        <item x="3"/>
        <item x="2"/>
        <item x="1"/>
        <item x="4"/>
        <item x="0"/>
        <item t="default"/>
      </items>
    </pivotField>
  </pivotFields>
  <rowItems count="1">
    <i/>
  </rowItems>
  <colItems count="1">
    <i/>
  </colItems>
  <dataFields count="1">
    <dataField name="Average of volume"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66312C-A426-42B9-8ABB-143AF7CDE581}" name="PivotTable14"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7:B50" firstHeaderRow="1" firstDataRow="1" firstDataCol="1"/>
  <pivotFields count="10">
    <pivotField showAll="0">
      <items count="3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t="default"/>
      </items>
    </pivotField>
    <pivotField showAll="0"/>
    <pivotField showAll="0"/>
    <pivotField showAll="0"/>
    <pivotField showAll="0"/>
    <pivotField axis="axisRow" dataField="1" multipleItemSelectionAllowed="1" showAll="0">
      <items count="3">
        <item x="1"/>
        <item x="0"/>
        <item t="default"/>
      </items>
    </pivotField>
    <pivotField showAll="0">
      <items count="170">
        <item x="1"/>
        <item x="25"/>
        <item x="90"/>
        <item x="6"/>
        <item x="39"/>
        <item x="130"/>
        <item x="166"/>
        <item x="91"/>
        <item x="100"/>
        <item x="22"/>
        <item x="16"/>
        <item x="60"/>
        <item x="15"/>
        <item x="5"/>
        <item x="51"/>
        <item x="73"/>
        <item x="86"/>
        <item x="118"/>
        <item x="17"/>
        <item x="109"/>
        <item x="157"/>
        <item x="131"/>
        <item x="18"/>
        <item x="37"/>
        <item x="129"/>
        <item x="154"/>
        <item x="128"/>
        <item x="99"/>
        <item x="163"/>
        <item x="165"/>
        <item x="79"/>
        <item x="125"/>
        <item x="12"/>
        <item x="53"/>
        <item x="103"/>
        <item x="58"/>
        <item x="102"/>
        <item x="168"/>
        <item x="122"/>
        <item x="158"/>
        <item x="82"/>
        <item x="89"/>
        <item x="152"/>
        <item x="46"/>
        <item x="94"/>
        <item x="138"/>
        <item x="67"/>
        <item x="136"/>
        <item x="161"/>
        <item x="156"/>
        <item x="107"/>
        <item x="44"/>
        <item x="104"/>
        <item x="48"/>
        <item x="111"/>
        <item x="143"/>
        <item x="30"/>
        <item x="150"/>
        <item x="83"/>
        <item x="84"/>
        <item x="153"/>
        <item x="57"/>
        <item x="147"/>
        <item x="80"/>
        <item x="38"/>
        <item x="19"/>
        <item x="40"/>
        <item x="32"/>
        <item x="159"/>
        <item x="47"/>
        <item x="13"/>
        <item x="160"/>
        <item x="167"/>
        <item x="66"/>
        <item x="23"/>
        <item x="65"/>
        <item x="10"/>
        <item x="112"/>
        <item x="155"/>
        <item x="36"/>
        <item x="137"/>
        <item x="63"/>
        <item x="24"/>
        <item x="85"/>
        <item x="20"/>
        <item x="78"/>
        <item x="149"/>
        <item x="139"/>
        <item x="76"/>
        <item x="26"/>
        <item x="9"/>
        <item x="145"/>
        <item x="108"/>
        <item x="116"/>
        <item x="115"/>
        <item x="146"/>
        <item x="110"/>
        <item x="71"/>
        <item x="62"/>
        <item x="11"/>
        <item x="74"/>
        <item x="28"/>
        <item x="27"/>
        <item x="164"/>
        <item x="95"/>
        <item x="142"/>
        <item x="52"/>
        <item x="49"/>
        <item x="135"/>
        <item x="162"/>
        <item x="70"/>
        <item x="64"/>
        <item x="120"/>
        <item x="123"/>
        <item x="50"/>
        <item x="148"/>
        <item x="31"/>
        <item x="105"/>
        <item x="4"/>
        <item x="2"/>
        <item x="8"/>
        <item x="132"/>
        <item x="113"/>
        <item x="117"/>
        <item x="56"/>
        <item x="92"/>
        <item x="54"/>
        <item x="140"/>
        <item x="55"/>
        <item x="75"/>
        <item x="96"/>
        <item x="59"/>
        <item x="0"/>
        <item x="61"/>
        <item x="45"/>
        <item x="88"/>
        <item x="72"/>
        <item x="35"/>
        <item x="101"/>
        <item x="126"/>
        <item x="106"/>
        <item x="98"/>
        <item x="87"/>
        <item x="134"/>
        <item x="3"/>
        <item x="21"/>
        <item x="119"/>
        <item x="121"/>
        <item x="43"/>
        <item x="14"/>
        <item x="93"/>
        <item x="114"/>
        <item x="97"/>
        <item x="124"/>
        <item x="141"/>
        <item x="144"/>
        <item x="34"/>
        <item x="41"/>
        <item x="68"/>
        <item x="33"/>
        <item x="127"/>
        <item x="133"/>
        <item x="7"/>
        <item x="151"/>
        <item x="77"/>
        <item x="42"/>
        <item x="81"/>
        <item x="69"/>
        <item x="29"/>
        <item t="default"/>
      </items>
    </pivotField>
    <pivotField showAll="0"/>
    <pivotField showAll="0"/>
    <pivotField showAll="0"/>
  </pivotFields>
  <rowFields count="1">
    <field x="5"/>
  </rowFields>
  <rowItems count="3">
    <i>
      <x/>
    </i>
    <i>
      <x v="1"/>
    </i>
    <i t="grand">
      <x/>
    </i>
  </rowItems>
  <colItems count="1">
    <i/>
  </colItems>
  <dataFields count="1">
    <dataField name="Count of P&amp;L" fld="5" subtotal="count"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668C39-0C2B-483C-B81D-7E63F0445CE6}" name="PivotTable11"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4:D35" firstHeaderRow="0" firstDataRow="1" firstDataCol="0"/>
  <pivotFields count="10">
    <pivotField showAll="0"/>
    <pivotField showAll="0"/>
    <pivotField showAll="0"/>
    <pivotField showAll="0"/>
    <pivotField dataField="1" showAll="0"/>
    <pivotField showAll="0"/>
    <pivotField showAll="0"/>
    <pivotField showAll="0"/>
    <pivotField showAll="0"/>
    <pivotField showAll="0"/>
  </pivotFields>
  <rowItems count="1">
    <i/>
  </rowItems>
  <colFields count="1">
    <field x="-2"/>
  </colFields>
  <colItems count="2">
    <i>
      <x/>
    </i>
    <i i="1">
      <x v="1"/>
    </i>
  </colItems>
  <dataFields count="2">
    <dataField name="Sum of is Profit" fld="4" baseField="0" baseItem="0"/>
    <dataField name="Count of is Profit2" fld="4"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6199FA-2C99-4ABD-ACF7-F9991EAF33E6}" name="PivotTable4"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11">
    <pivotField numFmtId="22" showAll="0"/>
    <pivotField showAll="0">
      <items count="9">
        <item x="0"/>
        <item x="1"/>
        <item x="2"/>
        <item x="3"/>
        <item x="4"/>
        <item x="5"/>
        <item x="6"/>
        <item x="7"/>
        <item t="default"/>
      </items>
    </pivotField>
    <pivotField showAll="0"/>
    <pivotField showAll="0"/>
    <pivotField showAll="0"/>
    <pivotField showAll="0"/>
    <pivotField showAll="0"/>
    <pivotField showAll="0"/>
    <pivotField dataField="1" showAll="0"/>
    <pivotField showAll="0"/>
    <pivotField showAll="0">
      <items count="6">
        <item x="3"/>
        <item x="2"/>
        <item x="1"/>
        <item x="4"/>
        <item x="0"/>
        <item t="default"/>
      </items>
    </pivotField>
  </pivotFields>
  <rowItems count="1">
    <i/>
  </rowItems>
  <colItems count="1">
    <i/>
  </colItems>
  <dataFields count="1">
    <dataField name="Sum of Total Marke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17DC72-BE64-4A63-82D5-1F14C7B1F7C8}" name="PivotTable1"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B32" firstHeaderRow="1" firstDataRow="1" firstDataCol="1"/>
  <pivotFields count="11">
    <pivotField numFmtId="22" showAll="0"/>
    <pivotField showAll="0">
      <items count="9">
        <item x="0"/>
        <item x="1"/>
        <item x="2"/>
        <item x="3"/>
        <item x="4"/>
        <item x="5"/>
        <item x="6"/>
        <item x="7"/>
        <item t="default"/>
      </items>
    </pivotField>
    <pivotField showAll="0"/>
    <pivotField showAll="0"/>
    <pivotField showAll="0"/>
    <pivotField showAll="0"/>
    <pivotField showAll="0"/>
    <pivotField dataField="1" showAll="0"/>
    <pivotField showAll="0"/>
    <pivotField showAll="0"/>
    <pivotField axis="axisRow" showAll="0">
      <items count="6">
        <item x="3"/>
        <item x="2"/>
        <item x="1"/>
        <item x="4"/>
        <item x="0"/>
        <item t="default"/>
      </items>
    </pivotField>
  </pivotFields>
  <rowFields count="1">
    <field x="10"/>
  </rowFields>
  <rowItems count="6">
    <i>
      <x/>
    </i>
    <i>
      <x v="1"/>
    </i>
    <i>
      <x v="2"/>
    </i>
    <i>
      <x v="3"/>
    </i>
    <i>
      <x v="4"/>
    </i>
    <i t="grand">
      <x/>
    </i>
  </rowItems>
  <colItems count="1">
    <i/>
  </colItems>
  <dataFields count="1">
    <dataField name="Sum of Returns" fld="7"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8C03B3E-1EE1-4366-9107-275C824E5AFB}" name="PivotTable6"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2">
    <pivotField axis="axisPage" allDrilled="1" subtotalTop="0" showAll="0" dataSourceSort="1" defaultSubtotal="0" defaultAttributeDrillState="1"/>
    <pivotField dataField="1" subtotalTop="0" showAll="0" defaultSubtotal="0"/>
  </pivotFields>
  <rowItems count="1">
    <i/>
  </rowItems>
  <colItems count="1">
    <i/>
  </colItems>
  <pageFields count="1">
    <pageField fld="0" hier="4" name="[fact_trades].[side].&amp;[SELL]" cap="SELL"/>
  </pageFields>
  <dataFields count="1">
    <dataField name="Count of order_id" fld="1" subtotal="count" baseField="0" baseItem="0"/>
  </dataFields>
  <pivotHierarchies count="34">
    <pivotHierarchy dragToData="1"/>
    <pivotHierarchy dragToData="1"/>
    <pivotHierarchy dragToData="1"/>
    <pivotHierarchy dragToData="1"/>
    <pivotHierarchy multipleItemSelectionAllowed="1" dragToData="1">
      <members count="1" level="1">
        <member name="[fact_trades].[side].&amp;[SEL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ock_market_dashboard.xlsx!fact_trades">
        <x15:activeTabTopLevelEntity name="[fact_trad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0EDA942-B002-41DD-941A-B8CE299B59E7}" name="PivotTable2"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2">
    <pivotField allDrilled="1" subtotalTop="0" showAll="0" dataSourceSort="1" defaultSubtotal="0" defaultAttributeDrillState="1"/>
    <pivotField dataField="1" subtotalTop="0" showAll="0" defaultSubtotal="0"/>
  </pivotFields>
  <rowItems count="1">
    <i/>
  </rowItems>
  <colItems count="1">
    <i/>
  </colItems>
  <dataFields count="1">
    <dataField name="Count of order_id" fld="1" subtotal="count" baseField="0" baseItem="0"/>
  </dataFields>
  <pivotHierarchies count="34">
    <pivotHierarchy dragToData="1"/>
    <pivotHierarchy dragToData="1"/>
    <pivotHierarchy dragToData="1"/>
    <pivotHierarchy dragToData="1"/>
    <pivotHierarchy multipleItemSelectionAllowed="1" dragToData="1">
      <members count="1" level="1">
        <member name="[fact_trades].[side].&amp;[SEL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ock_market_dashboard.xlsx!fact_trades">
        <x15:activeTabTopLevelEntity name="[fact_trad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3" connectionId="13" xr16:uid="{B2BE85F6-450F-45AA-A81B-135A9DEFB6B2}" autoFormatId="16" applyNumberFormats="0" applyBorderFormats="0" applyFontFormats="0" applyPatternFormats="0" applyAlignmentFormats="0" applyWidthHeightFormats="0">
  <queryTableRefresh nextId="26" unboundColumnsRight="4">
    <queryTableFields count="19">
      <queryTableField id="1" name="trade_id" tableColumnId="1"/>
      <queryTableField id="2" name="order_id" tableColumnId="2"/>
      <queryTableField id="3" name="trade_ts" tableColumnId="3"/>
      <queryTableField id="4" name="company_id" tableColumnId="4"/>
      <queryTableField id="5" name="side" tableColumnId="5"/>
      <queryTableField id="6" name="quantity" tableColumnId="6"/>
      <queryTableField id="7" name="price" tableColumnId="7"/>
      <queryTableField id="8" name="fees" tableColumnId="8"/>
      <queryTableField id="9" name="trader_id" tableColumnId="9"/>
      <queryTableField id="10" name="portfolio_id" tableColumnId="10"/>
      <queryTableField id="11" name="exchange_id" tableColumnId="11"/>
      <queryTableField id="12" name="date" tableColumnId="12"/>
      <queryTableField id="22" name="fact_trades.Fact_trade_Buy" tableColumnId="15"/>
      <queryTableField id="25" dataBound="0" tableColumnId="18"/>
      <queryTableField id="23" name="fact_trades (3).fact_trades_sell" tableColumnId="16"/>
      <queryTableField id="17" dataBound="0" tableColumnId="17"/>
      <queryTableField id="20" dataBound="0" tableColumnId="13"/>
      <queryTableField id="21" dataBound="0" tableColumnId="14"/>
      <queryTableField id="24" dataBound="0" tableColumnId="19"/>
    </queryTableFields>
    <queryTableDeletedFields count="2">
      <deletedField name="fact_trades.Fact_trade_Buy"/>
      <deletedField name="fact_trades (3).fact_trades_sell"/>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1" connectionId="11" xr16:uid="{9236E839-41F0-4C96-AE2B-4AD7973532AC}" autoFormatId="16" applyNumberFormats="0" applyBorderFormats="0" applyFontFormats="0" applyPatternFormats="0" applyAlignmentFormats="0" applyWidthHeightFormats="0">
  <queryTableRefresh nextId="4">
    <queryTableFields count="3">
      <queryTableField id="1" name="company_id" tableColumnId="1"/>
      <queryTableField id="2" name="date" tableColumnId="2"/>
      <queryTableField id="3" name="split_ratio"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0" connectionId="10" xr16:uid="{1C571230-5B1C-4B6B-8A90-2563B4288FD8}" autoFormatId="16" applyNumberFormats="0" applyBorderFormats="0" applyFontFormats="0" applyPatternFormats="0" applyAlignmentFormats="0" applyWidthHeightFormats="0">
  <queryTableRefresh nextId="5">
    <queryTableFields count="4">
      <queryTableField id="1" name="portfolio_id" tableColumnId="1"/>
      <queryTableField id="2" name="company_id" tableColumnId="2"/>
      <queryTableField id="3" name="date" tableColumnId="3"/>
      <queryTableField id="4" name="quantit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 connectionId="9" xr16:uid="{65BE6328-948B-407D-AA19-EDF521A699C9}" autoFormatId="16" applyNumberFormats="0" applyBorderFormats="0" applyFontFormats="0" applyPatternFormats="0" applyAlignmentFormats="0" applyWidthHeightFormats="0">
  <queryTableRefresh nextId="12">
    <queryTableFields count="11">
      <queryTableField id="1" name="order_id" tableColumnId="1"/>
      <queryTableField id="2" name="order_ts" tableColumnId="2"/>
      <queryTableField id="3" name="company_id" tableColumnId="3"/>
      <queryTableField id="4" name="side" tableColumnId="4"/>
      <queryTableField id="5" name="quantity" tableColumnId="5"/>
      <queryTableField id="6" name="status" tableColumnId="6"/>
      <queryTableField id="7" name="order_type" tableColumnId="7"/>
      <queryTableField id="8" name="limit_price" tableColumnId="8"/>
      <queryTableField id="9" name="trader_id" tableColumnId="9"/>
      <queryTableField id="10" name="portfolio_id" tableColumnId="10"/>
      <queryTableField id="11" name="date"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5" xr16:uid="{5B60118C-50DC-457F-9B6A-1AF9FA51BF82}" autoFormatId="16" applyNumberFormats="0" applyBorderFormats="0" applyFontFormats="0" applyPatternFormats="0" applyAlignmentFormats="0" applyWidthHeightFormats="0">
  <queryTableRefresh nextId="8" unboundColumnsRight="1">
    <queryTableFields count="7">
      <queryTableField id="1" name="portfolio_id" tableColumnId="1"/>
      <queryTableField id="2" name="company_id" tableColumnId="2"/>
      <queryTableField id="3" name="date" tableColumnId="3"/>
      <queryTableField id="4" name="quantity" tableColumnId="4"/>
      <queryTableField id="5" name="fact_daily_prices.company_id" tableColumnId="5"/>
      <queryTableField id="6" name="fact_daily_prices.close" tableColumnId="6"/>
      <queryTableField id="7" dataBound="0"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7" connectionId="8" xr16:uid="{E9E9F82B-22AD-4837-9AE4-E7F1595981A6}" autoFormatId="16" applyNumberFormats="0" applyBorderFormats="0" applyFontFormats="0" applyPatternFormats="0" applyAlignmentFormats="0" applyWidthHeightFormats="0">
  <queryTableRefresh nextId="4">
    <queryTableFields count="3">
      <queryTableField id="1" name="date" tableColumnId="1"/>
      <queryTableField id="2" name="company_id" tableColumnId="2"/>
      <queryTableField id="3" name="dividend_per_share"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6" connectionId="6" xr16:uid="{719B8B41-8135-4984-8C90-FDB4777DD91F}" autoFormatId="16" applyNumberFormats="0" applyBorderFormats="0" applyFontFormats="0" applyPatternFormats="0" applyAlignmentFormats="0" applyWidthHeightFormats="0">
  <queryTableRefresh nextId="4">
    <queryTableFields count="3">
      <queryTableField id="1" name="trader_id" tableColumnId="1"/>
      <queryTableField id="2" name="trader_name" tableColumnId="2"/>
      <queryTableField id="3" name="desk"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5" connectionId="5" xr16:uid="{6AC3E8AC-5B0D-46D8-95BF-B3EE82CB66EC}" autoFormatId="16" applyNumberFormats="0" applyBorderFormats="0" applyFontFormats="0" applyPatternFormats="0" applyAlignmentFormats="0" applyWidthHeightFormats="0">
  <queryTableRefresh nextId="3">
    <queryTableFields count="2">
      <queryTableField id="1" name="sector_id" tableColumnId="1"/>
      <queryTableField id="2" name="sector_name"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4" connectionId="4" xr16:uid="{7C260817-333D-40C3-8328-C28C5E385334}" autoFormatId="16" applyNumberFormats="0" applyBorderFormats="0" applyFontFormats="0" applyPatternFormats="0" applyAlignmentFormats="0" applyWidthHeightFormats="0">
  <queryTableRefresh nextId="4">
    <queryTableFields count="3">
      <queryTableField id="1" name="portfolio_id" tableColumnId="1"/>
      <queryTableField id="2" name="portfolio_name" tableColumnId="2"/>
      <queryTableField id="3" name="manager"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3" xr16:uid="{49B56B22-3899-46EC-8B01-236E2B731263}" autoFormatId="16" applyNumberFormats="0" applyBorderFormats="0" applyFontFormats="0" applyPatternFormats="0" applyAlignmentFormats="0" applyWidthHeightFormats="0">
  <queryTableRefresh nextId="5">
    <queryTableFields count="4">
      <queryTableField id="1" name="exchange_id" tableColumnId="1"/>
      <queryTableField id="2" name="exchange_name" tableColumnId="2"/>
      <queryTableField id="3" name="country" tableColumnId="3"/>
      <queryTableField id="4" name="currency" tableColumnId="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 xr16:uid="{0A3EA282-7D4A-4CD0-8F27-A790A857A3BB}" autoFormatId="16" applyNumberFormats="0" applyBorderFormats="0" applyFontFormats="0" applyPatternFormats="0" applyAlignmentFormats="0" applyWidthHeightFormats="0">
  <queryTableRefresh nextId="6">
    <queryTableFields count="5">
      <queryTableField id="1" name="company_id" tableColumnId="1"/>
      <queryTableField id="2" name="ticker" tableColumnId="2"/>
      <queryTableField id="3" name="company_name" tableColumnId="3"/>
      <queryTableField id="4" name="sector_id" tableColumnId="4"/>
      <queryTableField id="5" name="exchange_id"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 xr16:uid="{788F99E1-FB8C-4E62-B0D7-5FCC651BF877}" autoFormatId="16" applyNumberFormats="0" applyBorderFormats="0" applyFontFormats="0" applyPatternFormats="0" applyAlignmentFormats="0" applyWidthHeightFormats="0">
  <queryTableRefresh nextId="2">
    <queryTableFields count="1">
      <queryTableField id="1" name="date"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_Name" xr10:uid="{B4082C3B-2980-4EB1-BDD4-898FAA0071DE}" sourceName="Sector_Name">
  <pivotTables>
    <pivotTable tabId="15" name="PivotTable3"/>
    <pivotTable tabId="15" name="PivotTable1"/>
    <pivotTable tabId="15" name="PivotTable2"/>
    <pivotTable tabId="15" name="PivotTable4"/>
  </pivotTables>
  <data>
    <tabular pivotCacheId="1557276517">
      <items count="5">
        <i x="3" s="1"/>
        <i x="2" s="1"/>
        <i x="1"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id" xr10:uid="{7A248389-0E14-4EF3-B257-E53B80654753}" sourceName="company_id">
  <pivotTables>
    <pivotTable tabId="15" name="PivotTable3"/>
    <pivotTable tabId="15" name="PivotTable1"/>
    <pivotTable tabId="15" name="PivotTable2"/>
    <pivotTable tabId="15" name="PivotTable4"/>
  </pivotTables>
  <data>
    <tabular pivotCacheId="1557276517">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_Name" xr10:uid="{6E0DBB81-0D77-4562-98A6-B7B84F460A6E}" cache="Slicer_Sector_Name" caption="Sector_Name" rowHeight="234950"/>
  <slicer name="company_id" xr10:uid="{D8C181F9-7270-4079-9DD5-170021B87DD5}" cache="Slicer_company_id" caption="company_i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_Name 1" xr10:uid="{FEE7AD49-0E10-4150-A3C5-F67E7678BC52}" cache="Slicer_Sector_Name" caption="Sector_Name" style="SlicerStyleOther1" rowHeight="234950"/>
  <slicer name="company_id 1" xr10:uid="{68443C95-DB00-4B9E-B38C-D04B03BAA09B}" cache="Slicer_company_id" caption="company_id" style="SlicerStyleOther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573BA6F-67F4-40CE-B03E-EE48F8644A2A}" name="Table1" displayName="Table1" ref="A1:S501" tableType="queryTable" totalsRowShown="0">
  <autoFilter ref="A1:S501" xr:uid="{D573BA6F-67F4-40CE-B03E-EE48F8644A2A}"/>
  <sortState xmlns:xlrd2="http://schemas.microsoft.com/office/spreadsheetml/2017/richdata2" ref="A2:S501">
    <sortCondition ref="D1:D501"/>
  </sortState>
  <tableColumns count="19">
    <tableColumn id="1" xr3:uid="{ADF95DB4-69C9-4413-955F-66AF3FDEAD44}" uniqueName="1" name="trade_id" queryTableFieldId="1" dataDxfId="90"/>
    <tableColumn id="2" xr3:uid="{57E1DC35-EE99-4556-9D20-332294A910F8}" uniqueName="2" name="order_id" queryTableFieldId="2" dataDxfId="89"/>
    <tableColumn id="3" xr3:uid="{4E05DD05-C797-42E2-9711-B581ADE4FEEC}" uniqueName="3" name="trade_ts" queryTableFieldId="3" dataDxfId="11"/>
    <tableColumn id="4" xr3:uid="{6701E9E1-1C28-43C4-BF0A-7741B8BECF29}" uniqueName="4" name="company_id" queryTableFieldId="4" dataDxfId="88"/>
    <tableColumn id="5" xr3:uid="{92735909-DD80-424D-A302-C07C7AB0F382}" uniqueName="5" name="side" queryTableFieldId="5" dataDxfId="87"/>
    <tableColumn id="6" xr3:uid="{DE768A9E-8B94-4B6F-8041-093698D34AAB}" uniqueName="6" name="quantity" queryTableFieldId="6"/>
    <tableColumn id="7" xr3:uid="{5037B674-8506-44DA-B3B3-0A20C3984043}" uniqueName="7" name="price" queryTableFieldId="7"/>
    <tableColumn id="8" xr3:uid="{D4B2AB41-9131-4ACE-A188-5E001362BD0C}" uniqueName="8" name="fees" queryTableFieldId="8"/>
    <tableColumn id="9" xr3:uid="{1ABAE526-CDEB-477B-9424-68CA327E65D1}" uniqueName="9" name="trader_id" queryTableFieldId="9" dataDxfId="86"/>
    <tableColumn id="10" xr3:uid="{FB4AE345-9953-4285-90B5-AED49222982C}" uniqueName="10" name="portfolio_id" queryTableFieldId="10" dataDxfId="85"/>
    <tableColumn id="11" xr3:uid="{F31026AE-FC02-45B5-B7B5-7AE6F06CC701}" uniqueName="11" name="exchange_id" queryTableFieldId="11"/>
    <tableColumn id="12" xr3:uid="{0D681E3B-C9FE-4624-92F8-554B4229A2F6}" uniqueName="12" name="date" queryTableFieldId="12" dataDxfId="10"/>
    <tableColumn id="15" xr3:uid="{DBB7BBFB-18AE-46B1-8BC9-1C8BDD3FA5E7}" uniqueName="15" name="fact_trades.Fact_trade_Buy" queryTableFieldId="22" dataDxfId="84"/>
    <tableColumn id="18" xr3:uid="{E2B65395-9608-48B8-9CBE-14C2B2132A7F}" uniqueName="18" name="Net_Quantity" queryTableFieldId="25" dataDxfId="27">
      <calculatedColumnFormula>IF(Table1[[#This Row],[side]]="BUY", Table1[[#This Row],[quantity]],-Table1[[#This Row],[quantity]])</calculatedColumnFormula>
    </tableColumn>
    <tableColumn id="16" xr3:uid="{BCAF5C8F-3332-4A5E-B698-89A25C673E34}" uniqueName="16" name="fact_trades (3).fact_trades_sell" queryTableFieldId="23" dataDxfId="83"/>
    <tableColumn id="17" xr3:uid="{93BE332B-1C49-4950-A18B-FE08888B7EEE}" uniqueName="17" name="Column2" queryTableFieldId="17" dataDxfId="82">
      <calculatedColumnFormula>IF(Table1[[#This Row],[side]]="Sell",Table1[[#This Row],[price]],"0")</calculatedColumnFormula>
    </tableColumn>
    <tableColumn id="13" xr3:uid="{915C6990-5120-4D5C-9779-78B53F283505}" uniqueName="13" name="Buy-sell" queryTableFieldId="20" dataDxfId="81">
      <calculatedColumnFormula>SUMIFS(Table1[quantity],Table1[company_id],Table8[[#This Row],[COMPANY_ID]],Table1[side],"BUY")-SUMIFS(Table1[quantity],Table1[company_id],Table8[[#This Row],[COMPANY_ID]],Table1[side],"SELL")</calculatedColumnFormula>
    </tableColumn>
    <tableColumn id="14" xr3:uid="{A23484E2-9E7E-4CE3-A873-FB1EA901051E}" uniqueName="14" name="Sell-Buy" queryTableFieldId="21" dataDxfId="80">
      <calculatedColumnFormula>Table1[[#This Row],[Column2]]-Table1[[#This Row],[Buy-sell]]</calculatedColumnFormula>
    </tableColumn>
    <tableColumn id="19" xr3:uid="{08D8B8F6-3B26-40A8-9E3E-7819F30A72E8}" uniqueName="19" name="P&amp;L" queryTableFieldId="24" dataDxfId="79">
      <calculatedColumnFormula>IF(Table1[[#This Row],[Sell-Buy]]&gt;0,"Profit","Loss")</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79D2F46-941E-4FC4-A437-99B9C23884B3}" name="Table15" displayName="Table15" ref="T1:AC334" totalsRowShown="0" headerRowDxfId="78" dataDxfId="76" headerRowBorderDxfId="77" tableBorderDxfId="75" totalsRowBorderDxfId="74">
  <autoFilter ref="T1:AC334" xr:uid="{B79D2F46-941E-4FC4-A437-99B9C23884B3}"/>
  <sortState xmlns:xlrd2="http://schemas.microsoft.com/office/spreadsheetml/2017/richdata2" ref="T2:V334">
    <sortCondition ref="T1:T334"/>
  </sortState>
  <tableColumns count="10">
    <tableColumn id="1" xr3:uid="{490E1AA5-8342-407C-BE61-47940CC70FAE}" name="order_id" dataDxfId="73"/>
    <tableColumn id="2" xr3:uid="{D7223BAC-4B87-4151-8053-66B84494446D}" name="Buy_value" dataDxfId="72">
      <calculatedColumnFormula>SUMIFS(Table1[price],Table1[order_id],Table15[[#This Row],[order_id]],Table1[side],"BUY")*Table15[[#This Row],[Buy_Quantity]]</calculatedColumnFormula>
    </tableColumn>
    <tableColumn id="3" xr3:uid="{86579F35-1F48-423D-B82B-EA8CF8EDAD86}" name="Sell_Value" dataDxfId="71">
      <calculatedColumnFormula>SUMIFS(Table1[price],Table1[order_id],Table15[[#This Row],[order_id]],Table1[side],"SELL")</calculatedColumnFormula>
    </tableColumn>
    <tableColumn id="4" xr3:uid="{7144B5D3-DA66-4D28-980A-8B7B979D70B1}" name="Profit" dataDxfId="70">
      <calculatedColumnFormula>Table15[[#This Row],[sell]]-Table15[[#This Row],[Buy]]</calculatedColumnFormula>
    </tableColumn>
    <tableColumn id="5" xr3:uid="{576A86F2-3EAF-476B-A8D2-BABC1012641A}" name="is Profit" dataDxfId="69">
      <calculatedColumnFormula>IF(Table15[[#This Row],[Profit]]&gt;0,1,0)</calculatedColumnFormula>
    </tableColumn>
    <tableColumn id="6" xr3:uid="{AFBFD39E-953C-456A-8D6D-7BA5B14A6897}" name="P&amp;L" dataDxfId="68">
      <calculatedColumnFormula>IF(Table15[[#This Row],[is Profit]]=1,"Profit","Loss")</calculatedColumnFormula>
    </tableColumn>
    <tableColumn id="7" xr3:uid="{44670F0D-2C52-44EA-BA25-3C92EF5534B2}" name="Sell_Quantity" dataDxfId="67">
      <calculatedColumnFormula>SUMIFS(Table1[quantity],Table1[order_id],Table15[[#This Row],[order_id]],Table1[side],"SELL")</calculatedColumnFormula>
    </tableColumn>
    <tableColumn id="9" xr3:uid="{1E47C851-D1DB-451E-8717-020AB107A688}" name="Buy" dataDxfId="66">
      <calculatedColumnFormula>Table15[[#This Row],[Buy_value]]*Table15[[#This Row],[Buy_Quantity]]</calculatedColumnFormula>
    </tableColumn>
    <tableColumn id="10" xr3:uid="{87231661-5135-41D6-B077-407C43E15D98}" name="sell" dataDxfId="65">
      <calculatedColumnFormula>Table15[[#This Row],[Sell_Value]]*Table15[[#This Row],[Sell_Quantity]]</calculatedColumnFormula>
    </tableColumn>
    <tableColumn id="8" xr3:uid="{A78990B0-1192-4638-B6EB-335FC01AE6F8}" name="Buy_Quantity" dataDxfId="64">
      <calculatedColumnFormula>SUMIFS(Table1[quantity],Table1[order_id],Table15[[#This Row],[order_id]],Table1[side],"BUY")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1C9C540-E49E-4E46-8876-1CFDC2F4A2EC}" name="Table12" displayName="Table12" ref="AE1:AG501" totalsRowShown="0" dataDxfId="63" tableBorderDxfId="62">
  <autoFilter ref="AE1:AG501" xr:uid="{41C9C540-E49E-4E46-8876-1CFDC2F4A2EC}"/>
  <tableColumns count="3">
    <tableColumn id="1" xr3:uid="{945FB8C4-727D-4FD6-852B-006CA747AF32}" name="Trade_ID" dataDxfId="61"/>
    <tableColumn id="2" xr3:uid="{55AE161D-25BF-4DCF-B3D4-5E64A2F91BB1}" name="P&amp;L" dataDxfId="60">
      <calculatedColumnFormula>IF(Table1[[#This Row],[Sell-Buy]]&gt;0,"Profit","Loss")</calculatedColumnFormula>
    </tableColumn>
    <tableColumn id="3" xr3:uid="{CAD43995-04ED-4B15-8096-96FA3919C06F}" name="Sell-Buy" dataDxfId="59">
      <calculatedColumnFormula>Table1[[#This Row],[Column2]]-Table1[[#This Row],[Buy-sell]]</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F75FE9-FD1E-42CB-BB11-974BC9AF24B7}" name="Table8" displayName="Table8" ref="AI1:AI9" totalsRowShown="0" dataDxfId="58" tableBorderDxfId="57">
  <autoFilter ref="AI1:AI9" xr:uid="{B1F75FE9-FD1E-42CB-BB11-974BC9AF24B7}"/>
  <tableColumns count="1">
    <tableColumn id="1" xr3:uid="{92F4023C-0AA8-4183-91BD-E9939FCB6405}" name="COMPANY_ID" dataDxfId="5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37C7958-AA3B-4EA3-A71D-F28B145FC790}" name="fact_splits" displayName="fact_splits" ref="A1:C6" tableType="queryTable" totalsRowShown="0">
  <autoFilter ref="A1:C6" xr:uid="{D37C7958-AA3B-4EA3-A71D-F28B145FC790}"/>
  <tableColumns count="3">
    <tableColumn id="1" xr3:uid="{1417A731-6FBC-4B89-BCA1-A52C4AB009DF}" uniqueName="1" name="company_id" queryTableFieldId="1" dataDxfId="55"/>
    <tableColumn id="2" xr3:uid="{F0FA295B-BEC6-4CDF-B22A-0CC432AB6A93}" uniqueName="2" name="date" queryTableFieldId="2" dataDxfId="9"/>
    <tableColumn id="3" xr3:uid="{7583C8BF-E00B-4537-898D-0CE0DB8C357C}" uniqueName="3" name="split_ratio"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A040D9C-4DB0-4A62-8316-E9AB4F85B40F}" name="fact_positions_snapshot" displayName="fact_positions_snapshot" ref="A1:D11" tableType="queryTable" totalsRowShown="0">
  <autoFilter ref="A1:D11" xr:uid="{FA040D9C-4DB0-4A62-8316-E9AB4F85B40F}"/>
  <tableColumns count="4">
    <tableColumn id="1" xr3:uid="{D258FD43-50B7-4B62-911E-F5FBCDC421E5}" uniqueName="1" name="portfolio_id" queryTableFieldId="1" dataDxfId="54"/>
    <tableColumn id="2" xr3:uid="{25E70829-1B45-4F55-83CD-B0398EDB1FCB}" uniqueName="2" name="company_id" queryTableFieldId="2" dataDxfId="53"/>
    <tableColumn id="3" xr3:uid="{5759A87C-A9E4-4A65-AD36-940C203DAE1E}" uniqueName="3" name="date" queryTableFieldId="3" dataDxfId="8"/>
    <tableColumn id="4" xr3:uid="{C9EBD422-ADB7-4943-A2BE-B9E678AFBF67}" uniqueName="4" name="quantity"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AC95D50-D5B7-4FF6-8973-C32A9A15433E}" name="fact_orders" displayName="fact_orders" ref="A1:K501" tableType="queryTable" totalsRowShown="0">
  <autoFilter ref="A1:K501" xr:uid="{1AC95D50-D5B7-4FF6-8973-C32A9A15433E}"/>
  <tableColumns count="11">
    <tableColumn id="1" xr3:uid="{FB7D89AC-E7F0-4783-A41D-F1F872B6EA84}" uniqueName="1" name="order_id" queryTableFieldId="1" dataDxfId="52"/>
    <tableColumn id="2" xr3:uid="{CFB2676F-DD20-40A8-8322-45A8334DF610}" uniqueName="2" name="order_ts" queryTableFieldId="2" dataDxfId="7"/>
    <tableColumn id="3" xr3:uid="{997C598D-FC55-410E-BAEB-D9968C63DA43}" uniqueName="3" name="company_id" queryTableFieldId="3" dataDxfId="51"/>
    <tableColumn id="4" xr3:uid="{332DC22A-39E7-4D1D-81EA-9C46EEBF5D8C}" uniqueName="4" name="side" queryTableFieldId="4" dataDxfId="50"/>
    <tableColumn id="5" xr3:uid="{DBECF09F-1393-4E8E-B763-6728C3E5F9B0}" uniqueName="5" name="quantity" queryTableFieldId="5"/>
    <tableColumn id="6" xr3:uid="{F176B825-A264-4283-A54B-D29F6BCE05DB}" uniqueName="6" name="status" queryTableFieldId="6" dataDxfId="49"/>
    <tableColumn id="7" xr3:uid="{3E54E4B6-7C30-4A10-B8FB-8BD681715FBB}" uniqueName="7" name="order_type" queryTableFieldId="7" dataDxfId="48"/>
    <tableColumn id="8" xr3:uid="{121D54D7-8BBF-402D-AF0E-14B4BEFBF53F}" uniqueName="8" name="limit_price" queryTableFieldId="8"/>
    <tableColumn id="9" xr3:uid="{755F4FBB-49BC-4D15-B138-09B045882690}" uniqueName="9" name="trader_id" queryTableFieldId="9" dataDxfId="47"/>
    <tableColumn id="10" xr3:uid="{19A4BCD3-21DE-406B-A87D-094FCFD25A20}" uniqueName="10" name="portfolio_id" queryTableFieldId="10" dataDxfId="46"/>
    <tableColumn id="11" xr3:uid="{1120A2EE-DD3D-4471-8952-F0137CA6DEA5}" uniqueName="11" name="date" queryTableFieldId="11" dataDxfId="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E3DB6AB-BB83-4445-9E04-EE8AEA3432FA}" name="Merge1" displayName="Merge1" ref="A1:G81" tableType="queryTable" totalsRowShown="0">
  <autoFilter ref="A1:G81" xr:uid="{1E3DB6AB-BB83-4445-9E04-EE8AEA3432FA}"/>
  <tableColumns count="7">
    <tableColumn id="1" xr3:uid="{41D2ECFD-83E5-4C4A-9693-94B13B8F5ED1}" uniqueName="1" name="portfolio_id" queryTableFieldId="1" dataDxfId="5"/>
    <tableColumn id="2" xr3:uid="{07342F8A-E4C2-4C7A-BE4C-F5C20F1377F9}" uniqueName="2" name="company_id" queryTableFieldId="2" dataDxfId="4"/>
    <tableColumn id="3" xr3:uid="{C24318A7-C926-4B29-9F3D-7A1C4A1B26B3}" uniqueName="3" name="date" queryTableFieldId="3" dataDxfId="3"/>
    <tableColumn id="4" xr3:uid="{2BF47F79-2CA5-47FF-A961-E4989DC1579C}" uniqueName="4" name="quantity" queryTableFieldId="4"/>
    <tableColumn id="5" xr3:uid="{ECD5E3EB-898A-453A-9800-530FBA5CED13}" uniqueName="5" name="fact_daily_prices.company_id" queryTableFieldId="5" dataDxfId="2"/>
    <tableColumn id="6" xr3:uid="{8D961AF0-DB55-465F-9D47-54384249FDE9}" uniqueName="6" name="fact_daily_prices.close" queryTableFieldId="6"/>
    <tableColumn id="7" xr3:uid="{0E407C2E-BE6C-4256-A24F-91EF6E4BD456}" uniqueName="7" name="Quantity_Heild" queryTableFieldId="7" dataDxfId="26">
      <calculatedColumnFormula>Merge1[[#This Row],[quantity]]*Merge1[[#This Row],[fact_daily_prices.close]]</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1445B4E-D1C3-43EB-933F-17B4569D76F7}" name="Table16" displayName="Table16" ref="P1:AB9" totalsRowShown="0" tableBorderDxfId="25">
  <autoFilter ref="P1:AB9" xr:uid="{C1445B4E-D1C3-43EB-933F-17B4569D76F7}"/>
  <tableColumns count="13">
    <tableColumn id="1" xr3:uid="{7CDE8E28-7CD8-43B3-92D0-2867DD03B1D6}" name="company_id" dataDxfId="24"/>
    <tableColumn id="2" xr3:uid="{E5A00A20-1B98-47BE-AFCA-19A6D82CF9AD}" name="Initial _Price" dataDxfId="23">
      <calculatedColumnFormula>MIN(A2:A1033)</calculatedColumnFormula>
    </tableColumn>
    <tableColumn id="3" xr3:uid="{B5AC7820-762A-41D2-B90C-D02F5412DB51}" name="Latest_Price" dataDxfId="22">
      <calculatedColumnFormula>MAX(A2:A1033)</calculatedColumnFormula>
    </tableColumn>
    <tableColumn id="4" xr3:uid="{9510B8D6-5695-4EF1-818F-34CE610A12C3}" name="initial_Value" dataDxfId="21">
      <calculatedColumnFormula array="1" xml:space="preserve"> Merge1[[#This Row],[quantity]] * INDEX(fact_daily_prices!F2:F1033, MATCH(1, (fact_daily_prices!B2:B1033=Table16[[#This Row],[company_id]]) * (fact_daily_prices!A2:A1033=Table16[[#This Row],[Initial _Price]]), 0))</calculatedColumnFormula>
    </tableColumn>
    <tableColumn id="5" xr3:uid="{4DEC72A0-4E17-436E-BDE3-1FCED13E5C54}" name="Latest_Value" dataDxfId="20">
      <calculatedColumnFormula array="1" xml:space="preserve"> Merge1[[#This Row],[quantity]] * INDEX(fact_daily_prices!F2:F1033, MATCH(1, (fact_daily_prices!B2:B1033=Table16[[#This Row],[company_id]]) * (fact_daily_prices!A2:A1033=Table16[[#This Row],[Latest_Price]]), 0))</calculatedColumnFormula>
    </tableColumn>
    <tableColumn id="7" xr3:uid="{E94E8CD9-9006-47D2-80D5-F7944F910ADB}" name="portfolio_return" dataDxfId="19">
      <calculatedColumnFormula>((Table16[[#This Row],[Latest_Value]]-Table16[[#This Row],[initial_Value]])/Table16[[#This Row],[initial_Value]])*100</calculatedColumnFormula>
    </tableColumn>
    <tableColumn id="8" xr3:uid="{7EE64FFC-70AC-4244-B46D-B132998760C2}" name="port" dataDxfId="18">
      <calculatedColumnFormula>(Table16[[#This Row],[Latest_Value]]-Table16[[#This Row],[initial_Value]])/Table16[[#This Row],[initial_Value]]</calculatedColumnFormula>
    </tableColumn>
    <tableColumn id="9" xr3:uid="{F81F0BA6-476E-4D04-9381-BEDB8FAB532C}" name="return rate" dataDxfId="17">
      <calculatedColumnFormula>Table16[[#This Row],[port]]-0.05</calculatedColumnFormula>
    </tableColumn>
    <tableColumn id="10" xr3:uid="{8C2DE1A1-91A5-4A82-A1C5-1D82CCC11287}" name="volatility" dataDxfId="16">
      <calculatedColumnFormula>_xlfn.STDEV.S(Table16[port])</calculatedColumnFormula>
    </tableColumn>
    <tableColumn id="12" xr3:uid="{0E70B30A-B527-4DC4-AE42-D709A37F096D}" name="sharp_ratio" dataDxfId="15">
      <calculatedColumnFormula>(Table16[[#This Row],[port]]-Table16[[#This Row],[return rate]])/Table16[[#This Row],[volatility]]</calculatedColumnFormula>
    </tableColumn>
    <tableColumn id="14" xr3:uid="{4718FFAB-8D6F-457D-A375-C942AFE38C18}" name="dividend_per_share" dataDxfId="14"/>
    <tableColumn id="15" xr3:uid="{6535716F-A739-401A-86E4-9E3FAF154F40}" name="share_price" dataDxfId="13">
      <calculatedColumnFormula>_xlfn.XLOOKUP(Q13,$L$2:$L$1033,$F$2:$F$1033)</calculatedColumnFormula>
    </tableColumn>
    <tableColumn id="16" xr3:uid="{FAA7FECE-C8F2-4F13-B338-FBAF4893E6B4}" name="Column1" dataDxfId="12">
      <calculatedColumnFormula>(Table16[[#This Row],[dividend_per_share]]/Table16[[#This Row],[share_price]])*100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617CBDD-1965-487A-A5D5-2E4A4D9DD6EA}" name="Table17" displayName="Table17" ref="W13:W14" totalsRowShown="0">
  <autoFilter ref="W13:W14" xr:uid="{A617CBDD-1965-487A-A5D5-2E4A4D9DD6EA}"/>
  <tableColumns count="1">
    <tableColumn id="1" xr3:uid="{018AAE87-C2EC-4A49-A437-F13DC05A96BA}" name="Sharp_ratio">
      <calculatedColumnFormula>V2-W2/X2</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92A546-3C59-4253-ACA9-93AB6688418A}" name="Table18" displayName="Table18" ref="M2:M1034" totalsRowShown="0">
  <autoFilter ref="M2:M1034" xr:uid="{0092A546-3C59-4253-ACA9-93AB6688418A}"/>
  <tableColumns count="1">
    <tableColumn id="1" xr3:uid="{26E3565F-CDE2-41EB-BBDB-AF2E34826599}" name="Column1">
      <calculatedColumnFormula>_xlfn.CONCAT(A2," ",B2)</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E46104-F7DC-4D2E-8E7F-8371FA26513D}" name="fact_dividends" displayName="fact_dividends" ref="A1:C9" tableType="queryTable" totalsRowShown="0">
  <autoFilter ref="A1:C9" xr:uid="{F6E46104-F7DC-4D2E-8E7F-8371FA26513D}"/>
  <tableColumns count="3">
    <tableColumn id="1" xr3:uid="{9C802003-7896-4257-BA02-9FA94101ED48}" uniqueName="1" name="date" queryTableFieldId="1" dataDxfId="1"/>
    <tableColumn id="2" xr3:uid="{0D2ECAD7-EF64-45AE-B7A5-ECCCB7F63FC6}" uniqueName="2" name="company_id" queryTableFieldId="2" dataDxfId="45"/>
    <tableColumn id="3" xr3:uid="{A22370CE-8193-4F66-BF35-D28C40C396B4}" uniqueName="3" name="dividend_per_share" queryTableFieldId="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974FD3-E599-467C-B70A-88FF407572E9}" name="dim_trader" displayName="dim_trader" ref="A1:C31" tableType="queryTable" totalsRowShown="0">
  <autoFilter ref="A1:C31" xr:uid="{AE974FD3-E599-467C-B70A-88FF407572E9}"/>
  <tableColumns count="3">
    <tableColumn id="1" xr3:uid="{785121FA-7943-4D20-8FE0-35AE9A1EA3DB}" uniqueName="1" name="trader_id" queryTableFieldId="1" dataDxfId="44"/>
    <tableColumn id="2" xr3:uid="{269C74C5-D141-4F3F-B4BD-C9C8E9BE9691}" uniqueName="2" name="trader_name" queryTableFieldId="2" dataDxfId="43"/>
    <tableColumn id="3" xr3:uid="{58679024-B3A8-488B-9A03-DCDC4CFCC2F0}" uniqueName="3" name="desk" queryTableFieldId="3" dataDxfId="4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3D551B-9D55-47F3-AF77-FCD2282F81CA}" name="dim_sector" displayName="dim_sector" ref="A1:B6" tableType="queryTable" totalsRowShown="0">
  <autoFilter ref="A1:B6" xr:uid="{8D3D551B-9D55-47F3-AF77-FCD2282F81CA}"/>
  <tableColumns count="2">
    <tableColumn id="1" xr3:uid="{16AD820C-464C-480A-843D-95ABAD91D1DD}" uniqueName="1" name="sector_id" queryTableFieldId="1" dataDxfId="41"/>
    <tableColumn id="2" xr3:uid="{A8E68ECF-DF66-4D8C-B252-0991103D8D0C}" uniqueName="2" name="sector_name" queryTableFieldId="2" dataDxfId="4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77882-A28E-4B29-AB5E-641A2B4D79E7}" name="dim_portfolio" displayName="dim_portfolio" ref="A1:C11" tableType="queryTable" totalsRowShown="0">
  <autoFilter ref="A1:C11" xr:uid="{95177882-A28E-4B29-AB5E-641A2B4D79E7}"/>
  <tableColumns count="3">
    <tableColumn id="1" xr3:uid="{E292819D-0252-4E2F-ACF1-5CD59B4D28C4}" uniqueName="1" name="portfolio_id" queryTableFieldId="1" dataDxfId="39"/>
    <tableColumn id="2" xr3:uid="{77EDCFF1-8091-49D8-9A35-27BBE5139145}" uniqueName="2" name="portfolio_name" queryTableFieldId="2" dataDxfId="38"/>
    <tableColumn id="3" xr3:uid="{1A0FFDF7-5BFE-4289-B3E6-38A633FAC820}" uniqueName="3" name="manager" queryTableFieldId="3" dataDxfId="3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BAC795-604F-4864-9B61-CF2441AEF0C1}" name="dim_exchange" displayName="dim_exchange" ref="A1:D3" tableType="queryTable" totalsRowShown="0">
  <autoFilter ref="A1:D3" xr:uid="{E3BAC795-604F-4864-9B61-CF2441AEF0C1}"/>
  <tableColumns count="4">
    <tableColumn id="1" xr3:uid="{D4EE3328-756B-47BC-88B3-DADCCDC8FCDB}" uniqueName="1" name="exchange_id" queryTableFieldId="1" dataDxfId="36"/>
    <tableColumn id="2" xr3:uid="{F54B0967-1158-4A8C-94CD-4188B74B9BE1}" uniqueName="2" name="exchange_name" queryTableFieldId="2" dataDxfId="35"/>
    <tableColumn id="3" xr3:uid="{BA055D29-EA7F-4893-A031-7616AC39D7C6}" uniqueName="3" name="country" queryTableFieldId="3" dataDxfId="34"/>
    <tableColumn id="4" xr3:uid="{6168A989-D4F1-4D51-8C53-4158B8CA1F08}" uniqueName="4" name="currency" queryTableFieldId="4" dataDxfId="33"/>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C3A97B-D52E-4D12-8BAA-AF0BA0329D85}" name="dim_company" displayName="dim_company" ref="A1:E9" tableType="queryTable" totalsRowShown="0">
  <autoFilter ref="A1:E9" xr:uid="{67C3A97B-D52E-4D12-8BAA-AF0BA0329D85}"/>
  <tableColumns count="5">
    <tableColumn id="1" xr3:uid="{7CE13A2A-718E-43CC-AA37-50F9E86EF4C1}" uniqueName="1" name="company_id" queryTableFieldId="1" dataDxfId="32"/>
    <tableColumn id="2" xr3:uid="{B163AAD7-9900-4F89-9C71-36BAAE13DF3E}" uniqueName="2" name="ticker" queryTableFieldId="2" dataDxfId="31"/>
    <tableColumn id="3" xr3:uid="{81869F00-961D-451D-ACDA-CAE79402D254}" uniqueName="3" name="company_name" queryTableFieldId="3" dataDxfId="30"/>
    <tableColumn id="4" xr3:uid="{9AA80C38-DBCE-46C3-9726-682D257C9568}" uniqueName="4" name="sector_id" queryTableFieldId="4" dataDxfId="29"/>
    <tableColumn id="5" xr3:uid="{1B115FB2-28E8-4F69-938E-65944F8DF1D8}" uniqueName="5" name="exchange_id" queryTableFieldId="5" dataDxfId="28"/>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2B2B2-4D28-4E7F-AFAE-70B82EC8E2C1}" name="dim_calendar" displayName="dim_calendar" ref="A1:A130" tableType="queryTable" totalsRowShown="0">
  <autoFilter ref="A1:A130" xr:uid="{03B2B2B2-4D28-4E7F-AFAE-70B82EC8E2C1}"/>
  <tableColumns count="1">
    <tableColumn id="1" xr3:uid="{F02953C5-1D6F-4794-B06D-D744C77CFEA6}" uniqueName="1" name="dat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1.xml"/><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BD729-E16A-4206-B30E-78ECDE184086}">
  <dimension ref="A1:AI501"/>
  <sheetViews>
    <sheetView topLeftCell="D1" workbookViewId="0">
      <selection activeCell="N2" sqref="N2"/>
    </sheetView>
  </sheetViews>
  <sheetFormatPr defaultRowHeight="14.4" x14ac:dyDescent="0.3"/>
  <cols>
    <col min="1" max="1" width="15.5546875" bestFit="1" customWidth="1"/>
    <col min="2" max="2" width="10.33203125" bestFit="1" customWidth="1"/>
    <col min="3" max="3" width="15.5546875" bestFit="1" customWidth="1"/>
    <col min="4" max="4" width="13.6640625" bestFit="1" customWidth="1"/>
    <col min="5" max="5" width="6.5546875" bestFit="1" customWidth="1"/>
    <col min="6" max="6" width="10.33203125" bestFit="1" customWidth="1"/>
    <col min="7" max="8" width="8.109375" bestFit="1" customWidth="1"/>
    <col min="9" max="9" width="10.88671875" bestFit="1" customWidth="1"/>
    <col min="10" max="10" width="13.109375" bestFit="1" customWidth="1"/>
    <col min="11" max="11" width="13.77734375" bestFit="1" customWidth="1"/>
    <col min="12" max="12" width="15.5546875" bestFit="1" customWidth="1"/>
    <col min="13" max="13" width="26.6640625" bestFit="1" customWidth="1"/>
    <col min="14" max="14" width="14.5546875" bestFit="1" customWidth="1"/>
    <col min="15" max="15" width="29.5546875" bestFit="1" customWidth="1"/>
    <col min="16" max="16" width="10.77734375" bestFit="1" customWidth="1"/>
    <col min="17" max="17" width="9.77734375" bestFit="1" customWidth="1"/>
    <col min="18" max="18" width="10" bestFit="1" customWidth="1"/>
    <col min="19" max="19" width="6.6640625" bestFit="1" customWidth="1"/>
    <col min="20" max="20" width="14" customWidth="1"/>
    <col min="21" max="21" width="15.88671875" customWidth="1"/>
    <col min="22" max="22" width="22" customWidth="1"/>
    <col min="23" max="23" width="12.6640625" customWidth="1"/>
    <col min="24" max="24" width="15.77734375" customWidth="1"/>
    <col min="25" max="27" width="14.77734375" customWidth="1"/>
    <col min="28" max="28" width="15.21875" customWidth="1"/>
    <col min="30" max="30" width="17.77734375" customWidth="1"/>
    <col min="31" max="31" width="11.33203125" customWidth="1"/>
    <col min="32" max="32" width="13" customWidth="1"/>
    <col min="34" max="34" width="14.5546875" customWidth="1"/>
  </cols>
  <sheetData>
    <row r="1" spans="1:35" x14ac:dyDescent="0.3">
      <c r="A1" t="s">
        <v>670</v>
      </c>
      <c r="B1" t="s">
        <v>158</v>
      </c>
      <c r="C1" t="s">
        <v>671</v>
      </c>
      <c r="D1" t="s">
        <v>1</v>
      </c>
      <c r="E1" t="s">
        <v>160</v>
      </c>
      <c r="F1" t="s">
        <v>161</v>
      </c>
      <c r="G1" t="s">
        <v>672</v>
      </c>
      <c r="H1" t="s">
        <v>673</v>
      </c>
      <c r="I1" t="s">
        <v>85</v>
      </c>
      <c r="J1" t="s">
        <v>46</v>
      </c>
      <c r="K1" t="s">
        <v>5</v>
      </c>
      <c r="L1" t="s">
        <v>0</v>
      </c>
      <c r="M1" t="s">
        <v>1195</v>
      </c>
      <c r="N1" t="s">
        <v>1208</v>
      </c>
      <c r="O1" t="s">
        <v>1196</v>
      </c>
      <c r="P1" t="s">
        <v>1207</v>
      </c>
      <c r="Q1" t="s">
        <v>1204</v>
      </c>
      <c r="R1" t="s">
        <v>1193</v>
      </c>
      <c r="S1" t="s">
        <v>1194</v>
      </c>
      <c r="T1" s="6" t="s">
        <v>158</v>
      </c>
      <c r="U1" s="6" t="s">
        <v>1188</v>
      </c>
      <c r="V1" s="6" t="s">
        <v>1189</v>
      </c>
      <c r="W1" s="6" t="s">
        <v>1187</v>
      </c>
      <c r="X1" s="6" t="s">
        <v>1190</v>
      </c>
      <c r="Y1" s="6" t="s">
        <v>1194</v>
      </c>
      <c r="Z1" s="6" t="s">
        <v>1198</v>
      </c>
      <c r="AA1" s="6" t="s">
        <v>1192</v>
      </c>
      <c r="AB1" s="6" t="s">
        <v>1200</v>
      </c>
      <c r="AC1" s="6" t="s">
        <v>1199</v>
      </c>
      <c r="AE1" t="s">
        <v>1197</v>
      </c>
      <c r="AF1" t="s">
        <v>1194</v>
      </c>
      <c r="AG1" t="s">
        <v>1193</v>
      </c>
      <c r="AI1" t="s">
        <v>1205</v>
      </c>
    </row>
    <row r="2" spans="1:35" x14ac:dyDescent="0.3">
      <c r="A2" t="s">
        <v>681</v>
      </c>
      <c r="B2" t="s">
        <v>644</v>
      </c>
      <c r="C2" s="1">
        <v>45835.022222222222</v>
      </c>
      <c r="D2" t="s">
        <v>6</v>
      </c>
      <c r="E2" t="s">
        <v>166</v>
      </c>
      <c r="F2">
        <v>323</v>
      </c>
      <c r="G2">
        <v>784.63</v>
      </c>
      <c r="H2">
        <v>126.72</v>
      </c>
      <c r="I2" t="s">
        <v>150</v>
      </c>
      <c r="J2" t="s">
        <v>52</v>
      </c>
      <c r="L2" s="1">
        <v>45720</v>
      </c>
      <c r="M2" t="s">
        <v>166</v>
      </c>
      <c r="N2">
        <f>IF(Table1[[#This Row],[side]]="BUY", Table1[[#This Row],[quantity]],-Table1[[#This Row],[quantity]])</f>
        <v>323</v>
      </c>
      <c r="P2" t="str">
        <f>IF(Table1[[#This Row],[side]]="Sell",Table1[[#This Row],[price]],"0")</f>
        <v>0</v>
      </c>
      <c r="Q2">
        <f>SUMIFS(Table1[quantity],Table1[company_id],Table8[[#This Row],[COMPANY_ID]],Table1[side],"BUY")-SUMIFS(Table1[quantity],Table1[company_id],Table8[[#This Row],[COMPANY_ID]],Table1[side],"SELL")</f>
        <v>-1307</v>
      </c>
      <c r="R2">
        <f>Table1[[#This Row],[Column2]]-Table1[[#This Row],[Buy-sell]]</f>
        <v>1307</v>
      </c>
      <c r="S2" t="str">
        <f>IF(Table1[[#This Row],[Sell-Buy]]&gt;0,"Profit","Loss")</f>
        <v>Profit</v>
      </c>
      <c r="T2" s="4" t="s">
        <v>165</v>
      </c>
      <c r="U2" s="8">
        <f>SUMIFS(Table1[price],Table1[order_id],Table15[[#This Row],[order_id]],Table1[side],"BUY")*Table15[[#This Row],[Buy_Quantity]]</f>
        <v>0</v>
      </c>
      <c r="V2" s="8">
        <f>SUMIFS(Table1[price],Table1[order_id],Table15[[#This Row],[order_id]],Table1[side],"SELL")</f>
        <v>2226.41</v>
      </c>
      <c r="W2" s="8">
        <f>Table15[[#This Row],[sell]]-Table15[[#This Row],[Buy]]</f>
        <v>2072787.71</v>
      </c>
      <c r="X2" s="8">
        <f>IF(Table15[[#This Row],[Profit]]&gt;0,1,0)</f>
        <v>1</v>
      </c>
      <c r="Y2" s="8" t="str">
        <f>IF(Table15[[#This Row],[is Profit]]=1,"Profit","Loss")</f>
        <v>Profit</v>
      </c>
      <c r="Z2" s="8">
        <f>SUMIFS(Table1[quantity],Table1[order_id],Table15[[#This Row],[order_id]],Table1[side],"SELL")</f>
        <v>931</v>
      </c>
      <c r="AA2" s="8">
        <f>Table15[[#This Row],[Buy_value]]*Table15[[#This Row],[Buy_Quantity]]</f>
        <v>0</v>
      </c>
      <c r="AB2" s="8">
        <f>Table15[[#This Row],[Sell_Value]]*Table15[[#This Row],[Sell_Quantity]]</f>
        <v>2072787.71</v>
      </c>
      <c r="AC2" s="8">
        <f>SUMIFS(Table1[quantity],Table1[order_id],Table15[[#This Row],[order_id]],Table1[side],"BUY")</f>
        <v>0</v>
      </c>
      <c r="AE2" s="9" t="s">
        <v>725</v>
      </c>
      <c r="AF2" s="12" t="str">
        <f>IF(Table1[[#This Row],[Sell-Buy]]&gt;0,"Profit","Loss")</f>
        <v>Profit</v>
      </c>
      <c r="AG2">
        <f>Table1[[#This Row],[Column2]]-Table1[[#This Row],[Buy-sell]]</f>
        <v>1307</v>
      </c>
      <c r="AI2" s="4" t="s">
        <v>6</v>
      </c>
    </row>
    <row r="3" spans="1:35" x14ac:dyDescent="0.3">
      <c r="A3" t="s">
        <v>685</v>
      </c>
      <c r="B3" t="s">
        <v>537</v>
      </c>
      <c r="C3" s="1">
        <v>45768.038888888892</v>
      </c>
      <c r="D3" t="s">
        <v>6</v>
      </c>
      <c r="E3" t="s">
        <v>166</v>
      </c>
      <c r="F3">
        <v>52</v>
      </c>
      <c r="G3">
        <v>798.26</v>
      </c>
      <c r="H3">
        <v>20.75</v>
      </c>
      <c r="I3" t="s">
        <v>94</v>
      </c>
      <c r="J3" t="s">
        <v>55</v>
      </c>
      <c r="L3" s="1">
        <v>45765</v>
      </c>
      <c r="M3" t="s">
        <v>166</v>
      </c>
      <c r="N3">
        <f>IF(Table1[[#This Row],[side]]="BUY", Table1[[#This Row],[quantity]],-Table1[[#This Row],[quantity]])</f>
        <v>52</v>
      </c>
      <c r="P3" t="str">
        <f>IF(Table1[[#This Row],[side]]="Sell",Table1[[#This Row],[price]],"0")</f>
        <v>0</v>
      </c>
      <c r="Q3">
        <f>SUMIFS(Table1[quantity],Table1[company_id],Table8[[#This Row],[COMPANY_ID]],Table1[side],"BUY")-SUMIFS(Table1[quantity],Table1[company_id],Table8[[#This Row],[COMPANY_ID]],Table1[side],"SELL")</f>
        <v>-660</v>
      </c>
      <c r="R3">
        <f>Table1[[#This Row],[Column2]]-Table1[[#This Row],[Buy-sell]]</f>
        <v>660</v>
      </c>
      <c r="S3" t="str">
        <f>IF(Table1[[#This Row],[Sell-Buy]]&gt;0,"Profit","Loss")</f>
        <v>Profit</v>
      </c>
      <c r="T3" s="4" t="s">
        <v>169</v>
      </c>
      <c r="U3" s="8">
        <f>SUMIFS(Table1[price],Table1[order_id],Table15[[#This Row],[order_id]],Table1[side],"BUY")*Table15[[#This Row],[Buy_Quantity]]</f>
        <v>304197.32</v>
      </c>
      <c r="V3" s="8">
        <f>SUMIFS(Table1[price],Table1[order_id],Table15[[#This Row],[order_id]],Table1[side],"SELL")</f>
        <v>0</v>
      </c>
      <c r="W3" s="8">
        <f>Table15[[#This Row],[sell]]-Table15[[#This Row],[Buy]]</f>
        <v>-72398962.159999996</v>
      </c>
      <c r="X3" s="8">
        <f>IF(Table15[[#This Row],[Profit]]&gt;0,1,0)</f>
        <v>0</v>
      </c>
      <c r="Y3" s="5" t="str">
        <f>IF(Table15[[#This Row],[is Profit]]=1,"Profit","Loss")</f>
        <v>Loss</v>
      </c>
      <c r="Z3" s="5">
        <f>SUMIFS(Table1[quantity],Table1[order_id],Table15[[#This Row],[order_id]],Table1[side],"SELL")</f>
        <v>0</v>
      </c>
      <c r="AA3" s="5">
        <f>Table15[[#This Row],[Buy_value]]*Table15[[#This Row],[Buy_Quantity]]</f>
        <v>72398962.159999996</v>
      </c>
      <c r="AB3" s="5">
        <f>Table15[[#This Row],[Sell_Value]]*Table15[[#This Row],[Sell_Quantity]]</f>
        <v>0</v>
      </c>
      <c r="AC3" s="5">
        <f>SUMIFS(Table1[quantity],Table1[order_id],Table15[[#This Row],[order_id]],Table1[side],"BUY")</f>
        <v>238</v>
      </c>
      <c r="AE3" s="10" t="s">
        <v>1112</v>
      </c>
      <c r="AF3" s="10" t="str">
        <f>IF(Table1[[#This Row],[Sell-Buy]]&gt;0,"Profit","Loss")</f>
        <v>Profit</v>
      </c>
      <c r="AG3">
        <f>Table1[[#This Row],[Column2]]-Table1[[#This Row],[Buy-sell]]</f>
        <v>660</v>
      </c>
      <c r="AI3" s="4" t="s">
        <v>11</v>
      </c>
    </row>
    <row r="4" spans="1:35" x14ac:dyDescent="0.3">
      <c r="A4" t="s">
        <v>707</v>
      </c>
      <c r="B4" t="s">
        <v>380</v>
      </c>
      <c r="C4" s="1">
        <v>45680.036805555559</v>
      </c>
      <c r="D4" t="s">
        <v>6</v>
      </c>
      <c r="E4" t="s">
        <v>171</v>
      </c>
      <c r="F4">
        <v>560</v>
      </c>
      <c r="G4">
        <v>727.77</v>
      </c>
      <c r="H4">
        <v>203.78</v>
      </c>
      <c r="I4" t="s">
        <v>148</v>
      </c>
      <c r="J4" t="s">
        <v>52</v>
      </c>
      <c r="L4" s="1">
        <v>45673</v>
      </c>
      <c r="N4">
        <f>IF(Table1[[#This Row],[side]]="BUY", Table1[[#This Row],[quantity]],-Table1[[#This Row],[quantity]])</f>
        <v>-560</v>
      </c>
      <c r="O4" t="s">
        <v>171</v>
      </c>
      <c r="P4">
        <f>IF(Table1[[#This Row],[side]]="Sell",Table1[[#This Row],[price]],"0")</f>
        <v>727.77</v>
      </c>
      <c r="Q4">
        <f>SUMIFS(Table1[quantity],Table1[company_id],Table8[[#This Row],[COMPANY_ID]],Table1[side],"BUY")-SUMIFS(Table1[quantity],Table1[company_id],Table8[[#This Row],[COMPANY_ID]],Table1[side],"SELL")</f>
        <v>4596</v>
      </c>
      <c r="R4">
        <f>Table1[[#This Row],[Column2]]-Table1[[#This Row],[Buy-sell]]</f>
        <v>-3868.23</v>
      </c>
      <c r="S4" t="str">
        <f>IF(Table1[[#This Row],[Sell-Buy]]&gt;0,"Profit","Loss")</f>
        <v>Loss</v>
      </c>
      <c r="T4" s="4" t="s">
        <v>170</v>
      </c>
      <c r="U4" s="8">
        <f>SUMIFS(Table1[price],Table1[order_id],Table15[[#This Row],[order_id]],Table1[side],"BUY")*Table15[[#This Row],[Buy_Quantity]]</f>
        <v>235665.9</v>
      </c>
      <c r="V4" s="8">
        <f>SUMIFS(Table1[price],Table1[order_id],Table15[[#This Row],[order_id]],Table1[side],"SELL")</f>
        <v>0</v>
      </c>
      <c r="W4" s="8">
        <f>Table15[[#This Row],[sell]]-Table15[[#This Row],[Buy]]</f>
        <v>-72113765.399999991</v>
      </c>
      <c r="X4" s="8">
        <f>IF(Table15[[#This Row],[Profit]]&gt;0,1,0)</f>
        <v>0</v>
      </c>
      <c r="Y4" s="5" t="str">
        <f>IF(Table15[[#This Row],[is Profit]]=1,"Profit","Loss")</f>
        <v>Loss</v>
      </c>
      <c r="Z4" s="5">
        <f>SUMIFS(Table1[quantity],Table1[order_id],Table15[[#This Row],[order_id]],Table1[side],"SELL")</f>
        <v>0</v>
      </c>
      <c r="AA4" s="5">
        <f>Table15[[#This Row],[Buy_value]]*Table15[[#This Row],[Buy_Quantity]]</f>
        <v>72113765.399999991</v>
      </c>
      <c r="AB4" s="5">
        <f>Table15[[#This Row],[Sell_Value]]*Table15[[#This Row],[Sell_Quantity]]</f>
        <v>0</v>
      </c>
      <c r="AC4" s="5">
        <f>SUMIFS(Table1[quantity],Table1[order_id],Table15[[#This Row],[order_id]],Table1[side],"BUY")</f>
        <v>306</v>
      </c>
      <c r="AE4" s="9" t="s">
        <v>848</v>
      </c>
      <c r="AF4" s="10" t="str">
        <f>IF(Table1[[#This Row],[Sell-Buy]]&gt;0,"Profit","Loss")</f>
        <v>Loss</v>
      </c>
      <c r="AG4">
        <f>Table1[[#This Row],[Column2]]-Table1[[#This Row],[Buy-sell]]</f>
        <v>-3868.23</v>
      </c>
      <c r="AI4" s="4" t="s">
        <v>14</v>
      </c>
    </row>
    <row r="5" spans="1:35" x14ac:dyDescent="0.3">
      <c r="A5" t="s">
        <v>702</v>
      </c>
      <c r="B5" t="s">
        <v>485</v>
      </c>
      <c r="C5" s="1">
        <v>45778.025694444441</v>
      </c>
      <c r="D5" t="s">
        <v>6</v>
      </c>
      <c r="E5" t="s">
        <v>166</v>
      </c>
      <c r="F5">
        <v>226</v>
      </c>
      <c r="G5">
        <v>831.48</v>
      </c>
      <c r="H5">
        <v>93.96</v>
      </c>
      <c r="I5" t="s">
        <v>94</v>
      </c>
      <c r="J5" t="s">
        <v>52</v>
      </c>
      <c r="L5" s="1">
        <v>45806</v>
      </c>
      <c r="M5" t="s">
        <v>166</v>
      </c>
      <c r="N5">
        <f>IF(Table1[[#This Row],[side]]="BUY", Table1[[#This Row],[quantity]],-Table1[[#This Row],[quantity]])</f>
        <v>226</v>
      </c>
      <c r="P5" t="str">
        <f>IF(Table1[[#This Row],[side]]="Sell",Table1[[#This Row],[price]],"0")</f>
        <v>0</v>
      </c>
      <c r="Q5">
        <f>SUMIFS(Table1[quantity],Table1[company_id],Table8[[#This Row],[COMPANY_ID]],Table1[side],"BUY")-SUMIFS(Table1[quantity],Table1[company_id],Table8[[#This Row],[COMPANY_ID]],Table1[side],"SELL")</f>
        <v>-2313</v>
      </c>
      <c r="R5">
        <f>Table1[[#This Row],[Column2]]-Table1[[#This Row],[Buy-sell]]</f>
        <v>2313</v>
      </c>
      <c r="S5" t="str">
        <f>IF(Table1[[#This Row],[Sell-Buy]]&gt;0,"Profit","Loss")</f>
        <v>Profit</v>
      </c>
      <c r="T5" s="4" t="s">
        <v>173</v>
      </c>
      <c r="U5" s="8">
        <f>SUMIFS(Table1[price],Table1[order_id],Table15[[#This Row],[order_id]],Table1[side],"BUY")*Table15[[#This Row],[Buy_Quantity]]</f>
        <v>612835.19999999995</v>
      </c>
      <c r="V5" s="8">
        <f>SUMIFS(Table1[price],Table1[order_id],Table15[[#This Row],[order_id]],Table1[side],"SELL")</f>
        <v>0</v>
      </c>
      <c r="W5" s="8">
        <f>Table15[[#This Row],[sell]]-Table15[[#This Row],[Buy]]</f>
        <v>-294160896</v>
      </c>
      <c r="X5" s="8">
        <f>IF(Table15[[#This Row],[Profit]]&gt;0,1,0)</f>
        <v>0</v>
      </c>
      <c r="Y5" s="5" t="str">
        <f>IF(Table15[[#This Row],[is Profit]]=1,"Profit","Loss")</f>
        <v>Loss</v>
      </c>
      <c r="Z5" s="5">
        <f>SUMIFS(Table1[quantity],Table1[order_id],Table15[[#This Row],[order_id]],Table1[side],"SELL")</f>
        <v>0</v>
      </c>
      <c r="AA5" s="5">
        <f>Table15[[#This Row],[Buy_value]]*Table15[[#This Row],[Buy_Quantity]]</f>
        <v>294160896</v>
      </c>
      <c r="AB5" s="5">
        <f>Table15[[#This Row],[Sell_Value]]*Table15[[#This Row],[Sell_Quantity]]</f>
        <v>0</v>
      </c>
      <c r="AC5" s="5">
        <f>SUMIFS(Table1[quantity],Table1[order_id],Table15[[#This Row],[order_id]],Table1[side],"BUY")</f>
        <v>480</v>
      </c>
      <c r="AE5" s="10" t="s">
        <v>1048</v>
      </c>
      <c r="AF5" s="10" t="str">
        <f>IF(Table1[[#This Row],[Sell-Buy]]&gt;0,"Profit","Loss")</f>
        <v>Profit</v>
      </c>
      <c r="AG5">
        <f>Table1[[#This Row],[Column2]]-Table1[[#This Row],[Buy-sell]]</f>
        <v>2313</v>
      </c>
      <c r="AI5" s="5" t="s">
        <v>18</v>
      </c>
    </row>
    <row r="6" spans="1:35" x14ac:dyDescent="0.3">
      <c r="A6" t="s">
        <v>732</v>
      </c>
      <c r="B6" t="s">
        <v>275</v>
      </c>
      <c r="C6" s="1">
        <v>45776.013888888891</v>
      </c>
      <c r="D6" t="s">
        <v>6</v>
      </c>
      <c r="E6" t="s">
        <v>171</v>
      </c>
      <c r="F6">
        <v>803</v>
      </c>
      <c r="G6">
        <v>834.19</v>
      </c>
      <c r="H6">
        <v>334.93</v>
      </c>
      <c r="I6" t="s">
        <v>138</v>
      </c>
      <c r="J6" t="s">
        <v>67</v>
      </c>
      <c r="L6" s="1">
        <v>45803</v>
      </c>
      <c r="N6">
        <f>IF(Table1[[#This Row],[side]]="BUY", Table1[[#This Row],[quantity]],-Table1[[#This Row],[quantity]])</f>
        <v>-803</v>
      </c>
      <c r="O6" t="s">
        <v>171</v>
      </c>
      <c r="P6">
        <f>IF(Table1[[#This Row],[side]]="Sell",Table1[[#This Row],[price]],"0")</f>
        <v>834.19</v>
      </c>
      <c r="Q6">
        <f>SUMIFS(Table1[quantity],Table1[company_id],Table8[[#This Row],[COMPANY_ID]],Table1[side],"BUY")-SUMIFS(Table1[quantity],Table1[company_id],Table8[[#This Row],[COMPANY_ID]],Table1[side],"SELL")</f>
        <v>4785</v>
      </c>
      <c r="R6">
        <f>Table1[[#This Row],[Column2]]-Table1[[#This Row],[Buy-sell]]</f>
        <v>-3950.81</v>
      </c>
      <c r="S6" t="str">
        <f>IF(Table1[[#This Row],[Sell-Buy]]&gt;0,"Profit","Loss")</f>
        <v>Loss</v>
      </c>
      <c r="T6" s="5" t="s">
        <v>174</v>
      </c>
      <c r="U6" s="8">
        <f>SUMIFS(Table1[price],Table1[order_id],Table15[[#This Row],[order_id]],Table1[side],"BUY")*Table15[[#This Row],[Buy_Quantity]]</f>
        <v>389376.68</v>
      </c>
      <c r="V6" s="8">
        <f>SUMIFS(Table1[price],Table1[order_id],Table15[[#This Row],[order_id]],Table1[side],"SELL")</f>
        <v>810.71</v>
      </c>
      <c r="W6" s="8">
        <f>Table15[[#This Row],[sell]]-Table15[[#This Row],[Buy]]</f>
        <v>-119209728.38</v>
      </c>
      <c r="X6" s="8">
        <f>IF(Table15[[#This Row],[Profit]]&gt;0,1,0)</f>
        <v>0</v>
      </c>
      <c r="Y6" s="5" t="str">
        <f>IF(Table15[[#This Row],[is Profit]]=1,"Profit","Loss")</f>
        <v>Loss</v>
      </c>
      <c r="Z6" s="5">
        <f>SUMIFS(Table1[quantity],Table1[order_id],Table15[[#This Row],[order_id]],Table1[side],"SELL")</f>
        <v>886</v>
      </c>
      <c r="AA6" s="5">
        <f>Table15[[#This Row],[Buy_value]]*Table15[[#This Row],[Buy_Quantity]]</f>
        <v>119928017.44</v>
      </c>
      <c r="AB6" s="5">
        <f>Table15[[#This Row],[Sell_Value]]*Table15[[#This Row],[Sell_Quantity]]</f>
        <v>718289.06</v>
      </c>
      <c r="AC6" s="5">
        <f>SUMIFS(Table1[quantity],Table1[order_id],Table15[[#This Row],[order_id]],Table1[side],"BUY")</f>
        <v>308</v>
      </c>
      <c r="AE6" s="9" t="s">
        <v>1001</v>
      </c>
      <c r="AF6" s="10" t="str">
        <f>IF(Table1[[#This Row],[Sell-Buy]]&gt;0,"Profit","Loss")</f>
        <v>Loss</v>
      </c>
      <c r="AG6">
        <f>Table1[[#This Row],[Column2]]-Table1[[#This Row],[Buy-sell]]</f>
        <v>-3950.81</v>
      </c>
      <c r="AI6" s="4" t="s">
        <v>22</v>
      </c>
    </row>
    <row r="7" spans="1:35" x14ac:dyDescent="0.3">
      <c r="A7" t="s">
        <v>738</v>
      </c>
      <c r="B7" t="s">
        <v>344</v>
      </c>
      <c r="C7" s="1">
        <v>45660.020833333336</v>
      </c>
      <c r="D7" t="s">
        <v>6</v>
      </c>
      <c r="E7" t="s">
        <v>171</v>
      </c>
      <c r="F7">
        <v>512</v>
      </c>
      <c r="G7">
        <v>806.08</v>
      </c>
      <c r="H7">
        <v>206.36</v>
      </c>
      <c r="I7" t="s">
        <v>100</v>
      </c>
      <c r="J7" t="s">
        <v>67</v>
      </c>
      <c r="L7" s="1">
        <v>45790</v>
      </c>
      <c r="N7">
        <f>IF(Table1[[#This Row],[side]]="BUY", Table1[[#This Row],[quantity]],-Table1[[#This Row],[quantity]])</f>
        <v>-512</v>
      </c>
      <c r="O7" t="s">
        <v>171</v>
      </c>
      <c r="P7">
        <f>IF(Table1[[#This Row],[side]]="Sell",Table1[[#This Row],[price]],"0")</f>
        <v>806.08</v>
      </c>
      <c r="Q7">
        <f>SUMIFS(Table1[quantity],Table1[company_id],Table8[[#This Row],[COMPANY_ID]],Table1[side],"BUY")-SUMIFS(Table1[quantity],Table1[company_id],Table8[[#This Row],[COMPANY_ID]],Table1[side],"SELL")</f>
        <v>18</v>
      </c>
      <c r="R7">
        <f>Table1[[#This Row],[Column2]]-Table1[[#This Row],[Buy-sell]]</f>
        <v>788.08</v>
      </c>
      <c r="S7" t="str">
        <f>IF(Table1[[#This Row],[Sell-Buy]]&gt;0,"Profit","Loss")</f>
        <v>Profit</v>
      </c>
      <c r="T7" s="5" t="s">
        <v>175</v>
      </c>
      <c r="U7" s="8">
        <f>SUMIFS(Table1[price],Table1[order_id],Table15[[#This Row],[order_id]],Table1[side],"BUY")*Table15[[#This Row],[Buy_Quantity]]</f>
        <v>1111581.81</v>
      </c>
      <c r="V7" s="8">
        <f>SUMIFS(Table1[price],Table1[order_id],Table15[[#This Row],[order_id]],Table1[side],"SELL")</f>
        <v>226.75</v>
      </c>
      <c r="W7" s="8">
        <f>Table15[[#This Row],[sell]]-Table15[[#This Row],[Buy]]</f>
        <v>-854581249.13999999</v>
      </c>
      <c r="X7" s="8">
        <f>IF(Table15[[#This Row],[Profit]]&gt;0,1,0)</f>
        <v>0</v>
      </c>
      <c r="Y7" s="5" t="str">
        <f>IF(Table15[[#This Row],[is Profit]]=1,"Profit","Loss")</f>
        <v>Loss</v>
      </c>
      <c r="Z7" s="5">
        <f>SUMIFS(Table1[quantity],Table1[order_id],Table15[[#This Row],[order_id]],Table1[side],"SELL")</f>
        <v>993</v>
      </c>
      <c r="AA7" s="5">
        <f>Table15[[#This Row],[Buy_value]]*Table15[[#This Row],[Buy_Quantity]]</f>
        <v>854806411.88999999</v>
      </c>
      <c r="AB7" s="5">
        <f>Table15[[#This Row],[Sell_Value]]*Table15[[#This Row],[Sell_Quantity]]</f>
        <v>225162.75</v>
      </c>
      <c r="AC7" s="5">
        <f>SUMIFS(Table1[quantity],Table1[order_id],Table15[[#This Row],[order_id]],Table1[side],"BUY")</f>
        <v>769</v>
      </c>
      <c r="AE7" s="10" t="s">
        <v>1017</v>
      </c>
      <c r="AF7" s="10" t="str">
        <f>IF(Table1[[#This Row],[Sell-Buy]]&gt;0,"Profit","Loss")</f>
        <v>Profit</v>
      </c>
      <c r="AG7">
        <f>Table1[[#This Row],[Column2]]-Table1[[#This Row],[Buy-sell]]</f>
        <v>788.08</v>
      </c>
      <c r="AI7" s="5" t="s">
        <v>26</v>
      </c>
    </row>
    <row r="8" spans="1:35" x14ac:dyDescent="0.3">
      <c r="A8" t="s">
        <v>752</v>
      </c>
      <c r="B8" t="s">
        <v>548</v>
      </c>
      <c r="C8" s="1">
        <v>45835.038888888892</v>
      </c>
      <c r="D8" t="s">
        <v>6</v>
      </c>
      <c r="E8" t="s">
        <v>171</v>
      </c>
      <c r="F8">
        <v>225</v>
      </c>
      <c r="G8">
        <v>783.17</v>
      </c>
      <c r="H8">
        <v>88.11</v>
      </c>
      <c r="I8" t="s">
        <v>104</v>
      </c>
      <c r="J8" t="s">
        <v>52</v>
      </c>
      <c r="L8" s="1">
        <v>45793</v>
      </c>
      <c r="N8">
        <f>IF(Table1[[#This Row],[side]]="BUY", Table1[[#This Row],[quantity]],-Table1[[#This Row],[quantity]])</f>
        <v>-225</v>
      </c>
      <c r="O8" t="s">
        <v>171</v>
      </c>
      <c r="P8">
        <f>IF(Table1[[#This Row],[side]]="Sell",Table1[[#This Row],[price]],"0")</f>
        <v>783.17</v>
      </c>
      <c r="Q8">
        <f>SUMIFS(Table1[quantity],Table1[company_id],Table8[[#This Row],[COMPANY_ID]],Table1[side],"BUY")-SUMIFS(Table1[quantity],Table1[company_id],Table8[[#This Row],[COMPANY_ID]],Table1[side],"SELL")</f>
        <v>-1613</v>
      </c>
      <c r="R8">
        <f>Table1[[#This Row],[Column2]]-Table1[[#This Row],[Buy-sell]]</f>
        <v>2396.17</v>
      </c>
      <c r="S8" t="str">
        <f>IF(Table1[[#This Row],[Sell-Buy]]&gt;0,"Profit","Loss")</f>
        <v>Profit</v>
      </c>
      <c r="T8" s="5" t="s">
        <v>176</v>
      </c>
      <c r="U8" s="8">
        <f>SUMIFS(Table1[price],Table1[order_id],Table15[[#This Row],[order_id]],Table1[side],"BUY")*Table15[[#This Row],[Buy_Quantity]]</f>
        <v>150371.63999999998</v>
      </c>
      <c r="V8" s="8">
        <f>SUMIFS(Table1[price],Table1[order_id],Table15[[#This Row],[order_id]],Table1[side],"SELL")</f>
        <v>602.63</v>
      </c>
      <c r="W8" s="8">
        <f>Table15[[#This Row],[sell]]-Table15[[#This Row],[Buy]]</f>
        <v>-15709822.719999999</v>
      </c>
      <c r="X8" s="8">
        <f>IF(Table15[[#This Row],[Profit]]&gt;0,1,0)</f>
        <v>0</v>
      </c>
      <c r="Y8" s="5" t="str">
        <f>IF(Table15[[#This Row],[is Profit]]=1,"Profit","Loss")</f>
        <v>Loss</v>
      </c>
      <c r="Z8" s="5">
        <f>SUMIFS(Table1[quantity],Table1[order_id],Table15[[#This Row],[order_id]],Table1[side],"SELL")</f>
        <v>880</v>
      </c>
      <c r="AA8" s="5">
        <f>Table15[[#This Row],[Buy_value]]*Table15[[#This Row],[Buy_Quantity]]</f>
        <v>16240137.119999999</v>
      </c>
      <c r="AB8" s="5">
        <f>Table15[[#This Row],[Sell_Value]]*Table15[[#This Row],[Sell_Quantity]]</f>
        <v>530314.4</v>
      </c>
      <c r="AC8" s="5">
        <f>SUMIFS(Table1[quantity],Table1[order_id],Table15[[#This Row],[order_id]],Table1[side],"BUY")</f>
        <v>108</v>
      </c>
      <c r="AE8" s="9" t="s">
        <v>1055</v>
      </c>
      <c r="AF8" s="10" t="str">
        <f>IF(Table1[[#This Row],[Sell-Buy]]&gt;0,"Profit","Loss")</f>
        <v>Profit</v>
      </c>
      <c r="AG8">
        <f>Table1[[#This Row],[Column2]]-Table1[[#This Row],[Buy-sell]]</f>
        <v>2396.17</v>
      </c>
      <c r="AI8" s="4" t="s">
        <v>29</v>
      </c>
    </row>
    <row r="9" spans="1:35" x14ac:dyDescent="0.3">
      <c r="A9" t="s">
        <v>731</v>
      </c>
      <c r="B9" t="s">
        <v>203</v>
      </c>
      <c r="C9" s="1">
        <v>45695.004166666666</v>
      </c>
      <c r="D9" t="s">
        <v>6</v>
      </c>
      <c r="E9" t="s">
        <v>166</v>
      </c>
      <c r="F9">
        <v>428</v>
      </c>
      <c r="G9">
        <v>745.89</v>
      </c>
      <c r="H9">
        <v>159.62</v>
      </c>
      <c r="I9" t="s">
        <v>100</v>
      </c>
      <c r="J9" t="s">
        <v>76</v>
      </c>
      <c r="L9" s="1">
        <v>45832</v>
      </c>
      <c r="M9" t="s">
        <v>166</v>
      </c>
      <c r="N9">
        <f>IF(Table1[[#This Row],[side]]="BUY", Table1[[#This Row],[quantity]],-Table1[[#This Row],[quantity]])</f>
        <v>428</v>
      </c>
      <c r="P9" t="str">
        <f>IF(Table1[[#This Row],[side]]="Sell",Table1[[#This Row],[price]],"0")</f>
        <v>0</v>
      </c>
      <c r="Q9">
        <f>SUMIFS(Table1[quantity],Table1[company_id],Table8[[#This Row],[COMPANY_ID]],Table1[side],"BUY")-SUMIFS(Table1[quantity],Table1[company_id],Table8[[#This Row],[COMPANY_ID]],Table1[side],"SELL")</f>
        <v>5345</v>
      </c>
      <c r="R9">
        <f>Table1[[#This Row],[Column2]]-Table1[[#This Row],[Buy-sell]]</f>
        <v>-5345</v>
      </c>
      <c r="S9" t="str">
        <f>IF(Table1[[#This Row],[Sell-Buy]]&gt;0,"Profit","Loss")</f>
        <v>Loss</v>
      </c>
      <c r="T9" s="5" t="s">
        <v>177</v>
      </c>
      <c r="U9" s="8">
        <f>SUMIFS(Table1[price],Table1[order_id],Table15[[#This Row],[order_id]],Table1[side],"BUY")*Table15[[#This Row],[Buy_Quantity]]</f>
        <v>239876.94</v>
      </c>
      <c r="V9" s="8">
        <f>SUMIFS(Table1[price],Table1[order_id],Table15[[#This Row],[order_id]],Table1[side],"SELL")</f>
        <v>236.99</v>
      </c>
      <c r="W9" s="8">
        <f>Table15[[#This Row],[sell]]-Table15[[#This Row],[Buy]]</f>
        <v>-75045933.719999999</v>
      </c>
      <c r="X9" s="8">
        <f>IF(Table15[[#This Row],[Profit]]&gt;0,1,0)</f>
        <v>0</v>
      </c>
      <c r="Y9" s="5" t="str">
        <f>IF(Table15[[#This Row],[is Profit]]=1,"Profit","Loss")</f>
        <v>Loss</v>
      </c>
      <c r="Z9" s="5">
        <f>SUMIFS(Table1[quantity],Table1[order_id],Table15[[#This Row],[order_id]],Table1[side],"SELL")</f>
        <v>150</v>
      </c>
      <c r="AA9" s="5">
        <f>Table15[[#This Row],[Buy_value]]*Table15[[#This Row],[Buy_Quantity]]</f>
        <v>75081482.219999999</v>
      </c>
      <c r="AB9" s="5">
        <f>Table15[[#This Row],[Sell_Value]]*Table15[[#This Row],[Sell_Quantity]]</f>
        <v>35548.5</v>
      </c>
      <c r="AC9" s="5">
        <f>SUMIFS(Table1[quantity],Table1[order_id],Table15[[#This Row],[order_id]],Table1[side],"BUY")</f>
        <v>313</v>
      </c>
      <c r="AE9" s="10" t="s">
        <v>714</v>
      </c>
      <c r="AF9" s="10" t="str">
        <f>IF(Table1[[#This Row],[Sell-Buy]]&gt;0,"Profit","Loss")</f>
        <v>Loss</v>
      </c>
      <c r="AG9">
        <f>Table1[[#This Row],[Column2]]-Table1[[#This Row],[Buy-sell]]</f>
        <v>-5345</v>
      </c>
      <c r="AI9" s="5" t="s">
        <v>33</v>
      </c>
    </row>
    <row r="10" spans="1:35" x14ac:dyDescent="0.3">
      <c r="A10" t="s">
        <v>783</v>
      </c>
      <c r="B10" t="s">
        <v>601</v>
      </c>
      <c r="C10" s="1">
        <v>45832.015972222223</v>
      </c>
      <c r="D10" t="s">
        <v>6</v>
      </c>
      <c r="E10" t="s">
        <v>171</v>
      </c>
      <c r="F10">
        <v>90</v>
      </c>
      <c r="G10">
        <v>775.93</v>
      </c>
      <c r="H10">
        <v>34.92</v>
      </c>
      <c r="I10" t="s">
        <v>122</v>
      </c>
      <c r="J10" t="s">
        <v>70</v>
      </c>
      <c r="L10" s="1">
        <v>45834</v>
      </c>
      <c r="N10">
        <f>IF(Table1[[#This Row],[side]]="BUY", Table1[[#This Row],[quantity]],-Table1[[#This Row],[quantity]])</f>
        <v>-90</v>
      </c>
      <c r="O10" t="s">
        <v>171</v>
      </c>
      <c r="P10">
        <f>IF(Table1[[#This Row],[side]]="Sell",Table1[[#This Row],[price]],"0")</f>
        <v>775.93</v>
      </c>
      <c r="Q10">
        <f>SUMIFS(Table1[quantity],Table1[company_id],Table8[[#This Row],[COMPANY_ID]],Table1[side],"BUY")-SUMIFS(Table1[quantity],Table1[company_id],Table8[[#This Row],[COMPANY_ID]],Table1[side],"SELL")</f>
        <v>0</v>
      </c>
      <c r="R10">
        <f>Table1[[#This Row],[Column2]]-Table1[[#This Row],[Buy-sell]]</f>
        <v>775.93</v>
      </c>
      <c r="S10" t="str">
        <f>IF(Table1[[#This Row],[Sell-Buy]]&gt;0,"Profit","Loss")</f>
        <v>Profit</v>
      </c>
      <c r="T10" s="4" t="s">
        <v>178</v>
      </c>
      <c r="U10" s="8">
        <f>SUMIFS(Table1[price],Table1[order_id],Table15[[#This Row],[order_id]],Table1[side],"BUY")*Table15[[#This Row],[Buy_Quantity]]</f>
        <v>230554.35</v>
      </c>
      <c r="V10" s="8">
        <f>SUMIFS(Table1[price],Table1[order_id],Table15[[#This Row],[order_id]],Table1[side],"SELL")</f>
        <v>0</v>
      </c>
      <c r="W10" s="8">
        <f>Table15[[#This Row],[sell]]-Table15[[#This Row],[Buy]]</f>
        <v>-20058228.449999999</v>
      </c>
      <c r="X10" s="8">
        <f>IF(Table15[[#This Row],[Profit]]&gt;0,1,0)</f>
        <v>0</v>
      </c>
      <c r="Y10" s="5" t="str">
        <f>IF(Table15[[#This Row],[is Profit]]=1,"Profit","Loss")</f>
        <v>Loss</v>
      </c>
      <c r="Z10" s="5">
        <f>SUMIFS(Table1[quantity],Table1[order_id],Table15[[#This Row],[order_id]],Table1[side],"SELL")</f>
        <v>0</v>
      </c>
      <c r="AA10" s="5">
        <f>Table15[[#This Row],[Buy_value]]*Table15[[#This Row],[Buy_Quantity]]</f>
        <v>20058228.449999999</v>
      </c>
      <c r="AB10" s="5">
        <f>Table15[[#This Row],[Sell_Value]]*Table15[[#This Row],[Sell_Quantity]]</f>
        <v>0</v>
      </c>
      <c r="AC10" s="5">
        <f>SUMIFS(Table1[quantity],Table1[order_id],Table15[[#This Row],[order_id]],Table1[side],"BUY")</f>
        <v>87</v>
      </c>
      <c r="AE10" s="9" t="s">
        <v>829</v>
      </c>
      <c r="AF10" s="10" t="str">
        <f>IF(Table1[[#This Row],[Sell-Buy]]&gt;0,"Profit","Loss")</f>
        <v>Profit</v>
      </c>
      <c r="AG10">
        <f>Table1[[#This Row],[Column2]]-Table1[[#This Row],[Buy-sell]]</f>
        <v>775.93</v>
      </c>
    </row>
    <row r="11" spans="1:35" x14ac:dyDescent="0.3">
      <c r="A11" t="s">
        <v>742</v>
      </c>
      <c r="B11" t="s">
        <v>422</v>
      </c>
      <c r="C11" s="1">
        <v>45804.009027777778</v>
      </c>
      <c r="D11" t="s">
        <v>6</v>
      </c>
      <c r="E11" t="s">
        <v>166</v>
      </c>
      <c r="F11">
        <v>57</v>
      </c>
      <c r="G11">
        <v>777.78</v>
      </c>
      <c r="H11">
        <v>22.17</v>
      </c>
      <c r="I11" t="s">
        <v>130</v>
      </c>
      <c r="J11" t="s">
        <v>52</v>
      </c>
      <c r="L11" s="1">
        <v>45687</v>
      </c>
      <c r="M11" t="s">
        <v>166</v>
      </c>
      <c r="N11">
        <f>IF(Table1[[#This Row],[side]]="BUY", Table1[[#This Row],[quantity]],-Table1[[#This Row],[quantity]])</f>
        <v>57</v>
      </c>
      <c r="P11" t="str">
        <f>IF(Table1[[#This Row],[side]]="Sell",Table1[[#This Row],[price]],"0")</f>
        <v>0</v>
      </c>
      <c r="Q11">
        <f>SUMIFS(Table1[quantity],Table1[company_id],Table8[[#This Row],[COMPANY_ID]],Table1[side],"BUY")-SUMIFS(Table1[quantity],Table1[company_id],Table8[[#This Row],[COMPANY_ID]],Table1[side],"SELL")</f>
        <v>0</v>
      </c>
      <c r="R11">
        <f>Table1[[#This Row],[Column2]]-Table1[[#This Row],[Buy-sell]]</f>
        <v>0</v>
      </c>
      <c r="S11" t="str">
        <f>IF(Table1[[#This Row],[Sell-Buy]]&gt;0,"Profit","Loss")</f>
        <v>Loss</v>
      </c>
      <c r="T11" s="5" t="s">
        <v>180</v>
      </c>
      <c r="U11" s="8">
        <f>SUMIFS(Table1[price],Table1[order_id],Table15[[#This Row],[order_id]],Table1[side],"BUY")*Table15[[#This Row],[Buy_Quantity]]</f>
        <v>2634731.84</v>
      </c>
      <c r="V11" s="8">
        <f>SUMIFS(Table1[price],Table1[order_id],Table15[[#This Row],[order_id]],Table1[side],"SELL")</f>
        <v>0</v>
      </c>
      <c r="W11" s="8">
        <f>Table15[[#This Row],[sell]]-Table15[[#This Row],[Buy]]</f>
        <v>-2676887549.4400001</v>
      </c>
      <c r="X11" s="8">
        <f>IF(Table15[[#This Row],[Profit]]&gt;0,1,0)</f>
        <v>0</v>
      </c>
      <c r="Y11" s="5" t="str">
        <f>IF(Table15[[#This Row],[is Profit]]=1,"Profit","Loss")</f>
        <v>Loss</v>
      </c>
      <c r="Z11" s="5">
        <f>SUMIFS(Table1[quantity],Table1[order_id],Table15[[#This Row],[order_id]],Table1[side],"SELL")</f>
        <v>0</v>
      </c>
      <c r="AA11" s="5">
        <f>Table15[[#This Row],[Buy_value]]*Table15[[#This Row],[Buy_Quantity]]</f>
        <v>2676887549.4400001</v>
      </c>
      <c r="AB11" s="5">
        <f>Table15[[#This Row],[Sell_Value]]*Table15[[#This Row],[Sell_Quantity]]</f>
        <v>0</v>
      </c>
      <c r="AC11" s="5">
        <f>SUMIFS(Table1[quantity],Table1[order_id],Table15[[#This Row],[order_id]],Table1[side],"BUY")</f>
        <v>1016</v>
      </c>
      <c r="AE11" s="10" t="s">
        <v>750</v>
      </c>
      <c r="AF11" s="10" t="str">
        <f>IF(Table1[[#This Row],[Sell-Buy]]&gt;0,"Profit","Loss")</f>
        <v>Loss</v>
      </c>
      <c r="AG11">
        <f>Table1[[#This Row],[Column2]]-Table1[[#This Row],[Buy-sell]]</f>
        <v>0</v>
      </c>
    </row>
    <row r="12" spans="1:35" x14ac:dyDescent="0.3">
      <c r="A12" t="s">
        <v>807</v>
      </c>
      <c r="B12" t="s">
        <v>667</v>
      </c>
      <c r="C12" s="1">
        <v>45673.026388888888</v>
      </c>
      <c r="D12" t="s">
        <v>6</v>
      </c>
      <c r="E12" t="s">
        <v>171</v>
      </c>
      <c r="F12">
        <v>189</v>
      </c>
      <c r="G12">
        <v>769.43</v>
      </c>
      <c r="H12">
        <v>72.709999999999994</v>
      </c>
      <c r="I12" t="s">
        <v>120</v>
      </c>
      <c r="J12" t="s">
        <v>64</v>
      </c>
      <c r="L12" s="1">
        <v>45691</v>
      </c>
      <c r="N12">
        <f>IF(Table1[[#This Row],[side]]="BUY", Table1[[#This Row],[quantity]],-Table1[[#This Row],[quantity]])</f>
        <v>-189</v>
      </c>
      <c r="O12" t="s">
        <v>171</v>
      </c>
      <c r="P12">
        <f>IF(Table1[[#This Row],[side]]="Sell",Table1[[#This Row],[price]],"0")</f>
        <v>769.43</v>
      </c>
      <c r="Q12">
        <f>SUMIFS(Table1[quantity],Table1[company_id],Table8[[#This Row],[COMPANY_ID]],Table1[side],"BUY")-SUMIFS(Table1[quantity],Table1[company_id],Table8[[#This Row],[COMPANY_ID]],Table1[side],"SELL")</f>
        <v>0</v>
      </c>
      <c r="R12">
        <f>Table1[[#This Row],[Column2]]-Table1[[#This Row],[Buy-sell]]</f>
        <v>769.43</v>
      </c>
      <c r="S12" t="str">
        <f>IF(Table1[[#This Row],[Sell-Buy]]&gt;0,"Profit","Loss")</f>
        <v>Profit</v>
      </c>
      <c r="T12" s="4" t="s">
        <v>181</v>
      </c>
      <c r="U12" s="8">
        <f>SUMIFS(Table1[price],Table1[order_id],Table15[[#This Row],[order_id]],Table1[side],"BUY")*Table15[[#This Row],[Buy_Quantity]]</f>
        <v>0</v>
      </c>
      <c r="V12" s="8">
        <f>SUMIFS(Table1[price],Table1[order_id],Table15[[#This Row],[order_id]],Table1[side],"SELL")</f>
        <v>1185.76</v>
      </c>
      <c r="W12" s="8">
        <f>Table15[[#This Row],[sell]]-Table15[[#This Row],[Buy]]</f>
        <v>62845.279999999999</v>
      </c>
      <c r="X12" s="8">
        <f>IF(Table15[[#This Row],[Profit]]&gt;0,1,0)</f>
        <v>1</v>
      </c>
      <c r="Y12" s="5" t="str">
        <f>IF(Table15[[#This Row],[is Profit]]=1,"Profit","Loss")</f>
        <v>Profit</v>
      </c>
      <c r="Z12" s="5">
        <f>SUMIFS(Table1[quantity],Table1[order_id],Table15[[#This Row],[order_id]],Table1[side],"SELL")</f>
        <v>53</v>
      </c>
      <c r="AA12" s="5">
        <f>Table15[[#This Row],[Buy_value]]*Table15[[#This Row],[Buy_Quantity]]</f>
        <v>0</v>
      </c>
      <c r="AB12" s="5">
        <f>Table15[[#This Row],[Sell_Value]]*Table15[[#This Row],[Sell_Quantity]]</f>
        <v>62845.279999999999</v>
      </c>
      <c r="AC12" s="5">
        <f>SUMIFS(Table1[quantity],Table1[order_id],Table15[[#This Row],[order_id]],Table1[side],"BUY")</f>
        <v>0</v>
      </c>
      <c r="AE12" s="9" t="s">
        <v>1007</v>
      </c>
      <c r="AF12" s="10" t="str">
        <f>IF(Table1[[#This Row],[Sell-Buy]]&gt;0,"Profit","Loss")</f>
        <v>Profit</v>
      </c>
      <c r="AG12">
        <f>Table1[[#This Row],[Column2]]-Table1[[#This Row],[Buy-sell]]</f>
        <v>769.43</v>
      </c>
    </row>
    <row r="13" spans="1:35" x14ac:dyDescent="0.3">
      <c r="A13" t="s">
        <v>811</v>
      </c>
      <c r="B13" t="s">
        <v>522</v>
      </c>
      <c r="C13" s="1">
        <v>45677.032638888886</v>
      </c>
      <c r="D13" t="s">
        <v>6</v>
      </c>
      <c r="E13" t="s">
        <v>171</v>
      </c>
      <c r="F13">
        <v>787</v>
      </c>
      <c r="G13">
        <v>759.58</v>
      </c>
      <c r="H13">
        <v>298.89</v>
      </c>
      <c r="I13" t="s">
        <v>128</v>
      </c>
      <c r="J13" t="s">
        <v>64</v>
      </c>
      <c r="L13" s="1">
        <v>45723</v>
      </c>
      <c r="N13">
        <f>IF(Table1[[#This Row],[side]]="BUY", Table1[[#This Row],[quantity]],-Table1[[#This Row],[quantity]])</f>
        <v>-787</v>
      </c>
      <c r="O13" t="s">
        <v>171</v>
      </c>
      <c r="P13">
        <f>IF(Table1[[#This Row],[side]]="Sell",Table1[[#This Row],[price]],"0")</f>
        <v>759.58</v>
      </c>
      <c r="Q13">
        <f>SUMIFS(Table1[quantity],Table1[company_id],Table8[[#This Row],[COMPANY_ID]],Table1[side],"BUY")-SUMIFS(Table1[quantity],Table1[company_id],Table8[[#This Row],[COMPANY_ID]],Table1[side],"SELL")</f>
        <v>0</v>
      </c>
      <c r="R13">
        <f>Table1[[#This Row],[Column2]]-Table1[[#This Row],[Buy-sell]]</f>
        <v>759.58</v>
      </c>
      <c r="S13" t="str">
        <f>IF(Table1[[#This Row],[Sell-Buy]]&gt;0,"Profit","Loss")</f>
        <v>Profit</v>
      </c>
      <c r="T13" s="5" t="s">
        <v>182</v>
      </c>
      <c r="U13" s="8">
        <f>SUMIFS(Table1[price],Table1[order_id],Table15[[#This Row],[order_id]],Table1[side],"BUY")*Table15[[#This Row],[Buy_Quantity]]</f>
        <v>2317561.0699999998</v>
      </c>
      <c r="V13" s="8">
        <f>SUMIFS(Table1[price],Table1[order_id],Table15[[#This Row],[order_id]],Table1[side],"SELL")</f>
        <v>0</v>
      </c>
      <c r="W13" s="8">
        <f>Table15[[#This Row],[sell]]-Table15[[#This Row],[Buy]]</f>
        <v>-2880728410.0099998</v>
      </c>
      <c r="X13" s="8">
        <f>IF(Table15[[#This Row],[Profit]]&gt;0,1,0)</f>
        <v>0</v>
      </c>
      <c r="Y13" s="5" t="str">
        <f>IF(Table15[[#This Row],[is Profit]]=1,"Profit","Loss")</f>
        <v>Loss</v>
      </c>
      <c r="Z13" s="5">
        <f>SUMIFS(Table1[quantity],Table1[order_id],Table15[[#This Row],[order_id]],Table1[side],"SELL")</f>
        <v>0</v>
      </c>
      <c r="AA13" s="5">
        <f>Table15[[#This Row],[Buy_value]]*Table15[[#This Row],[Buy_Quantity]]</f>
        <v>2880728410.0099998</v>
      </c>
      <c r="AB13" s="5">
        <f>Table15[[#This Row],[Sell_Value]]*Table15[[#This Row],[Sell_Quantity]]</f>
        <v>0</v>
      </c>
      <c r="AC13" s="5">
        <f>SUMIFS(Table1[quantity],Table1[order_id],Table15[[#This Row],[order_id]],Table1[side],"BUY")</f>
        <v>1243</v>
      </c>
      <c r="AE13" s="10" t="s">
        <v>987</v>
      </c>
      <c r="AF13" s="10" t="str">
        <f>IF(Table1[[#This Row],[Sell-Buy]]&gt;0,"Profit","Loss")</f>
        <v>Profit</v>
      </c>
      <c r="AG13">
        <f>Table1[[#This Row],[Column2]]-Table1[[#This Row],[Buy-sell]]</f>
        <v>759.58</v>
      </c>
    </row>
    <row r="14" spans="1:35" x14ac:dyDescent="0.3">
      <c r="A14" t="s">
        <v>751</v>
      </c>
      <c r="B14" t="s">
        <v>595</v>
      </c>
      <c r="C14" s="1">
        <v>45754.037499999999</v>
      </c>
      <c r="D14" t="s">
        <v>6</v>
      </c>
      <c r="E14" t="s">
        <v>166</v>
      </c>
      <c r="F14">
        <v>988</v>
      </c>
      <c r="G14">
        <v>814.07</v>
      </c>
      <c r="H14">
        <v>402.15</v>
      </c>
      <c r="I14" t="s">
        <v>106</v>
      </c>
      <c r="J14" t="s">
        <v>64</v>
      </c>
      <c r="L14" s="1">
        <v>45729</v>
      </c>
      <c r="M14" t="s">
        <v>166</v>
      </c>
      <c r="N14">
        <f>IF(Table1[[#This Row],[side]]="BUY", Table1[[#This Row],[quantity]],-Table1[[#This Row],[quantity]])</f>
        <v>988</v>
      </c>
      <c r="P14" t="str">
        <f>IF(Table1[[#This Row],[side]]="Sell",Table1[[#This Row],[price]],"0")</f>
        <v>0</v>
      </c>
      <c r="Q14">
        <f>SUMIFS(Table1[quantity],Table1[company_id],Table8[[#This Row],[COMPANY_ID]],Table1[side],"BUY")-SUMIFS(Table1[quantity],Table1[company_id],Table8[[#This Row],[COMPANY_ID]],Table1[side],"SELL")</f>
        <v>0</v>
      </c>
      <c r="R14">
        <f>Table1[[#This Row],[Column2]]-Table1[[#This Row],[Buy-sell]]</f>
        <v>0</v>
      </c>
      <c r="S14" t="str">
        <f>IF(Table1[[#This Row],[Sell-Buy]]&gt;0,"Profit","Loss")</f>
        <v>Loss</v>
      </c>
      <c r="T14" s="5" t="s">
        <v>183</v>
      </c>
      <c r="U14" s="8">
        <f>SUMIFS(Table1[price],Table1[order_id],Table15[[#This Row],[order_id]],Table1[side],"BUY")*Table15[[#This Row],[Buy_Quantity]]</f>
        <v>0</v>
      </c>
      <c r="V14" s="8">
        <f>SUMIFS(Table1[price],Table1[order_id],Table15[[#This Row],[order_id]],Table1[side],"SELL")</f>
        <v>1264.4100000000001</v>
      </c>
      <c r="W14" s="8">
        <f>Table15[[#This Row],[sell]]-Table15[[#This Row],[Buy]]</f>
        <v>2107771.4700000002</v>
      </c>
      <c r="X14" s="8">
        <f>IF(Table15[[#This Row],[Profit]]&gt;0,1,0)</f>
        <v>1</v>
      </c>
      <c r="Y14" s="5" t="str">
        <f>IF(Table15[[#This Row],[is Profit]]=1,"Profit","Loss")</f>
        <v>Profit</v>
      </c>
      <c r="Z14" s="5">
        <f>SUMIFS(Table1[quantity],Table1[order_id],Table15[[#This Row],[order_id]],Table1[side],"SELL")</f>
        <v>1667</v>
      </c>
      <c r="AA14" s="5">
        <f>Table15[[#This Row],[Buy_value]]*Table15[[#This Row],[Buy_Quantity]]</f>
        <v>0</v>
      </c>
      <c r="AB14" s="5">
        <f>Table15[[#This Row],[Sell_Value]]*Table15[[#This Row],[Sell_Quantity]]</f>
        <v>2107771.4700000002</v>
      </c>
      <c r="AC14" s="5">
        <f>SUMIFS(Table1[quantity],Table1[order_id],Table15[[#This Row],[order_id]],Table1[side],"BUY")</f>
        <v>0</v>
      </c>
      <c r="AE14" s="9" t="s">
        <v>1136</v>
      </c>
      <c r="AF14" s="10" t="str">
        <f>IF(Table1[[#This Row],[Sell-Buy]]&gt;0,"Profit","Loss")</f>
        <v>Loss</v>
      </c>
      <c r="AG14">
        <f>Table1[[#This Row],[Column2]]-Table1[[#This Row],[Buy-sell]]</f>
        <v>0</v>
      </c>
    </row>
    <row r="15" spans="1:35" x14ac:dyDescent="0.3">
      <c r="A15" t="s">
        <v>757</v>
      </c>
      <c r="B15" t="s">
        <v>603</v>
      </c>
      <c r="C15" s="1">
        <v>45813.040972222225</v>
      </c>
      <c r="D15" t="s">
        <v>6</v>
      </c>
      <c r="E15" t="s">
        <v>166</v>
      </c>
      <c r="F15">
        <v>745</v>
      </c>
      <c r="G15">
        <v>761.02</v>
      </c>
      <c r="H15">
        <v>283.48</v>
      </c>
      <c r="I15" t="s">
        <v>108</v>
      </c>
      <c r="J15" t="s">
        <v>58</v>
      </c>
      <c r="L15" s="1">
        <v>45791</v>
      </c>
      <c r="M15" t="s">
        <v>166</v>
      </c>
      <c r="N15">
        <f>IF(Table1[[#This Row],[side]]="BUY", Table1[[#This Row],[quantity]],-Table1[[#This Row],[quantity]])</f>
        <v>745</v>
      </c>
      <c r="P15" t="str">
        <f>IF(Table1[[#This Row],[side]]="Sell",Table1[[#This Row],[price]],"0")</f>
        <v>0</v>
      </c>
      <c r="Q15">
        <f>SUMIFS(Table1[quantity],Table1[company_id],Table8[[#This Row],[COMPANY_ID]],Table1[side],"BUY")-SUMIFS(Table1[quantity],Table1[company_id],Table8[[#This Row],[COMPANY_ID]],Table1[side],"SELL")</f>
        <v>0</v>
      </c>
      <c r="R15">
        <f>Table1[[#This Row],[Column2]]-Table1[[#This Row],[Buy-sell]]</f>
        <v>0</v>
      </c>
      <c r="S15" t="str">
        <f>IF(Table1[[#This Row],[Sell-Buy]]&gt;0,"Profit","Loss")</f>
        <v>Loss</v>
      </c>
      <c r="T15" s="5" t="s">
        <v>186</v>
      </c>
      <c r="U15" s="8">
        <f>SUMIFS(Table1[price],Table1[order_id],Table15[[#This Row],[order_id]],Table1[side],"BUY")*Table15[[#This Row],[Buy_Quantity]]</f>
        <v>0</v>
      </c>
      <c r="V15" s="8">
        <f>SUMIFS(Table1[price],Table1[order_id],Table15[[#This Row],[order_id]],Table1[side],"SELL")</f>
        <v>2172.1799999999998</v>
      </c>
      <c r="W15" s="8">
        <f>Table15[[#This Row],[sell]]-Table15[[#This Row],[Buy]]</f>
        <v>1935412.38</v>
      </c>
      <c r="X15" s="8">
        <f>IF(Table15[[#This Row],[Profit]]&gt;0,1,0)</f>
        <v>1</v>
      </c>
      <c r="Y15" s="5" t="str">
        <f>IF(Table15[[#This Row],[is Profit]]=1,"Profit","Loss")</f>
        <v>Profit</v>
      </c>
      <c r="Z15" s="5">
        <f>SUMIFS(Table1[quantity],Table1[order_id],Table15[[#This Row],[order_id]],Table1[side],"SELL")</f>
        <v>891</v>
      </c>
      <c r="AA15" s="5">
        <f>Table15[[#This Row],[Buy_value]]*Table15[[#This Row],[Buy_Quantity]]</f>
        <v>0</v>
      </c>
      <c r="AB15" s="5">
        <f>Table15[[#This Row],[Sell_Value]]*Table15[[#This Row],[Sell_Quantity]]</f>
        <v>1935412.38</v>
      </c>
      <c r="AC15" s="5">
        <f>SUMIFS(Table1[quantity],Table1[order_id],Table15[[#This Row],[order_id]],Table1[side],"BUY")</f>
        <v>0</v>
      </c>
      <c r="AE15" s="10" t="s">
        <v>716</v>
      </c>
      <c r="AF15" s="10" t="str">
        <f>IF(Table1[[#This Row],[Sell-Buy]]&gt;0,"Profit","Loss")</f>
        <v>Loss</v>
      </c>
      <c r="AG15">
        <f>Table1[[#This Row],[Column2]]-Table1[[#This Row],[Buy-sell]]</f>
        <v>0</v>
      </c>
    </row>
    <row r="16" spans="1:35" x14ac:dyDescent="0.3">
      <c r="A16" t="s">
        <v>836</v>
      </c>
      <c r="B16" t="s">
        <v>458</v>
      </c>
      <c r="C16" s="1">
        <v>45790.033333333333</v>
      </c>
      <c r="D16" t="s">
        <v>6</v>
      </c>
      <c r="E16" t="s">
        <v>171</v>
      </c>
      <c r="F16">
        <v>923</v>
      </c>
      <c r="G16">
        <v>814.88</v>
      </c>
      <c r="H16">
        <v>376.07</v>
      </c>
      <c r="I16" t="s">
        <v>104</v>
      </c>
      <c r="J16" t="s">
        <v>49</v>
      </c>
      <c r="L16" s="1">
        <v>45832</v>
      </c>
      <c r="N16">
        <f>IF(Table1[[#This Row],[side]]="BUY", Table1[[#This Row],[quantity]],-Table1[[#This Row],[quantity]])</f>
        <v>-923</v>
      </c>
      <c r="O16" t="s">
        <v>171</v>
      </c>
      <c r="P16">
        <f>IF(Table1[[#This Row],[side]]="Sell",Table1[[#This Row],[price]],"0")</f>
        <v>814.88</v>
      </c>
      <c r="Q16">
        <f>SUMIFS(Table1[quantity],Table1[company_id],Table8[[#This Row],[COMPANY_ID]],Table1[side],"BUY")-SUMIFS(Table1[quantity],Table1[company_id],Table8[[#This Row],[COMPANY_ID]],Table1[side],"SELL")</f>
        <v>0</v>
      </c>
      <c r="R16">
        <f>Table1[[#This Row],[Column2]]-Table1[[#This Row],[Buy-sell]]</f>
        <v>814.88</v>
      </c>
      <c r="S16" t="str">
        <f>IF(Table1[[#This Row],[Sell-Buy]]&gt;0,"Profit","Loss")</f>
        <v>Profit</v>
      </c>
      <c r="T16" s="5" t="s">
        <v>187</v>
      </c>
      <c r="U16" s="8">
        <f>SUMIFS(Table1[price],Table1[order_id],Table15[[#This Row],[order_id]],Table1[side],"BUY")*Table15[[#This Row],[Buy_Quantity]]</f>
        <v>233777.06</v>
      </c>
      <c r="V16" s="8">
        <f>SUMIFS(Table1[price],Table1[order_id],Table15[[#This Row],[order_id]],Table1[side],"SELL")</f>
        <v>0</v>
      </c>
      <c r="W16" s="8">
        <f>Table15[[#This Row],[sell]]-Table15[[#This Row],[Buy]]</f>
        <v>-229802849.97999999</v>
      </c>
      <c r="X16" s="8">
        <f>IF(Table15[[#This Row],[Profit]]&gt;0,1,0)</f>
        <v>0</v>
      </c>
      <c r="Y16" s="5" t="str">
        <f>IF(Table15[[#This Row],[is Profit]]=1,"Profit","Loss")</f>
        <v>Loss</v>
      </c>
      <c r="Z16" s="5">
        <f>SUMIFS(Table1[quantity],Table1[order_id],Table15[[#This Row],[order_id]],Table1[side],"SELL")</f>
        <v>0</v>
      </c>
      <c r="AA16" s="5">
        <f>Table15[[#This Row],[Buy_value]]*Table15[[#This Row],[Buy_Quantity]]</f>
        <v>229802849.97999999</v>
      </c>
      <c r="AB16" s="5">
        <f>Table15[[#This Row],[Sell_Value]]*Table15[[#This Row],[Sell_Quantity]]</f>
        <v>0</v>
      </c>
      <c r="AC16" s="5">
        <f>SUMIFS(Table1[quantity],Table1[order_id],Table15[[#This Row],[order_id]],Table1[side],"BUY")</f>
        <v>983</v>
      </c>
      <c r="AE16" s="9" t="s">
        <v>719</v>
      </c>
      <c r="AF16" s="10" t="str">
        <f>IF(Table1[[#This Row],[Sell-Buy]]&gt;0,"Profit","Loss")</f>
        <v>Profit</v>
      </c>
      <c r="AG16">
        <f>Table1[[#This Row],[Column2]]-Table1[[#This Row],[Buy-sell]]</f>
        <v>814.88</v>
      </c>
    </row>
    <row r="17" spans="1:33" x14ac:dyDescent="0.3">
      <c r="A17" t="s">
        <v>843</v>
      </c>
      <c r="B17" t="s">
        <v>532</v>
      </c>
      <c r="C17" s="1">
        <v>45814.021527777775</v>
      </c>
      <c r="D17" t="s">
        <v>6</v>
      </c>
      <c r="E17" t="s">
        <v>171</v>
      </c>
      <c r="F17">
        <v>863</v>
      </c>
      <c r="G17">
        <v>756.52</v>
      </c>
      <c r="H17">
        <v>326.44</v>
      </c>
      <c r="I17" t="s">
        <v>124</v>
      </c>
      <c r="J17" t="s">
        <v>52</v>
      </c>
      <c r="L17" s="1">
        <v>45825</v>
      </c>
      <c r="N17">
        <f>IF(Table1[[#This Row],[side]]="BUY", Table1[[#This Row],[quantity]],-Table1[[#This Row],[quantity]])</f>
        <v>-863</v>
      </c>
      <c r="O17" t="s">
        <v>171</v>
      </c>
      <c r="P17">
        <f>IF(Table1[[#This Row],[side]]="Sell",Table1[[#This Row],[price]],"0")</f>
        <v>756.52</v>
      </c>
      <c r="Q17">
        <f>SUMIFS(Table1[quantity],Table1[company_id],Table8[[#This Row],[COMPANY_ID]],Table1[side],"BUY")-SUMIFS(Table1[quantity],Table1[company_id],Table8[[#This Row],[COMPANY_ID]],Table1[side],"SELL")</f>
        <v>0</v>
      </c>
      <c r="R17">
        <f>Table1[[#This Row],[Column2]]-Table1[[#This Row],[Buy-sell]]</f>
        <v>756.52</v>
      </c>
      <c r="S17" t="str">
        <f>IF(Table1[[#This Row],[Sell-Buy]]&gt;0,"Profit","Loss")</f>
        <v>Profit</v>
      </c>
      <c r="T17" s="5" t="s">
        <v>188</v>
      </c>
      <c r="U17" s="8">
        <f>SUMIFS(Table1[price],Table1[order_id],Table15[[#This Row],[order_id]],Table1[side],"BUY")*Table15[[#This Row],[Buy_Quantity]]</f>
        <v>154900.62</v>
      </c>
      <c r="V17" s="8">
        <f>SUMIFS(Table1[price],Table1[order_id],Table15[[#This Row],[order_id]],Table1[side],"SELL")</f>
        <v>0</v>
      </c>
      <c r="W17" s="8">
        <f>Table15[[#This Row],[sell]]-Table15[[#This Row],[Buy]]</f>
        <v>-19517478.120000001</v>
      </c>
      <c r="X17" s="8">
        <f>IF(Table15[[#This Row],[Profit]]&gt;0,1,0)</f>
        <v>0</v>
      </c>
      <c r="Y17" s="5" t="str">
        <f>IF(Table15[[#This Row],[is Profit]]=1,"Profit","Loss")</f>
        <v>Loss</v>
      </c>
      <c r="Z17" s="5">
        <f>SUMIFS(Table1[quantity],Table1[order_id],Table15[[#This Row],[order_id]],Table1[side],"SELL")</f>
        <v>0</v>
      </c>
      <c r="AA17" s="5">
        <f>Table15[[#This Row],[Buy_value]]*Table15[[#This Row],[Buy_Quantity]]</f>
        <v>19517478.120000001</v>
      </c>
      <c r="AB17" s="5">
        <f>Table15[[#This Row],[Sell_Value]]*Table15[[#This Row],[Sell_Quantity]]</f>
        <v>0</v>
      </c>
      <c r="AC17" s="5">
        <f>SUMIFS(Table1[quantity],Table1[order_id],Table15[[#This Row],[order_id]],Table1[side],"BUY")</f>
        <v>126</v>
      </c>
      <c r="AE17" s="10" t="s">
        <v>949</v>
      </c>
      <c r="AF17" s="10" t="str">
        <f>IF(Table1[[#This Row],[Sell-Buy]]&gt;0,"Profit","Loss")</f>
        <v>Profit</v>
      </c>
      <c r="AG17">
        <f>Table1[[#This Row],[Column2]]-Table1[[#This Row],[Buy-sell]]</f>
        <v>756.52</v>
      </c>
    </row>
    <row r="18" spans="1:33" x14ac:dyDescent="0.3">
      <c r="A18" t="s">
        <v>845</v>
      </c>
      <c r="B18" t="s">
        <v>492</v>
      </c>
      <c r="C18" s="1">
        <v>45679.032638888886</v>
      </c>
      <c r="D18" t="s">
        <v>6</v>
      </c>
      <c r="E18" t="s">
        <v>171</v>
      </c>
      <c r="F18">
        <v>174</v>
      </c>
      <c r="G18">
        <v>732.03</v>
      </c>
      <c r="H18">
        <v>63.69</v>
      </c>
      <c r="I18" t="s">
        <v>110</v>
      </c>
      <c r="J18" t="s">
        <v>58</v>
      </c>
      <c r="L18" s="1">
        <v>45791</v>
      </c>
      <c r="N18">
        <f>IF(Table1[[#This Row],[side]]="BUY", Table1[[#This Row],[quantity]],-Table1[[#This Row],[quantity]])</f>
        <v>-174</v>
      </c>
      <c r="O18" t="s">
        <v>171</v>
      </c>
      <c r="P18">
        <f>IF(Table1[[#This Row],[side]]="Sell",Table1[[#This Row],[price]],"0")</f>
        <v>732.03</v>
      </c>
      <c r="Q18">
        <f>SUMIFS(Table1[quantity],Table1[company_id],Table8[[#This Row],[COMPANY_ID]],Table1[side],"BUY")-SUMIFS(Table1[quantity],Table1[company_id],Table8[[#This Row],[COMPANY_ID]],Table1[side],"SELL")</f>
        <v>0</v>
      </c>
      <c r="R18">
        <f>Table1[[#This Row],[Column2]]-Table1[[#This Row],[Buy-sell]]</f>
        <v>732.03</v>
      </c>
      <c r="S18" t="str">
        <f>IF(Table1[[#This Row],[Sell-Buy]]&gt;0,"Profit","Loss")</f>
        <v>Profit</v>
      </c>
      <c r="T18" s="5" t="s">
        <v>189</v>
      </c>
      <c r="U18" s="8">
        <f>SUMIFS(Table1[price],Table1[order_id],Table15[[#This Row],[order_id]],Table1[side],"BUY")*Table15[[#This Row],[Buy_Quantity]]</f>
        <v>954956.79999999993</v>
      </c>
      <c r="V18" s="8">
        <f>SUMIFS(Table1[price],Table1[order_id],Table15[[#This Row],[order_id]],Table1[side],"SELL")</f>
        <v>0</v>
      </c>
      <c r="W18" s="8">
        <f>Table15[[#This Row],[sell]]-Table15[[#This Row],[Buy]]</f>
        <v>-855641292.79999995</v>
      </c>
      <c r="X18" s="8">
        <f>IF(Table15[[#This Row],[Profit]]&gt;0,1,0)</f>
        <v>0</v>
      </c>
      <c r="Y18" s="5" t="str">
        <f>IF(Table15[[#This Row],[is Profit]]=1,"Profit","Loss")</f>
        <v>Loss</v>
      </c>
      <c r="Z18" s="5">
        <f>SUMIFS(Table1[quantity],Table1[order_id],Table15[[#This Row],[order_id]],Table1[side],"SELL")</f>
        <v>0</v>
      </c>
      <c r="AA18" s="5">
        <f>Table15[[#This Row],[Buy_value]]*Table15[[#This Row],[Buy_Quantity]]</f>
        <v>855641292.79999995</v>
      </c>
      <c r="AB18" s="5">
        <f>Table15[[#This Row],[Sell_Value]]*Table15[[#This Row],[Sell_Quantity]]</f>
        <v>0</v>
      </c>
      <c r="AC18" s="5">
        <f>SUMIFS(Table1[quantity],Table1[order_id],Table15[[#This Row],[order_id]],Table1[side],"BUY")</f>
        <v>896</v>
      </c>
      <c r="AE18" s="9" t="s">
        <v>1168</v>
      </c>
      <c r="AF18" s="10" t="str">
        <f>IF(Table1[[#This Row],[Sell-Buy]]&gt;0,"Profit","Loss")</f>
        <v>Profit</v>
      </c>
      <c r="AG18">
        <f>Table1[[#This Row],[Column2]]-Table1[[#This Row],[Buy-sell]]</f>
        <v>732.03</v>
      </c>
    </row>
    <row r="19" spans="1:33" x14ac:dyDescent="0.3">
      <c r="A19" t="s">
        <v>864</v>
      </c>
      <c r="B19" t="s">
        <v>275</v>
      </c>
      <c r="C19" s="1">
        <v>45694.01666666667</v>
      </c>
      <c r="D19" t="s">
        <v>6</v>
      </c>
      <c r="E19" t="s">
        <v>171</v>
      </c>
      <c r="F19">
        <v>741</v>
      </c>
      <c r="G19">
        <v>748.47</v>
      </c>
      <c r="H19">
        <v>277.31</v>
      </c>
      <c r="I19" t="s">
        <v>102</v>
      </c>
      <c r="J19" t="s">
        <v>67</v>
      </c>
      <c r="L19" s="1">
        <v>45700</v>
      </c>
      <c r="N19">
        <f>IF(Table1[[#This Row],[side]]="BUY", Table1[[#This Row],[quantity]],-Table1[[#This Row],[quantity]])</f>
        <v>-741</v>
      </c>
      <c r="O19" t="s">
        <v>171</v>
      </c>
      <c r="P19">
        <f>IF(Table1[[#This Row],[side]]="Sell",Table1[[#This Row],[price]],"0")</f>
        <v>748.47</v>
      </c>
      <c r="Q19">
        <f>SUMIFS(Table1[quantity],Table1[company_id],Table8[[#This Row],[COMPANY_ID]],Table1[side],"BUY")-SUMIFS(Table1[quantity],Table1[company_id],Table8[[#This Row],[COMPANY_ID]],Table1[side],"SELL")</f>
        <v>0</v>
      </c>
      <c r="R19">
        <f>Table1[[#This Row],[Column2]]-Table1[[#This Row],[Buy-sell]]</f>
        <v>748.47</v>
      </c>
      <c r="S19" t="str">
        <f>IF(Table1[[#This Row],[Sell-Buy]]&gt;0,"Profit","Loss")</f>
        <v>Profit</v>
      </c>
      <c r="T19" s="5" t="s">
        <v>191</v>
      </c>
      <c r="U19" s="8">
        <f>SUMIFS(Table1[price],Table1[order_id],Table15[[#This Row],[order_id]],Table1[side],"BUY")*Table15[[#This Row],[Buy_Quantity]]</f>
        <v>2702540.94</v>
      </c>
      <c r="V19" s="8">
        <f>SUMIFS(Table1[price],Table1[order_id],Table15[[#This Row],[order_id]],Table1[side],"SELL")</f>
        <v>0</v>
      </c>
      <c r="W19" s="8">
        <f>Table15[[#This Row],[sell]]-Table15[[#This Row],[Buy]]</f>
        <v>-2051228573.46</v>
      </c>
      <c r="X19" s="8">
        <f>IF(Table15[[#This Row],[Profit]]&gt;0,1,0)</f>
        <v>0</v>
      </c>
      <c r="Y19" s="5" t="str">
        <f>IF(Table15[[#This Row],[is Profit]]=1,"Profit","Loss")</f>
        <v>Loss</v>
      </c>
      <c r="Z19" s="5">
        <f>SUMIFS(Table1[quantity],Table1[order_id],Table15[[#This Row],[order_id]],Table1[side],"SELL")</f>
        <v>0</v>
      </c>
      <c r="AA19" s="5">
        <f>Table15[[#This Row],[Buy_value]]*Table15[[#This Row],[Buy_Quantity]]</f>
        <v>2051228573.46</v>
      </c>
      <c r="AB19" s="5">
        <f>Table15[[#This Row],[Sell_Value]]*Table15[[#This Row],[Sell_Quantity]]</f>
        <v>0</v>
      </c>
      <c r="AC19" s="5">
        <f>SUMIFS(Table1[quantity],Table1[order_id],Table15[[#This Row],[order_id]],Table1[side],"BUY")</f>
        <v>759</v>
      </c>
      <c r="AE19" s="10" t="s">
        <v>1018</v>
      </c>
      <c r="AF19" s="10" t="str">
        <f>IF(Table1[[#This Row],[Sell-Buy]]&gt;0,"Profit","Loss")</f>
        <v>Profit</v>
      </c>
      <c r="AG19">
        <f>Table1[[#This Row],[Column2]]-Table1[[#This Row],[Buy-sell]]</f>
        <v>748.47</v>
      </c>
    </row>
    <row r="20" spans="1:33" x14ac:dyDescent="0.3">
      <c r="A20" t="s">
        <v>781</v>
      </c>
      <c r="B20" t="s">
        <v>485</v>
      </c>
      <c r="C20" s="1">
        <v>45748.017361111109</v>
      </c>
      <c r="D20" t="s">
        <v>6</v>
      </c>
      <c r="E20" t="s">
        <v>166</v>
      </c>
      <c r="F20">
        <v>621</v>
      </c>
      <c r="G20">
        <v>792.1</v>
      </c>
      <c r="H20">
        <v>245.95</v>
      </c>
      <c r="I20" t="s">
        <v>110</v>
      </c>
      <c r="J20" t="s">
        <v>73</v>
      </c>
      <c r="L20" s="1">
        <v>45819</v>
      </c>
      <c r="M20" t="s">
        <v>166</v>
      </c>
      <c r="N20">
        <f>IF(Table1[[#This Row],[side]]="BUY", Table1[[#This Row],[quantity]],-Table1[[#This Row],[quantity]])</f>
        <v>621</v>
      </c>
      <c r="P20" t="str">
        <f>IF(Table1[[#This Row],[side]]="Sell",Table1[[#This Row],[price]],"0")</f>
        <v>0</v>
      </c>
      <c r="Q20">
        <f>SUMIFS(Table1[quantity],Table1[company_id],Table8[[#This Row],[COMPANY_ID]],Table1[side],"BUY")-SUMIFS(Table1[quantity],Table1[company_id],Table8[[#This Row],[COMPANY_ID]],Table1[side],"SELL")</f>
        <v>0</v>
      </c>
      <c r="R20">
        <f>Table1[[#This Row],[Column2]]-Table1[[#This Row],[Buy-sell]]</f>
        <v>0</v>
      </c>
      <c r="S20" t="str">
        <f>IF(Table1[[#This Row],[Sell-Buy]]&gt;0,"Profit","Loss")</f>
        <v>Loss</v>
      </c>
      <c r="T20" s="4" t="s">
        <v>192</v>
      </c>
      <c r="U20" s="8">
        <f>SUMIFS(Table1[price],Table1[order_id],Table15[[#This Row],[order_id]],Table1[side],"BUY")*Table15[[#This Row],[Buy_Quantity]]</f>
        <v>0</v>
      </c>
      <c r="V20" s="8">
        <f>SUMIFS(Table1[price],Table1[order_id],Table15[[#This Row],[order_id]],Table1[side],"SELL")</f>
        <v>239.25</v>
      </c>
      <c r="W20" s="8">
        <f>Table15[[#This Row],[sell]]-Table15[[#This Row],[Buy]]</f>
        <v>176805.75</v>
      </c>
      <c r="X20" s="8">
        <f>IF(Table15[[#This Row],[Profit]]&gt;0,1,0)</f>
        <v>1</v>
      </c>
      <c r="Y20" s="5" t="str">
        <f>IF(Table15[[#This Row],[is Profit]]=1,"Profit","Loss")</f>
        <v>Profit</v>
      </c>
      <c r="Z20" s="5">
        <f>SUMIFS(Table1[quantity],Table1[order_id],Table15[[#This Row],[order_id]],Table1[side],"SELL")</f>
        <v>739</v>
      </c>
      <c r="AA20" s="5">
        <f>Table15[[#This Row],[Buy_value]]*Table15[[#This Row],[Buy_Quantity]]</f>
        <v>0</v>
      </c>
      <c r="AB20" s="5">
        <f>Table15[[#This Row],[Sell_Value]]*Table15[[#This Row],[Sell_Quantity]]</f>
        <v>176805.75</v>
      </c>
      <c r="AC20" s="5">
        <f>SUMIFS(Table1[quantity],Table1[order_id],Table15[[#This Row],[order_id]],Table1[side],"BUY")</f>
        <v>0</v>
      </c>
      <c r="AE20" s="9" t="s">
        <v>677</v>
      </c>
      <c r="AF20" s="10" t="str">
        <f>IF(Table1[[#This Row],[Sell-Buy]]&gt;0,"Profit","Loss")</f>
        <v>Loss</v>
      </c>
      <c r="AG20">
        <f>Table1[[#This Row],[Column2]]-Table1[[#This Row],[Buy-sell]]</f>
        <v>0</v>
      </c>
    </row>
    <row r="21" spans="1:33" x14ac:dyDescent="0.3">
      <c r="A21" t="s">
        <v>869</v>
      </c>
      <c r="B21" t="s">
        <v>583</v>
      </c>
      <c r="C21" s="1">
        <v>45761.006249999999</v>
      </c>
      <c r="D21" t="s">
        <v>6</v>
      </c>
      <c r="E21" t="s">
        <v>171</v>
      </c>
      <c r="F21">
        <v>472</v>
      </c>
      <c r="G21">
        <v>821.15</v>
      </c>
      <c r="H21">
        <v>193.79</v>
      </c>
      <c r="I21" t="s">
        <v>140</v>
      </c>
      <c r="J21" t="s">
        <v>49</v>
      </c>
      <c r="L21" s="1">
        <v>45726</v>
      </c>
      <c r="N21">
        <f>IF(Table1[[#This Row],[side]]="BUY", Table1[[#This Row],[quantity]],-Table1[[#This Row],[quantity]])</f>
        <v>-472</v>
      </c>
      <c r="O21" t="s">
        <v>171</v>
      </c>
      <c r="P21">
        <f>IF(Table1[[#This Row],[side]]="Sell",Table1[[#This Row],[price]],"0")</f>
        <v>821.15</v>
      </c>
      <c r="Q21">
        <f>SUMIFS(Table1[quantity],Table1[company_id],Table8[[#This Row],[COMPANY_ID]],Table1[side],"BUY")-SUMIFS(Table1[quantity],Table1[company_id],Table8[[#This Row],[COMPANY_ID]],Table1[side],"SELL")</f>
        <v>0</v>
      </c>
      <c r="R21">
        <f>Table1[[#This Row],[Column2]]-Table1[[#This Row],[Buy-sell]]</f>
        <v>821.15</v>
      </c>
      <c r="S21" t="str">
        <f>IF(Table1[[#This Row],[Sell-Buy]]&gt;0,"Profit","Loss")</f>
        <v>Profit</v>
      </c>
      <c r="T21" s="5" t="s">
        <v>194</v>
      </c>
      <c r="U21" s="8">
        <f>SUMIFS(Table1[price],Table1[order_id],Table15[[#This Row],[order_id]],Table1[side],"BUY")*Table15[[#This Row],[Buy_Quantity]]</f>
        <v>0</v>
      </c>
      <c r="V21" s="8">
        <f>SUMIFS(Table1[price],Table1[order_id],Table15[[#This Row],[order_id]],Table1[side],"SELL")</f>
        <v>480.54</v>
      </c>
      <c r="W21" s="8">
        <f>Table15[[#This Row],[sell]]-Table15[[#This Row],[Buy]]</f>
        <v>324364.5</v>
      </c>
      <c r="X21" s="8">
        <f>IF(Table15[[#This Row],[Profit]]&gt;0,1,0)</f>
        <v>1</v>
      </c>
      <c r="Y21" s="5" t="str">
        <f>IF(Table15[[#This Row],[is Profit]]=1,"Profit","Loss")</f>
        <v>Profit</v>
      </c>
      <c r="Z21" s="5">
        <f>SUMIFS(Table1[quantity],Table1[order_id],Table15[[#This Row],[order_id]],Table1[side],"SELL")</f>
        <v>675</v>
      </c>
      <c r="AA21" s="5">
        <f>Table15[[#This Row],[Buy_value]]*Table15[[#This Row],[Buy_Quantity]]</f>
        <v>0</v>
      </c>
      <c r="AB21" s="5">
        <f>Table15[[#This Row],[Sell_Value]]*Table15[[#This Row],[Sell_Quantity]]</f>
        <v>324364.5</v>
      </c>
      <c r="AC21" s="5">
        <f>SUMIFS(Table1[quantity],Table1[order_id],Table15[[#This Row],[order_id]],Table1[side],"BUY")</f>
        <v>0</v>
      </c>
      <c r="AE21" s="10" t="s">
        <v>778</v>
      </c>
      <c r="AF21" s="10" t="str">
        <f>IF(Table1[[#This Row],[Sell-Buy]]&gt;0,"Profit","Loss")</f>
        <v>Profit</v>
      </c>
      <c r="AG21">
        <f>Table1[[#This Row],[Column2]]-Table1[[#This Row],[Buy-sell]]</f>
        <v>821.15</v>
      </c>
    </row>
    <row r="22" spans="1:33" x14ac:dyDescent="0.3">
      <c r="A22" t="s">
        <v>805</v>
      </c>
      <c r="B22" t="s">
        <v>457</v>
      </c>
      <c r="C22" s="1">
        <v>45778.020833333336</v>
      </c>
      <c r="D22" t="s">
        <v>6</v>
      </c>
      <c r="E22" t="s">
        <v>166</v>
      </c>
      <c r="F22">
        <v>88</v>
      </c>
      <c r="G22">
        <v>832.99</v>
      </c>
      <c r="H22">
        <v>36.65</v>
      </c>
      <c r="I22" t="s">
        <v>124</v>
      </c>
      <c r="J22" t="s">
        <v>73</v>
      </c>
      <c r="L22" s="1">
        <v>45673</v>
      </c>
      <c r="M22" t="s">
        <v>166</v>
      </c>
      <c r="N22">
        <f>IF(Table1[[#This Row],[side]]="BUY", Table1[[#This Row],[quantity]],-Table1[[#This Row],[quantity]])</f>
        <v>88</v>
      </c>
      <c r="P22" t="str">
        <f>IF(Table1[[#This Row],[side]]="Sell",Table1[[#This Row],[price]],"0")</f>
        <v>0</v>
      </c>
      <c r="Q22">
        <f>SUMIFS(Table1[quantity],Table1[company_id],Table8[[#This Row],[COMPANY_ID]],Table1[side],"BUY")-SUMIFS(Table1[quantity],Table1[company_id],Table8[[#This Row],[COMPANY_ID]],Table1[side],"SELL")</f>
        <v>0</v>
      </c>
      <c r="R22">
        <f>Table1[[#This Row],[Column2]]-Table1[[#This Row],[Buy-sell]]</f>
        <v>0</v>
      </c>
      <c r="S22" t="str">
        <f>IF(Table1[[#This Row],[Sell-Buy]]&gt;0,"Profit","Loss")</f>
        <v>Loss</v>
      </c>
      <c r="T22" s="5" t="s">
        <v>195</v>
      </c>
      <c r="U22" s="8">
        <f>SUMIFS(Table1[price],Table1[order_id],Table15[[#This Row],[order_id]],Table1[side],"BUY")*Table15[[#This Row],[Buy_Quantity]]</f>
        <v>3799035</v>
      </c>
      <c r="V22" s="8">
        <f>SUMIFS(Table1[price],Table1[order_id],Table15[[#This Row],[order_id]],Table1[side],"SELL")</f>
        <v>0</v>
      </c>
      <c r="W22" s="8">
        <f>Table15[[#This Row],[sell]]-Table15[[#This Row],[Buy]]</f>
        <v>-5128697250</v>
      </c>
      <c r="X22" s="8">
        <f>IF(Table15[[#This Row],[Profit]]&gt;0,1,0)</f>
        <v>0</v>
      </c>
      <c r="Y22" s="5" t="str">
        <f>IF(Table15[[#This Row],[is Profit]]=1,"Profit","Loss")</f>
        <v>Loss</v>
      </c>
      <c r="Z22" s="5">
        <f>SUMIFS(Table1[quantity],Table1[order_id],Table15[[#This Row],[order_id]],Table1[side],"SELL")</f>
        <v>0</v>
      </c>
      <c r="AA22" s="5">
        <f>Table15[[#This Row],[Buy_value]]*Table15[[#This Row],[Buy_Quantity]]</f>
        <v>5128697250</v>
      </c>
      <c r="AB22" s="5">
        <f>Table15[[#This Row],[Sell_Value]]*Table15[[#This Row],[Sell_Quantity]]</f>
        <v>0</v>
      </c>
      <c r="AC22" s="5">
        <f>SUMIFS(Table1[quantity],Table1[order_id],Table15[[#This Row],[order_id]],Table1[side],"BUY")</f>
        <v>1350</v>
      </c>
      <c r="AE22" s="9" t="s">
        <v>857</v>
      </c>
      <c r="AF22" s="10" t="str">
        <f>IF(Table1[[#This Row],[Sell-Buy]]&gt;0,"Profit","Loss")</f>
        <v>Loss</v>
      </c>
      <c r="AG22">
        <f>Table1[[#This Row],[Column2]]-Table1[[#This Row],[Buy-sell]]</f>
        <v>0</v>
      </c>
    </row>
    <row r="23" spans="1:33" x14ac:dyDescent="0.3">
      <c r="A23" t="s">
        <v>808</v>
      </c>
      <c r="B23" t="s">
        <v>231</v>
      </c>
      <c r="C23" s="1">
        <v>45723.009722222225</v>
      </c>
      <c r="D23" t="s">
        <v>6</v>
      </c>
      <c r="E23" t="s">
        <v>166</v>
      </c>
      <c r="F23">
        <v>28</v>
      </c>
      <c r="G23">
        <v>754.8</v>
      </c>
      <c r="H23">
        <v>10.57</v>
      </c>
      <c r="I23" t="s">
        <v>150</v>
      </c>
      <c r="J23" t="s">
        <v>70</v>
      </c>
      <c r="L23" s="1">
        <v>45663</v>
      </c>
      <c r="M23" t="s">
        <v>166</v>
      </c>
      <c r="N23">
        <f>IF(Table1[[#This Row],[side]]="BUY", Table1[[#This Row],[quantity]],-Table1[[#This Row],[quantity]])</f>
        <v>28</v>
      </c>
      <c r="P23" t="str">
        <f>IF(Table1[[#This Row],[side]]="Sell",Table1[[#This Row],[price]],"0")</f>
        <v>0</v>
      </c>
      <c r="Q23">
        <f>SUMIFS(Table1[quantity],Table1[company_id],Table8[[#This Row],[COMPANY_ID]],Table1[side],"BUY")-SUMIFS(Table1[quantity],Table1[company_id],Table8[[#This Row],[COMPANY_ID]],Table1[side],"SELL")</f>
        <v>0</v>
      </c>
      <c r="R23">
        <f>Table1[[#This Row],[Column2]]-Table1[[#This Row],[Buy-sell]]</f>
        <v>0</v>
      </c>
      <c r="S23" t="str">
        <f>IF(Table1[[#This Row],[Sell-Buy]]&gt;0,"Profit","Loss")</f>
        <v>Loss</v>
      </c>
      <c r="T23" s="4" t="s">
        <v>196</v>
      </c>
      <c r="U23" s="8">
        <f>SUMIFS(Table1[price],Table1[order_id],Table15[[#This Row],[order_id]],Table1[side],"BUY")*Table15[[#This Row],[Buy_Quantity]]</f>
        <v>45379.839999999997</v>
      </c>
      <c r="V23" s="8">
        <f>SUMIFS(Table1[price],Table1[order_id],Table15[[#This Row],[order_id]],Table1[side],"SELL")</f>
        <v>0</v>
      </c>
      <c r="W23" s="8">
        <f>Table15[[#This Row],[sell]]-Table15[[#This Row],[Buy]]</f>
        <v>-7986851.8399999999</v>
      </c>
      <c r="X23" s="8">
        <f>IF(Table15[[#This Row],[Profit]]&gt;0,1,0)</f>
        <v>0</v>
      </c>
      <c r="Y23" s="5" t="str">
        <f>IF(Table15[[#This Row],[is Profit]]=1,"Profit","Loss")</f>
        <v>Loss</v>
      </c>
      <c r="Z23" s="5">
        <f>SUMIFS(Table1[quantity],Table1[order_id],Table15[[#This Row],[order_id]],Table1[side],"SELL")</f>
        <v>0</v>
      </c>
      <c r="AA23" s="5">
        <f>Table15[[#This Row],[Buy_value]]*Table15[[#This Row],[Buy_Quantity]]</f>
        <v>7986851.8399999999</v>
      </c>
      <c r="AB23" s="5">
        <f>Table15[[#This Row],[Sell_Value]]*Table15[[#This Row],[Sell_Quantity]]</f>
        <v>0</v>
      </c>
      <c r="AC23" s="5">
        <f>SUMIFS(Table1[quantity],Table1[order_id],Table15[[#This Row],[order_id]],Table1[side],"BUY")</f>
        <v>176</v>
      </c>
      <c r="AE23" s="10" t="s">
        <v>1021</v>
      </c>
      <c r="AF23" s="10" t="str">
        <f>IF(Table1[[#This Row],[Sell-Buy]]&gt;0,"Profit","Loss")</f>
        <v>Loss</v>
      </c>
      <c r="AG23">
        <f>Table1[[#This Row],[Column2]]-Table1[[#This Row],[Buy-sell]]</f>
        <v>0</v>
      </c>
    </row>
    <row r="24" spans="1:33" x14ac:dyDescent="0.3">
      <c r="A24" t="s">
        <v>809</v>
      </c>
      <c r="B24" t="s">
        <v>468</v>
      </c>
      <c r="C24" s="1">
        <v>45827.03402777778</v>
      </c>
      <c r="D24" t="s">
        <v>6</v>
      </c>
      <c r="E24" t="s">
        <v>166</v>
      </c>
      <c r="F24">
        <v>590</v>
      </c>
      <c r="G24">
        <v>756.99</v>
      </c>
      <c r="H24">
        <v>223.31</v>
      </c>
      <c r="I24" t="s">
        <v>146</v>
      </c>
      <c r="J24" t="s">
        <v>67</v>
      </c>
      <c r="L24" s="1">
        <v>45789</v>
      </c>
      <c r="M24" t="s">
        <v>166</v>
      </c>
      <c r="N24">
        <f>IF(Table1[[#This Row],[side]]="BUY", Table1[[#This Row],[quantity]],-Table1[[#This Row],[quantity]])</f>
        <v>590</v>
      </c>
      <c r="P24" t="str">
        <f>IF(Table1[[#This Row],[side]]="Sell",Table1[[#This Row],[price]],"0")</f>
        <v>0</v>
      </c>
      <c r="Q24">
        <f>SUMIFS(Table1[quantity],Table1[company_id],Table8[[#This Row],[COMPANY_ID]],Table1[side],"BUY")-SUMIFS(Table1[quantity],Table1[company_id],Table8[[#This Row],[COMPANY_ID]],Table1[side],"SELL")</f>
        <v>0</v>
      </c>
      <c r="R24">
        <f>Table1[[#This Row],[Column2]]-Table1[[#This Row],[Buy-sell]]</f>
        <v>0</v>
      </c>
      <c r="S24" t="str">
        <f>IF(Table1[[#This Row],[Sell-Buy]]&gt;0,"Profit","Loss")</f>
        <v>Loss</v>
      </c>
      <c r="T24" s="5" t="s">
        <v>197</v>
      </c>
      <c r="U24" s="8">
        <f>SUMIFS(Table1[price],Table1[order_id],Table15[[#This Row],[order_id]],Table1[side],"BUY")*Table15[[#This Row],[Buy_Quantity]]</f>
        <v>289313.64</v>
      </c>
      <c r="V24" s="8">
        <f>SUMIFS(Table1[price],Table1[order_id],Table15[[#This Row],[order_id]],Table1[side],"SELL")</f>
        <v>0</v>
      </c>
      <c r="W24" s="8">
        <f>Table15[[#This Row],[sell]]-Table15[[#This Row],[Buy]]</f>
        <v>-61623805.32</v>
      </c>
      <c r="X24" s="8">
        <f>IF(Table15[[#This Row],[Profit]]&gt;0,1,0)</f>
        <v>0</v>
      </c>
      <c r="Y24" s="5" t="str">
        <f>IF(Table15[[#This Row],[is Profit]]=1,"Profit","Loss")</f>
        <v>Loss</v>
      </c>
      <c r="Z24" s="5">
        <f>SUMIFS(Table1[quantity],Table1[order_id],Table15[[#This Row],[order_id]],Table1[side],"SELL")</f>
        <v>0</v>
      </c>
      <c r="AA24" s="5">
        <f>Table15[[#This Row],[Buy_value]]*Table15[[#This Row],[Buy_Quantity]]</f>
        <v>61623805.32</v>
      </c>
      <c r="AB24" s="5">
        <f>Table15[[#This Row],[Sell_Value]]*Table15[[#This Row],[Sell_Quantity]]</f>
        <v>0</v>
      </c>
      <c r="AC24" s="5">
        <f>SUMIFS(Table1[quantity],Table1[order_id],Table15[[#This Row],[order_id]],Table1[side],"BUY")</f>
        <v>213</v>
      </c>
      <c r="AE24" s="9" t="s">
        <v>1052</v>
      </c>
      <c r="AF24" s="10" t="str">
        <f>IF(Table1[[#This Row],[Sell-Buy]]&gt;0,"Profit","Loss")</f>
        <v>Loss</v>
      </c>
      <c r="AG24">
        <f>Table1[[#This Row],[Column2]]-Table1[[#This Row],[Buy-sell]]</f>
        <v>0</v>
      </c>
    </row>
    <row r="25" spans="1:33" x14ac:dyDescent="0.3">
      <c r="A25" t="s">
        <v>828</v>
      </c>
      <c r="B25" t="s">
        <v>303</v>
      </c>
      <c r="C25" s="1">
        <v>45758.038194444445</v>
      </c>
      <c r="D25" t="s">
        <v>6</v>
      </c>
      <c r="E25" t="s">
        <v>166</v>
      </c>
      <c r="F25">
        <v>553</v>
      </c>
      <c r="G25">
        <v>819.23</v>
      </c>
      <c r="H25">
        <v>226.52</v>
      </c>
      <c r="I25" t="s">
        <v>144</v>
      </c>
      <c r="J25" t="s">
        <v>55</v>
      </c>
      <c r="L25" s="1">
        <v>45789</v>
      </c>
      <c r="M25" t="s">
        <v>166</v>
      </c>
      <c r="N25">
        <f>IF(Table1[[#This Row],[side]]="BUY", Table1[[#This Row],[quantity]],-Table1[[#This Row],[quantity]])</f>
        <v>553</v>
      </c>
      <c r="P25" t="str">
        <f>IF(Table1[[#This Row],[side]]="Sell",Table1[[#This Row],[price]],"0")</f>
        <v>0</v>
      </c>
      <c r="Q25">
        <f>SUMIFS(Table1[quantity],Table1[company_id],Table8[[#This Row],[COMPANY_ID]],Table1[side],"BUY")-SUMIFS(Table1[quantity],Table1[company_id],Table8[[#This Row],[COMPANY_ID]],Table1[side],"SELL")</f>
        <v>0</v>
      </c>
      <c r="R25">
        <f>Table1[[#This Row],[Column2]]-Table1[[#This Row],[Buy-sell]]</f>
        <v>0</v>
      </c>
      <c r="S25" t="str">
        <f>IF(Table1[[#This Row],[Sell-Buy]]&gt;0,"Profit","Loss")</f>
        <v>Loss</v>
      </c>
      <c r="T25" s="4" t="s">
        <v>198</v>
      </c>
      <c r="U25" s="8">
        <f>SUMIFS(Table1[price],Table1[order_id],Table15[[#This Row],[order_id]],Table1[side],"BUY")*Table15[[#This Row],[Buy_Quantity]]</f>
        <v>493606.1</v>
      </c>
      <c r="V25" s="8">
        <f>SUMIFS(Table1[price],Table1[order_id],Table15[[#This Row],[order_id]],Table1[side],"SELL")</f>
        <v>0</v>
      </c>
      <c r="W25" s="8">
        <f>Table15[[#This Row],[sell]]-Table15[[#This Row],[Buy]]</f>
        <v>-186089499.69999999</v>
      </c>
      <c r="X25" s="8">
        <f>IF(Table15[[#This Row],[Profit]]&gt;0,1,0)</f>
        <v>0</v>
      </c>
      <c r="Y25" s="5" t="str">
        <f>IF(Table15[[#This Row],[is Profit]]=1,"Profit","Loss")</f>
        <v>Loss</v>
      </c>
      <c r="Z25" s="5">
        <f>SUMIFS(Table1[quantity],Table1[order_id],Table15[[#This Row],[order_id]],Table1[side],"SELL")</f>
        <v>0</v>
      </c>
      <c r="AA25" s="5">
        <f>Table15[[#This Row],[Buy_value]]*Table15[[#This Row],[Buy_Quantity]]</f>
        <v>186089499.69999999</v>
      </c>
      <c r="AB25" s="5">
        <f>Table15[[#This Row],[Sell_Value]]*Table15[[#This Row],[Sell_Quantity]]</f>
        <v>0</v>
      </c>
      <c r="AC25" s="5">
        <f>SUMIFS(Table1[quantity],Table1[order_id],Table15[[#This Row],[order_id]],Table1[side],"BUY")</f>
        <v>377</v>
      </c>
      <c r="AE25" s="10" t="s">
        <v>775</v>
      </c>
      <c r="AF25" s="10" t="str">
        <f>IF(Table1[[#This Row],[Sell-Buy]]&gt;0,"Profit","Loss")</f>
        <v>Loss</v>
      </c>
      <c r="AG25">
        <f>Table1[[#This Row],[Column2]]-Table1[[#This Row],[Buy-sell]]</f>
        <v>0</v>
      </c>
    </row>
    <row r="26" spans="1:33" x14ac:dyDescent="0.3">
      <c r="A26" t="s">
        <v>830</v>
      </c>
      <c r="B26" t="s">
        <v>397</v>
      </c>
      <c r="C26" s="1">
        <v>45776.032638888886</v>
      </c>
      <c r="D26" t="s">
        <v>6</v>
      </c>
      <c r="E26" t="s">
        <v>166</v>
      </c>
      <c r="F26">
        <v>719</v>
      </c>
      <c r="G26">
        <v>833.74</v>
      </c>
      <c r="H26">
        <v>299.73</v>
      </c>
      <c r="I26" t="s">
        <v>140</v>
      </c>
      <c r="J26" t="s">
        <v>67</v>
      </c>
      <c r="L26" s="1">
        <v>45663</v>
      </c>
      <c r="M26" t="s">
        <v>166</v>
      </c>
      <c r="N26">
        <f>IF(Table1[[#This Row],[side]]="BUY", Table1[[#This Row],[quantity]],-Table1[[#This Row],[quantity]])</f>
        <v>719</v>
      </c>
      <c r="P26" t="str">
        <f>IF(Table1[[#This Row],[side]]="Sell",Table1[[#This Row],[price]],"0")</f>
        <v>0</v>
      </c>
      <c r="Q26">
        <f>SUMIFS(Table1[quantity],Table1[company_id],Table8[[#This Row],[COMPANY_ID]],Table1[side],"BUY")-SUMIFS(Table1[quantity],Table1[company_id],Table8[[#This Row],[COMPANY_ID]],Table1[side],"SELL")</f>
        <v>0</v>
      </c>
      <c r="R26">
        <f>Table1[[#This Row],[Column2]]-Table1[[#This Row],[Buy-sell]]</f>
        <v>0</v>
      </c>
      <c r="S26" t="str">
        <f>IF(Table1[[#This Row],[Sell-Buy]]&gt;0,"Profit","Loss")</f>
        <v>Loss</v>
      </c>
      <c r="T26" s="4" t="s">
        <v>200</v>
      </c>
      <c r="U26" s="8">
        <f>SUMIFS(Table1[price],Table1[order_id],Table15[[#This Row],[order_id]],Table1[side],"BUY")*Table15[[#This Row],[Buy_Quantity]]</f>
        <v>0</v>
      </c>
      <c r="V26" s="8">
        <f>SUMIFS(Table1[price],Table1[order_id],Table15[[#This Row],[order_id]],Table1[side],"SELL")</f>
        <v>1105.99</v>
      </c>
      <c r="W26" s="8">
        <f>Table15[[#This Row],[sell]]-Table15[[#This Row],[Buy]]</f>
        <v>864884.18</v>
      </c>
      <c r="X26" s="8">
        <f>IF(Table15[[#This Row],[Profit]]&gt;0,1,0)</f>
        <v>1</v>
      </c>
      <c r="Y26" s="5" t="str">
        <f>IF(Table15[[#This Row],[is Profit]]=1,"Profit","Loss")</f>
        <v>Profit</v>
      </c>
      <c r="Z26" s="5">
        <f>SUMIFS(Table1[quantity],Table1[order_id],Table15[[#This Row],[order_id]],Table1[side],"SELL")</f>
        <v>782</v>
      </c>
      <c r="AA26" s="5">
        <f>Table15[[#This Row],[Buy_value]]*Table15[[#This Row],[Buy_Quantity]]</f>
        <v>0</v>
      </c>
      <c r="AB26" s="5">
        <f>Table15[[#This Row],[Sell_Value]]*Table15[[#This Row],[Sell_Quantity]]</f>
        <v>864884.18</v>
      </c>
      <c r="AC26" s="5">
        <f>SUMIFS(Table1[quantity],Table1[order_id],Table15[[#This Row],[order_id]],Table1[side],"BUY")</f>
        <v>0</v>
      </c>
      <c r="AE26" s="9" t="s">
        <v>937</v>
      </c>
      <c r="AF26" s="10" t="str">
        <f>IF(Table1[[#This Row],[Sell-Buy]]&gt;0,"Profit","Loss")</f>
        <v>Loss</v>
      </c>
      <c r="AG26">
        <f>Table1[[#This Row],[Column2]]-Table1[[#This Row],[Buy-sell]]</f>
        <v>0</v>
      </c>
    </row>
    <row r="27" spans="1:33" x14ac:dyDescent="0.3">
      <c r="A27" t="s">
        <v>834</v>
      </c>
      <c r="B27" t="s">
        <v>270</v>
      </c>
      <c r="C27" s="1">
        <v>45702.011111111111</v>
      </c>
      <c r="D27" t="s">
        <v>6</v>
      </c>
      <c r="E27" t="s">
        <v>166</v>
      </c>
      <c r="F27">
        <v>80</v>
      </c>
      <c r="G27">
        <v>730.95</v>
      </c>
      <c r="H27">
        <v>29.24</v>
      </c>
      <c r="I27" t="s">
        <v>146</v>
      </c>
      <c r="J27" t="s">
        <v>67</v>
      </c>
      <c r="L27" s="1">
        <v>45699</v>
      </c>
      <c r="M27" t="s">
        <v>166</v>
      </c>
      <c r="N27">
        <f>IF(Table1[[#This Row],[side]]="BUY", Table1[[#This Row],[quantity]],-Table1[[#This Row],[quantity]])</f>
        <v>80</v>
      </c>
      <c r="P27" t="str">
        <f>IF(Table1[[#This Row],[side]]="Sell",Table1[[#This Row],[price]],"0")</f>
        <v>0</v>
      </c>
      <c r="Q27">
        <f>SUMIFS(Table1[quantity],Table1[company_id],Table8[[#This Row],[COMPANY_ID]],Table1[side],"BUY")-SUMIFS(Table1[quantity],Table1[company_id],Table8[[#This Row],[COMPANY_ID]],Table1[side],"SELL")</f>
        <v>0</v>
      </c>
      <c r="R27">
        <f>Table1[[#This Row],[Column2]]-Table1[[#This Row],[Buy-sell]]</f>
        <v>0</v>
      </c>
      <c r="S27" t="str">
        <f>IF(Table1[[#This Row],[Sell-Buy]]&gt;0,"Profit","Loss")</f>
        <v>Loss</v>
      </c>
      <c r="T27" s="5" t="s">
        <v>201</v>
      </c>
      <c r="U27" s="8">
        <f>SUMIFS(Table1[price],Table1[order_id],Table15[[#This Row],[order_id]],Table1[side],"BUY")*Table15[[#This Row],[Buy_Quantity]]</f>
        <v>62611.9</v>
      </c>
      <c r="V27" s="8">
        <f>SUMIFS(Table1[price],Table1[order_id],Table15[[#This Row],[order_id]],Table1[side],"SELL")</f>
        <v>0</v>
      </c>
      <c r="W27" s="8">
        <f>Table15[[#This Row],[sell]]-Table15[[#This Row],[Buy]]</f>
        <v>-4069773.5</v>
      </c>
      <c r="X27" s="8">
        <f>IF(Table15[[#This Row],[Profit]]&gt;0,1,0)</f>
        <v>0</v>
      </c>
      <c r="Y27" s="5" t="str">
        <f>IF(Table15[[#This Row],[is Profit]]=1,"Profit","Loss")</f>
        <v>Loss</v>
      </c>
      <c r="Z27" s="5">
        <f>SUMIFS(Table1[quantity],Table1[order_id],Table15[[#This Row],[order_id]],Table1[side],"SELL")</f>
        <v>0</v>
      </c>
      <c r="AA27" s="5">
        <f>Table15[[#This Row],[Buy_value]]*Table15[[#This Row],[Buy_Quantity]]</f>
        <v>4069773.5</v>
      </c>
      <c r="AB27" s="5">
        <f>Table15[[#This Row],[Sell_Value]]*Table15[[#This Row],[Sell_Quantity]]</f>
        <v>0</v>
      </c>
      <c r="AC27" s="5">
        <f>SUMIFS(Table1[quantity],Table1[order_id],Table15[[#This Row],[order_id]],Table1[side],"BUY")</f>
        <v>65</v>
      </c>
      <c r="AE27" s="10" t="s">
        <v>905</v>
      </c>
      <c r="AF27" s="10" t="str">
        <f>IF(Table1[[#This Row],[Sell-Buy]]&gt;0,"Profit","Loss")</f>
        <v>Loss</v>
      </c>
      <c r="AG27">
        <f>Table1[[#This Row],[Column2]]-Table1[[#This Row],[Buy-sell]]</f>
        <v>0</v>
      </c>
    </row>
    <row r="28" spans="1:33" x14ac:dyDescent="0.3">
      <c r="A28" t="s">
        <v>848</v>
      </c>
      <c r="B28" t="s">
        <v>170</v>
      </c>
      <c r="C28" s="1">
        <v>45715.003472222219</v>
      </c>
      <c r="D28" t="s">
        <v>6</v>
      </c>
      <c r="E28" t="s">
        <v>166</v>
      </c>
      <c r="F28">
        <v>306</v>
      </c>
      <c r="G28">
        <v>770.15</v>
      </c>
      <c r="H28">
        <v>117.83</v>
      </c>
      <c r="I28" t="s">
        <v>97</v>
      </c>
      <c r="J28" t="s">
        <v>70</v>
      </c>
      <c r="L28" s="1">
        <v>45691</v>
      </c>
      <c r="M28" t="s">
        <v>166</v>
      </c>
      <c r="N28">
        <f>IF(Table1[[#This Row],[side]]="BUY", Table1[[#This Row],[quantity]],-Table1[[#This Row],[quantity]])</f>
        <v>306</v>
      </c>
      <c r="P28" t="str">
        <f>IF(Table1[[#This Row],[side]]="Sell",Table1[[#This Row],[price]],"0")</f>
        <v>0</v>
      </c>
      <c r="Q28">
        <f>SUMIFS(Table1[quantity],Table1[company_id],Table8[[#This Row],[COMPANY_ID]],Table1[side],"BUY")-SUMIFS(Table1[quantity],Table1[company_id],Table8[[#This Row],[COMPANY_ID]],Table1[side],"SELL")</f>
        <v>0</v>
      </c>
      <c r="R28">
        <f>Table1[[#This Row],[Column2]]-Table1[[#This Row],[Buy-sell]]</f>
        <v>0</v>
      </c>
      <c r="S28" t="str">
        <f>IF(Table1[[#This Row],[Sell-Buy]]&gt;0,"Profit","Loss")</f>
        <v>Loss</v>
      </c>
      <c r="T28" s="5" t="s">
        <v>202</v>
      </c>
      <c r="U28" s="8">
        <f>SUMIFS(Table1[price],Table1[order_id],Table15[[#This Row],[order_id]],Table1[side],"BUY")*Table15[[#This Row],[Buy_Quantity]]</f>
        <v>0</v>
      </c>
      <c r="V28" s="8">
        <f>SUMIFS(Table1[price],Table1[order_id],Table15[[#This Row],[order_id]],Table1[side],"SELL")</f>
        <v>1317.94</v>
      </c>
      <c r="W28" s="8">
        <f>Table15[[#This Row],[sell]]-Table15[[#This Row],[Buy]]</f>
        <v>369023.2</v>
      </c>
      <c r="X28" s="8">
        <f>IF(Table15[[#This Row],[Profit]]&gt;0,1,0)</f>
        <v>1</v>
      </c>
      <c r="Y28" s="5" t="str">
        <f>IF(Table15[[#This Row],[is Profit]]=1,"Profit","Loss")</f>
        <v>Profit</v>
      </c>
      <c r="Z28" s="5">
        <f>SUMIFS(Table1[quantity],Table1[order_id],Table15[[#This Row],[order_id]],Table1[side],"SELL")</f>
        <v>280</v>
      </c>
      <c r="AA28" s="5">
        <f>Table15[[#This Row],[Buy_value]]*Table15[[#This Row],[Buy_Quantity]]</f>
        <v>0</v>
      </c>
      <c r="AB28" s="5">
        <f>Table15[[#This Row],[Sell_Value]]*Table15[[#This Row],[Sell_Quantity]]</f>
        <v>369023.2</v>
      </c>
      <c r="AC28" s="5">
        <f>SUMIFS(Table1[quantity],Table1[order_id],Table15[[#This Row],[order_id]],Table1[side],"BUY")</f>
        <v>0</v>
      </c>
      <c r="AE28" s="9" t="s">
        <v>885</v>
      </c>
      <c r="AF28" s="10" t="str">
        <f>IF(Table1[[#This Row],[Sell-Buy]]&gt;0,"Profit","Loss")</f>
        <v>Loss</v>
      </c>
      <c r="AG28">
        <f>Table1[[#This Row],[Column2]]-Table1[[#This Row],[Buy-sell]]</f>
        <v>0</v>
      </c>
    </row>
    <row r="29" spans="1:33" x14ac:dyDescent="0.3">
      <c r="A29" t="s">
        <v>865</v>
      </c>
      <c r="B29" t="s">
        <v>438</v>
      </c>
      <c r="C29" s="1">
        <v>45709.026388888888</v>
      </c>
      <c r="D29" t="s">
        <v>6</v>
      </c>
      <c r="E29" t="s">
        <v>166</v>
      </c>
      <c r="F29">
        <v>964</v>
      </c>
      <c r="G29">
        <v>793.06</v>
      </c>
      <c r="H29">
        <v>382.25</v>
      </c>
      <c r="I29" t="s">
        <v>132</v>
      </c>
      <c r="J29" t="s">
        <v>64</v>
      </c>
      <c r="L29" s="1">
        <v>45807</v>
      </c>
      <c r="M29" t="s">
        <v>166</v>
      </c>
      <c r="N29">
        <f>IF(Table1[[#This Row],[side]]="BUY", Table1[[#This Row],[quantity]],-Table1[[#This Row],[quantity]])</f>
        <v>964</v>
      </c>
      <c r="P29" t="str">
        <f>IF(Table1[[#This Row],[side]]="Sell",Table1[[#This Row],[price]],"0")</f>
        <v>0</v>
      </c>
      <c r="Q29">
        <f>SUMIFS(Table1[quantity],Table1[company_id],Table8[[#This Row],[COMPANY_ID]],Table1[side],"BUY")-SUMIFS(Table1[quantity],Table1[company_id],Table8[[#This Row],[COMPANY_ID]],Table1[side],"SELL")</f>
        <v>0</v>
      </c>
      <c r="R29">
        <f>Table1[[#This Row],[Column2]]-Table1[[#This Row],[Buy-sell]]</f>
        <v>0</v>
      </c>
      <c r="S29" t="str">
        <f>IF(Table1[[#This Row],[Sell-Buy]]&gt;0,"Profit","Loss")</f>
        <v>Loss</v>
      </c>
      <c r="T29" s="4" t="s">
        <v>203</v>
      </c>
      <c r="U29" s="8">
        <f>SUMIFS(Table1[price],Table1[order_id],Table15[[#This Row],[order_id]],Table1[side],"BUY")*Table15[[#This Row],[Buy_Quantity]]</f>
        <v>2946310.6199999996</v>
      </c>
      <c r="V29" s="8">
        <f>SUMIFS(Table1[price],Table1[order_id],Table15[[#This Row],[order_id]],Table1[side],"SELL")</f>
        <v>0</v>
      </c>
      <c r="W29" s="8">
        <f>Table15[[#This Row],[sell]]-Table15[[#This Row],[Buy]]</f>
        <v>-3046485181.0799994</v>
      </c>
      <c r="X29" s="8">
        <f>IF(Table15[[#This Row],[Profit]]&gt;0,1,0)</f>
        <v>0</v>
      </c>
      <c r="Y29" s="5" t="str">
        <f>IF(Table15[[#This Row],[is Profit]]=1,"Profit","Loss")</f>
        <v>Loss</v>
      </c>
      <c r="Z29" s="5">
        <f>SUMIFS(Table1[quantity],Table1[order_id],Table15[[#This Row],[order_id]],Table1[side],"SELL")</f>
        <v>0</v>
      </c>
      <c r="AA29" s="5">
        <f>Table15[[#This Row],[Buy_value]]*Table15[[#This Row],[Buy_Quantity]]</f>
        <v>3046485181.0799994</v>
      </c>
      <c r="AB29" s="5">
        <f>Table15[[#This Row],[Sell_Value]]*Table15[[#This Row],[Sell_Quantity]]</f>
        <v>0</v>
      </c>
      <c r="AC29" s="5">
        <f>SUMIFS(Table1[quantity],Table1[order_id],Table15[[#This Row],[order_id]],Table1[side],"BUY")</f>
        <v>1034</v>
      </c>
      <c r="AE29" s="10" t="s">
        <v>1045</v>
      </c>
      <c r="AF29" s="10" t="str">
        <f>IF(Table1[[#This Row],[Sell-Buy]]&gt;0,"Profit","Loss")</f>
        <v>Loss</v>
      </c>
      <c r="AG29">
        <f>Table1[[#This Row],[Column2]]-Table1[[#This Row],[Buy-sell]]</f>
        <v>0</v>
      </c>
    </row>
    <row r="30" spans="1:33" x14ac:dyDescent="0.3">
      <c r="A30" t="s">
        <v>882</v>
      </c>
      <c r="B30" t="s">
        <v>308</v>
      </c>
      <c r="C30" s="1">
        <v>45755.027083333334</v>
      </c>
      <c r="D30" t="s">
        <v>6</v>
      </c>
      <c r="E30" t="s">
        <v>166</v>
      </c>
      <c r="F30">
        <v>175</v>
      </c>
      <c r="G30">
        <v>812.93</v>
      </c>
      <c r="H30">
        <v>71.13</v>
      </c>
      <c r="I30" t="s">
        <v>100</v>
      </c>
      <c r="J30" t="s">
        <v>70</v>
      </c>
      <c r="L30" s="1">
        <v>45737</v>
      </c>
      <c r="M30" t="s">
        <v>166</v>
      </c>
      <c r="N30">
        <f>IF(Table1[[#This Row],[side]]="BUY", Table1[[#This Row],[quantity]],-Table1[[#This Row],[quantity]])</f>
        <v>175</v>
      </c>
      <c r="P30" t="str">
        <f>IF(Table1[[#This Row],[side]]="Sell",Table1[[#This Row],[price]],"0")</f>
        <v>0</v>
      </c>
      <c r="Q30">
        <f>SUMIFS(Table1[quantity],Table1[company_id],Table8[[#This Row],[COMPANY_ID]],Table1[side],"BUY")-SUMIFS(Table1[quantity],Table1[company_id],Table8[[#This Row],[COMPANY_ID]],Table1[side],"SELL")</f>
        <v>0</v>
      </c>
      <c r="R30">
        <f>Table1[[#This Row],[Column2]]-Table1[[#This Row],[Buy-sell]]</f>
        <v>0</v>
      </c>
      <c r="S30" t="str">
        <f>IF(Table1[[#This Row],[Sell-Buy]]&gt;0,"Profit","Loss")</f>
        <v>Loss</v>
      </c>
      <c r="T30" s="5" t="s">
        <v>206</v>
      </c>
      <c r="U30" s="8">
        <f>SUMIFS(Table1[price],Table1[order_id],Table15[[#This Row],[order_id]],Table1[side],"BUY")*Table15[[#This Row],[Buy_Quantity]]</f>
        <v>1105795.4000000001</v>
      </c>
      <c r="V30" s="8">
        <f>SUMIFS(Table1[price],Table1[order_id],Table15[[#This Row],[order_id]],Table1[side],"SELL")</f>
        <v>0</v>
      </c>
      <c r="W30" s="8">
        <f>Table15[[#This Row],[sell]]-Table15[[#This Row],[Buy]]</f>
        <v>-957618816.4000001</v>
      </c>
      <c r="X30" s="8">
        <f>IF(Table15[[#This Row],[Profit]]&gt;0,1,0)</f>
        <v>0</v>
      </c>
      <c r="Y30" s="5" t="str">
        <f>IF(Table15[[#This Row],[is Profit]]=1,"Profit","Loss")</f>
        <v>Loss</v>
      </c>
      <c r="Z30" s="5">
        <f>SUMIFS(Table1[quantity],Table1[order_id],Table15[[#This Row],[order_id]],Table1[side],"SELL")</f>
        <v>0</v>
      </c>
      <c r="AA30" s="5">
        <f>Table15[[#This Row],[Buy_value]]*Table15[[#This Row],[Buy_Quantity]]</f>
        <v>957618816.4000001</v>
      </c>
      <c r="AB30" s="5">
        <f>Table15[[#This Row],[Sell_Value]]*Table15[[#This Row],[Sell_Quantity]]</f>
        <v>0</v>
      </c>
      <c r="AC30" s="5">
        <f>SUMIFS(Table1[quantity],Table1[order_id],Table15[[#This Row],[order_id]],Table1[side],"BUY")</f>
        <v>866</v>
      </c>
      <c r="AE30" s="9" t="s">
        <v>678</v>
      </c>
      <c r="AF30" s="10" t="str">
        <f>IF(Table1[[#This Row],[Sell-Buy]]&gt;0,"Profit","Loss")</f>
        <v>Loss</v>
      </c>
      <c r="AG30">
        <f>Table1[[#This Row],[Column2]]-Table1[[#This Row],[Buy-sell]]</f>
        <v>0</v>
      </c>
    </row>
    <row r="31" spans="1:33" x14ac:dyDescent="0.3">
      <c r="A31" t="s">
        <v>904</v>
      </c>
      <c r="B31" t="s">
        <v>560</v>
      </c>
      <c r="C31" s="1">
        <v>45771.015277777777</v>
      </c>
      <c r="D31" t="s">
        <v>6</v>
      </c>
      <c r="E31" t="s">
        <v>166</v>
      </c>
      <c r="F31">
        <v>608</v>
      </c>
      <c r="G31">
        <v>810.6</v>
      </c>
      <c r="H31">
        <v>246.42</v>
      </c>
      <c r="I31" t="s">
        <v>142</v>
      </c>
      <c r="J31" t="s">
        <v>70</v>
      </c>
      <c r="L31" s="1">
        <v>45751</v>
      </c>
      <c r="M31" t="s">
        <v>166</v>
      </c>
      <c r="N31">
        <f>IF(Table1[[#This Row],[side]]="BUY", Table1[[#This Row],[quantity]],-Table1[[#This Row],[quantity]])</f>
        <v>608</v>
      </c>
      <c r="P31" t="str">
        <f>IF(Table1[[#This Row],[side]]="Sell",Table1[[#This Row],[price]],"0")</f>
        <v>0</v>
      </c>
      <c r="Q31">
        <f>SUMIFS(Table1[quantity],Table1[company_id],Table8[[#This Row],[COMPANY_ID]],Table1[side],"BUY")-SUMIFS(Table1[quantity],Table1[company_id],Table8[[#This Row],[COMPANY_ID]],Table1[side],"SELL")</f>
        <v>0</v>
      </c>
      <c r="R31">
        <f>Table1[[#This Row],[Column2]]-Table1[[#This Row],[Buy-sell]]</f>
        <v>0</v>
      </c>
      <c r="S31" t="str">
        <f>IF(Table1[[#This Row],[Sell-Buy]]&gt;0,"Profit","Loss")</f>
        <v>Loss</v>
      </c>
      <c r="T31" s="4" t="s">
        <v>208</v>
      </c>
      <c r="U31" s="8">
        <f>SUMIFS(Table1[price],Table1[order_id],Table15[[#This Row],[order_id]],Table1[side],"BUY")*Table15[[#This Row],[Buy_Quantity]]</f>
        <v>1338622.3</v>
      </c>
      <c r="V31" s="8">
        <f>SUMIFS(Table1[price],Table1[order_id],Table15[[#This Row],[order_id]],Table1[side],"SELL")</f>
        <v>0</v>
      </c>
      <c r="W31" s="8">
        <f>Table15[[#This Row],[sell]]-Table15[[#This Row],[Buy]]</f>
        <v>-1191373847</v>
      </c>
      <c r="X31" s="8">
        <f>IF(Table15[[#This Row],[Profit]]&gt;0,1,0)</f>
        <v>0</v>
      </c>
      <c r="Y31" s="5" t="str">
        <f>IF(Table15[[#This Row],[is Profit]]=1,"Profit","Loss")</f>
        <v>Loss</v>
      </c>
      <c r="Z31" s="5">
        <f>SUMIFS(Table1[quantity],Table1[order_id],Table15[[#This Row],[order_id]],Table1[side],"SELL")</f>
        <v>0</v>
      </c>
      <c r="AA31" s="5">
        <f>Table15[[#This Row],[Buy_value]]*Table15[[#This Row],[Buy_Quantity]]</f>
        <v>1191373847</v>
      </c>
      <c r="AB31" s="5">
        <f>Table15[[#This Row],[Sell_Value]]*Table15[[#This Row],[Sell_Quantity]]</f>
        <v>0</v>
      </c>
      <c r="AC31" s="5">
        <f>SUMIFS(Table1[quantity],Table1[order_id],Table15[[#This Row],[order_id]],Table1[side],"BUY")</f>
        <v>890</v>
      </c>
      <c r="AE31" s="10" t="s">
        <v>1078</v>
      </c>
      <c r="AF31" s="10" t="str">
        <f>IF(Table1[[#This Row],[Sell-Buy]]&gt;0,"Profit","Loss")</f>
        <v>Loss</v>
      </c>
      <c r="AG31">
        <f>Table1[[#This Row],[Column2]]-Table1[[#This Row],[Buy-sell]]</f>
        <v>0</v>
      </c>
    </row>
    <row r="32" spans="1:33" x14ac:dyDescent="0.3">
      <c r="A32" t="s">
        <v>921</v>
      </c>
      <c r="B32" t="s">
        <v>466</v>
      </c>
      <c r="C32" s="1">
        <v>45805.020138888889</v>
      </c>
      <c r="D32" t="s">
        <v>6</v>
      </c>
      <c r="E32" t="s">
        <v>166</v>
      </c>
      <c r="F32">
        <v>329</v>
      </c>
      <c r="G32">
        <v>765.78</v>
      </c>
      <c r="H32">
        <v>125.97</v>
      </c>
      <c r="I32" t="s">
        <v>94</v>
      </c>
      <c r="J32" t="s">
        <v>58</v>
      </c>
      <c r="L32" s="1">
        <v>45687</v>
      </c>
      <c r="M32" t="s">
        <v>166</v>
      </c>
      <c r="N32">
        <f>IF(Table1[[#This Row],[side]]="BUY", Table1[[#This Row],[quantity]],-Table1[[#This Row],[quantity]])</f>
        <v>329</v>
      </c>
      <c r="P32" t="str">
        <f>IF(Table1[[#This Row],[side]]="Sell",Table1[[#This Row],[price]],"0")</f>
        <v>0</v>
      </c>
      <c r="Q32">
        <f>SUMIFS(Table1[quantity],Table1[company_id],Table8[[#This Row],[COMPANY_ID]],Table1[side],"BUY")-SUMIFS(Table1[quantity],Table1[company_id],Table8[[#This Row],[COMPANY_ID]],Table1[side],"SELL")</f>
        <v>0</v>
      </c>
      <c r="R32">
        <f>Table1[[#This Row],[Column2]]-Table1[[#This Row],[Buy-sell]]</f>
        <v>0</v>
      </c>
      <c r="S32" t="str">
        <f>IF(Table1[[#This Row],[Sell-Buy]]&gt;0,"Profit","Loss")</f>
        <v>Loss</v>
      </c>
      <c r="T32" s="4" t="s">
        <v>210</v>
      </c>
      <c r="U32" s="8">
        <f>SUMIFS(Table1[price],Table1[order_id],Table15[[#This Row],[order_id]],Table1[side],"BUY")*Table15[[#This Row],[Buy_Quantity]]</f>
        <v>569011.05000000005</v>
      </c>
      <c r="V32" s="8">
        <f>SUMIFS(Table1[price],Table1[order_id],Table15[[#This Row],[order_id]],Table1[side],"SELL")</f>
        <v>0</v>
      </c>
      <c r="W32" s="8">
        <f>Table15[[#This Row],[sell]]-Table15[[#This Row],[Buy]]</f>
        <v>-486504447.75000006</v>
      </c>
      <c r="X32" s="8">
        <f>IF(Table15[[#This Row],[Profit]]&gt;0,1,0)</f>
        <v>0</v>
      </c>
      <c r="Y32" s="5" t="str">
        <f>IF(Table15[[#This Row],[is Profit]]=1,"Profit","Loss")</f>
        <v>Loss</v>
      </c>
      <c r="Z32" s="5">
        <f>SUMIFS(Table1[quantity],Table1[order_id],Table15[[#This Row],[order_id]],Table1[side],"SELL")</f>
        <v>0</v>
      </c>
      <c r="AA32" s="5">
        <f>Table15[[#This Row],[Buy_value]]*Table15[[#This Row],[Buy_Quantity]]</f>
        <v>486504447.75000006</v>
      </c>
      <c r="AB32" s="5">
        <f>Table15[[#This Row],[Sell_Value]]*Table15[[#This Row],[Sell_Quantity]]</f>
        <v>0</v>
      </c>
      <c r="AC32" s="5">
        <f>SUMIFS(Table1[quantity],Table1[order_id],Table15[[#This Row],[order_id]],Table1[side],"BUY")</f>
        <v>855</v>
      </c>
      <c r="AE32" s="9" t="s">
        <v>879</v>
      </c>
      <c r="AF32" s="10" t="str">
        <f>IF(Table1[[#This Row],[Sell-Buy]]&gt;0,"Profit","Loss")</f>
        <v>Loss</v>
      </c>
      <c r="AG32">
        <f>Table1[[#This Row],[Column2]]-Table1[[#This Row],[Buy-sell]]</f>
        <v>0</v>
      </c>
    </row>
    <row r="33" spans="1:33" x14ac:dyDescent="0.3">
      <c r="A33" t="s">
        <v>922</v>
      </c>
      <c r="B33" t="s">
        <v>667</v>
      </c>
      <c r="C33" s="1">
        <v>45737.017361111109</v>
      </c>
      <c r="D33" t="s">
        <v>6</v>
      </c>
      <c r="E33" t="s">
        <v>171</v>
      </c>
      <c r="F33">
        <v>121</v>
      </c>
      <c r="G33">
        <v>754.85</v>
      </c>
      <c r="H33">
        <v>45.67</v>
      </c>
      <c r="I33" t="s">
        <v>97</v>
      </c>
      <c r="J33" t="s">
        <v>49</v>
      </c>
      <c r="L33" s="1">
        <v>45677</v>
      </c>
      <c r="N33">
        <f>IF(Table1[[#This Row],[side]]="BUY", Table1[[#This Row],[quantity]],-Table1[[#This Row],[quantity]])</f>
        <v>-121</v>
      </c>
      <c r="O33" t="s">
        <v>171</v>
      </c>
      <c r="P33">
        <f>IF(Table1[[#This Row],[side]]="Sell",Table1[[#This Row],[price]],"0")</f>
        <v>754.85</v>
      </c>
      <c r="Q33">
        <f>SUMIFS(Table1[quantity],Table1[company_id],Table8[[#This Row],[COMPANY_ID]],Table1[side],"BUY")-SUMIFS(Table1[quantity],Table1[company_id],Table8[[#This Row],[COMPANY_ID]],Table1[side],"SELL")</f>
        <v>0</v>
      </c>
      <c r="R33">
        <f>Table1[[#This Row],[Column2]]-Table1[[#This Row],[Buy-sell]]</f>
        <v>754.85</v>
      </c>
      <c r="S33" t="str">
        <f>IF(Table1[[#This Row],[Sell-Buy]]&gt;0,"Profit","Loss")</f>
        <v>Profit</v>
      </c>
      <c r="T33" s="4" t="s">
        <v>212</v>
      </c>
      <c r="U33" s="8">
        <f>SUMIFS(Table1[price],Table1[order_id],Table15[[#This Row],[order_id]],Table1[side],"BUY")*Table15[[#This Row],[Buy_Quantity]]</f>
        <v>191582.82</v>
      </c>
      <c r="V33" s="8">
        <f>SUMIFS(Table1[price],Table1[order_id],Table15[[#This Row],[order_id]],Table1[side],"SELL")</f>
        <v>0</v>
      </c>
      <c r="W33" s="8">
        <f>Table15[[#This Row],[sell]]-Table15[[#This Row],[Buy]]</f>
        <v>-158438992.14000002</v>
      </c>
      <c r="X33" s="8">
        <f>IF(Table15[[#This Row],[Profit]]&gt;0,1,0)</f>
        <v>0</v>
      </c>
      <c r="Y33" s="5" t="str">
        <f>IF(Table15[[#This Row],[is Profit]]=1,"Profit","Loss")</f>
        <v>Loss</v>
      </c>
      <c r="Z33" s="5">
        <f>SUMIFS(Table1[quantity],Table1[order_id],Table15[[#This Row],[order_id]],Table1[side],"SELL")</f>
        <v>0</v>
      </c>
      <c r="AA33" s="5">
        <f>Table15[[#This Row],[Buy_value]]*Table15[[#This Row],[Buy_Quantity]]</f>
        <v>158438992.14000002</v>
      </c>
      <c r="AB33" s="5">
        <f>Table15[[#This Row],[Sell_Value]]*Table15[[#This Row],[Sell_Quantity]]</f>
        <v>0</v>
      </c>
      <c r="AC33" s="5">
        <f>SUMIFS(Table1[quantity],Table1[order_id],Table15[[#This Row],[order_id]],Table1[side],"BUY")</f>
        <v>827</v>
      </c>
      <c r="AE33" s="10" t="s">
        <v>1063</v>
      </c>
      <c r="AF33" s="10" t="str">
        <f>IF(Table1[[#This Row],[Sell-Buy]]&gt;0,"Profit","Loss")</f>
        <v>Profit</v>
      </c>
      <c r="AG33">
        <f>Table1[[#This Row],[Column2]]-Table1[[#This Row],[Buy-sell]]</f>
        <v>754.85</v>
      </c>
    </row>
    <row r="34" spans="1:33" x14ac:dyDescent="0.3">
      <c r="A34" t="s">
        <v>927</v>
      </c>
      <c r="B34" t="s">
        <v>542</v>
      </c>
      <c r="C34" s="1">
        <v>45761.037499999999</v>
      </c>
      <c r="D34" t="s">
        <v>6</v>
      </c>
      <c r="E34" t="s">
        <v>171</v>
      </c>
      <c r="F34">
        <v>777</v>
      </c>
      <c r="G34">
        <v>821.42</v>
      </c>
      <c r="H34">
        <v>319.12</v>
      </c>
      <c r="I34" t="s">
        <v>91</v>
      </c>
      <c r="J34" t="s">
        <v>76</v>
      </c>
      <c r="L34" s="1">
        <v>45782</v>
      </c>
      <c r="N34">
        <f>IF(Table1[[#This Row],[side]]="BUY", Table1[[#This Row],[quantity]],-Table1[[#This Row],[quantity]])</f>
        <v>-777</v>
      </c>
      <c r="O34" t="s">
        <v>171</v>
      </c>
      <c r="P34">
        <f>IF(Table1[[#This Row],[side]]="Sell",Table1[[#This Row],[price]],"0")</f>
        <v>821.42</v>
      </c>
      <c r="Q34">
        <f>SUMIFS(Table1[quantity],Table1[company_id],Table8[[#This Row],[COMPANY_ID]],Table1[side],"BUY")-SUMIFS(Table1[quantity],Table1[company_id],Table8[[#This Row],[COMPANY_ID]],Table1[side],"SELL")</f>
        <v>0</v>
      </c>
      <c r="R34">
        <f>Table1[[#This Row],[Column2]]-Table1[[#This Row],[Buy-sell]]</f>
        <v>821.42</v>
      </c>
      <c r="S34" t="str">
        <f>IF(Table1[[#This Row],[Sell-Buy]]&gt;0,"Profit","Loss")</f>
        <v>Profit</v>
      </c>
      <c r="T34" s="5" t="s">
        <v>213</v>
      </c>
      <c r="U34" s="8">
        <f>SUMIFS(Table1[price],Table1[order_id],Table15[[#This Row],[order_id]],Table1[side],"BUY")*Table15[[#This Row],[Buy_Quantity]]</f>
        <v>0</v>
      </c>
      <c r="V34" s="8">
        <f>SUMIFS(Table1[price],Table1[order_id],Table15[[#This Row],[order_id]],Table1[side],"SELL")</f>
        <v>257.04000000000002</v>
      </c>
      <c r="W34" s="8">
        <f>Table15[[#This Row],[sell]]-Table15[[#This Row],[Buy]]</f>
        <v>158850.72</v>
      </c>
      <c r="X34" s="8">
        <f>IF(Table15[[#This Row],[Profit]]&gt;0,1,0)</f>
        <v>1</v>
      </c>
      <c r="Y34" s="5" t="str">
        <f>IF(Table15[[#This Row],[is Profit]]=1,"Profit","Loss")</f>
        <v>Profit</v>
      </c>
      <c r="Z34" s="5">
        <f>SUMIFS(Table1[quantity],Table1[order_id],Table15[[#This Row],[order_id]],Table1[side],"SELL")</f>
        <v>618</v>
      </c>
      <c r="AA34" s="5">
        <f>Table15[[#This Row],[Buy_value]]*Table15[[#This Row],[Buy_Quantity]]</f>
        <v>0</v>
      </c>
      <c r="AB34" s="5">
        <f>Table15[[#This Row],[Sell_Value]]*Table15[[#This Row],[Sell_Quantity]]</f>
        <v>158850.72</v>
      </c>
      <c r="AC34" s="5">
        <f>SUMIFS(Table1[quantity],Table1[order_id],Table15[[#This Row],[order_id]],Table1[side],"BUY")</f>
        <v>0</v>
      </c>
      <c r="AE34" s="9" t="s">
        <v>695</v>
      </c>
      <c r="AF34" s="10" t="str">
        <f>IF(Table1[[#This Row],[Sell-Buy]]&gt;0,"Profit","Loss")</f>
        <v>Profit</v>
      </c>
      <c r="AG34">
        <f>Table1[[#This Row],[Column2]]-Table1[[#This Row],[Buy-sell]]</f>
        <v>821.42</v>
      </c>
    </row>
    <row r="35" spans="1:33" x14ac:dyDescent="0.3">
      <c r="A35" t="s">
        <v>930</v>
      </c>
      <c r="B35" t="s">
        <v>351</v>
      </c>
      <c r="C35" s="1">
        <v>45687.039583333331</v>
      </c>
      <c r="D35" t="s">
        <v>6</v>
      </c>
      <c r="E35" t="s">
        <v>171</v>
      </c>
      <c r="F35">
        <v>702</v>
      </c>
      <c r="G35">
        <v>756.15</v>
      </c>
      <c r="H35">
        <v>265.41000000000003</v>
      </c>
      <c r="I35" t="s">
        <v>122</v>
      </c>
      <c r="J35" t="s">
        <v>52</v>
      </c>
      <c r="L35" s="1">
        <v>45701</v>
      </c>
      <c r="N35">
        <f>IF(Table1[[#This Row],[side]]="BUY", Table1[[#This Row],[quantity]],-Table1[[#This Row],[quantity]])</f>
        <v>-702</v>
      </c>
      <c r="O35" t="s">
        <v>171</v>
      </c>
      <c r="P35">
        <f>IF(Table1[[#This Row],[side]]="Sell",Table1[[#This Row],[price]],"0")</f>
        <v>756.15</v>
      </c>
      <c r="Q35">
        <f>SUMIFS(Table1[quantity],Table1[company_id],Table8[[#This Row],[COMPANY_ID]],Table1[side],"BUY")-SUMIFS(Table1[quantity],Table1[company_id],Table8[[#This Row],[COMPANY_ID]],Table1[side],"SELL")</f>
        <v>0</v>
      </c>
      <c r="R35">
        <f>Table1[[#This Row],[Column2]]-Table1[[#This Row],[Buy-sell]]</f>
        <v>756.15</v>
      </c>
      <c r="S35" t="str">
        <f>IF(Table1[[#This Row],[Sell-Buy]]&gt;0,"Profit","Loss")</f>
        <v>Profit</v>
      </c>
      <c r="T35" s="4" t="s">
        <v>215</v>
      </c>
      <c r="U35" s="8">
        <f>SUMIFS(Table1[price],Table1[order_id],Table15[[#This Row],[order_id]],Table1[side],"BUY")*Table15[[#This Row],[Buy_Quantity]]</f>
        <v>184010.97</v>
      </c>
      <c r="V35" s="8">
        <f>SUMIFS(Table1[price],Table1[order_id],Table15[[#This Row],[order_id]],Table1[side],"SELL")</f>
        <v>0</v>
      </c>
      <c r="W35" s="8">
        <f>Table15[[#This Row],[sell]]-Table15[[#This Row],[Buy]]</f>
        <v>-141136413.99000001</v>
      </c>
      <c r="X35" s="8">
        <f>IF(Table15[[#This Row],[Profit]]&gt;0,1,0)</f>
        <v>0</v>
      </c>
      <c r="Y35" s="5" t="str">
        <f>IF(Table15[[#This Row],[is Profit]]=1,"Profit","Loss")</f>
        <v>Loss</v>
      </c>
      <c r="Z35" s="5">
        <f>SUMIFS(Table1[quantity],Table1[order_id],Table15[[#This Row],[order_id]],Table1[side],"SELL")</f>
        <v>0</v>
      </c>
      <c r="AA35" s="5">
        <f>Table15[[#This Row],[Buy_value]]*Table15[[#This Row],[Buy_Quantity]]</f>
        <v>141136413.99000001</v>
      </c>
      <c r="AB35" s="5">
        <f>Table15[[#This Row],[Sell_Value]]*Table15[[#This Row],[Sell_Quantity]]</f>
        <v>0</v>
      </c>
      <c r="AC35" s="5">
        <f>SUMIFS(Table1[quantity],Table1[order_id],Table15[[#This Row],[order_id]],Table1[side],"BUY")</f>
        <v>767</v>
      </c>
      <c r="AE35" s="10" t="s">
        <v>744</v>
      </c>
      <c r="AF35" s="10" t="str">
        <f>IF(Table1[[#This Row],[Sell-Buy]]&gt;0,"Profit","Loss")</f>
        <v>Profit</v>
      </c>
      <c r="AG35">
        <f>Table1[[#This Row],[Column2]]-Table1[[#This Row],[Buy-sell]]</f>
        <v>756.15</v>
      </c>
    </row>
    <row r="36" spans="1:33" x14ac:dyDescent="0.3">
      <c r="A36" t="s">
        <v>938</v>
      </c>
      <c r="B36" t="s">
        <v>431</v>
      </c>
      <c r="C36" s="1">
        <v>45687.008333333331</v>
      </c>
      <c r="D36" t="s">
        <v>6</v>
      </c>
      <c r="E36" t="s">
        <v>166</v>
      </c>
      <c r="F36">
        <v>572</v>
      </c>
      <c r="G36">
        <v>756.57</v>
      </c>
      <c r="H36">
        <v>216.38</v>
      </c>
      <c r="I36" t="s">
        <v>100</v>
      </c>
      <c r="J36" t="s">
        <v>67</v>
      </c>
      <c r="L36" s="1">
        <v>45673</v>
      </c>
      <c r="M36" t="s">
        <v>166</v>
      </c>
      <c r="N36">
        <f>IF(Table1[[#This Row],[side]]="BUY", Table1[[#This Row],[quantity]],-Table1[[#This Row],[quantity]])</f>
        <v>572</v>
      </c>
      <c r="P36" t="str">
        <f>IF(Table1[[#This Row],[side]]="Sell",Table1[[#This Row],[price]],"0")</f>
        <v>0</v>
      </c>
      <c r="Q36">
        <f>SUMIFS(Table1[quantity],Table1[company_id],Table8[[#This Row],[COMPANY_ID]],Table1[side],"BUY")-SUMIFS(Table1[quantity],Table1[company_id],Table8[[#This Row],[COMPANY_ID]],Table1[side],"SELL")</f>
        <v>0</v>
      </c>
      <c r="R36">
        <f>Table1[[#This Row],[Column2]]-Table1[[#This Row],[Buy-sell]]</f>
        <v>0</v>
      </c>
      <c r="S36" t="str">
        <f>IF(Table1[[#This Row],[Sell-Buy]]&gt;0,"Profit","Loss")</f>
        <v>Loss</v>
      </c>
      <c r="T36" s="4" t="s">
        <v>218</v>
      </c>
      <c r="U36" s="8">
        <f>SUMIFS(Table1[price],Table1[order_id],Table15[[#This Row],[order_id]],Table1[side],"BUY")*Table15[[#This Row],[Buy_Quantity]]</f>
        <v>0</v>
      </c>
      <c r="V36" s="8">
        <f>SUMIFS(Table1[price],Table1[order_id],Table15[[#This Row],[order_id]],Table1[side],"SELL")</f>
        <v>2888.7699999999995</v>
      </c>
      <c r="W36" s="8">
        <f>Table15[[#This Row],[sell]]-Table15[[#This Row],[Buy]]</f>
        <v>3111205.2899999996</v>
      </c>
      <c r="X36" s="8">
        <f>IF(Table15[[#This Row],[Profit]]&gt;0,1,0)</f>
        <v>1</v>
      </c>
      <c r="Y36" s="5" t="str">
        <f>IF(Table15[[#This Row],[is Profit]]=1,"Profit","Loss")</f>
        <v>Profit</v>
      </c>
      <c r="Z36" s="5">
        <f>SUMIFS(Table1[quantity],Table1[order_id],Table15[[#This Row],[order_id]],Table1[side],"SELL")</f>
        <v>1077</v>
      </c>
      <c r="AA36" s="5">
        <f>Table15[[#This Row],[Buy_value]]*Table15[[#This Row],[Buy_Quantity]]</f>
        <v>0</v>
      </c>
      <c r="AB36" s="5">
        <f>Table15[[#This Row],[Sell_Value]]*Table15[[#This Row],[Sell_Quantity]]</f>
        <v>3111205.2899999996</v>
      </c>
      <c r="AC36" s="5">
        <f>SUMIFS(Table1[quantity],Table1[order_id],Table15[[#This Row],[order_id]],Table1[side],"BUY")</f>
        <v>0</v>
      </c>
      <c r="AE36" s="9" t="s">
        <v>1134</v>
      </c>
      <c r="AF36" s="10" t="str">
        <f>IF(Table1[[#This Row],[Sell-Buy]]&gt;0,"Profit","Loss")</f>
        <v>Loss</v>
      </c>
      <c r="AG36">
        <f>Table1[[#This Row],[Column2]]-Table1[[#This Row],[Buy-sell]]</f>
        <v>0</v>
      </c>
    </row>
    <row r="37" spans="1:33" x14ac:dyDescent="0.3">
      <c r="A37" t="s">
        <v>943</v>
      </c>
      <c r="B37" t="s">
        <v>307</v>
      </c>
      <c r="C37" s="1">
        <v>45698.030555555553</v>
      </c>
      <c r="D37" t="s">
        <v>6</v>
      </c>
      <c r="E37" t="s">
        <v>171</v>
      </c>
      <c r="F37">
        <v>940</v>
      </c>
      <c r="G37">
        <v>742.82</v>
      </c>
      <c r="H37">
        <v>349.13</v>
      </c>
      <c r="I37" t="s">
        <v>88</v>
      </c>
      <c r="J37" t="s">
        <v>55</v>
      </c>
      <c r="L37" s="1">
        <v>45797</v>
      </c>
      <c r="N37">
        <f>IF(Table1[[#This Row],[side]]="BUY", Table1[[#This Row],[quantity]],-Table1[[#This Row],[quantity]])</f>
        <v>-940</v>
      </c>
      <c r="O37" t="s">
        <v>171</v>
      </c>
      <c r="P37">
        <f>IF(Table1[[#This Row],[side]]="Sell",Table1[[#This Row],[price]],"0")</f>
        <v>742.82</v>
      </c>
      <c r="Q37">
        <f>SUMIFS(Table1[quantity],Table1[company_id],Table8[[#This Row],[COMPANY_ID]],Table1[side],"BUY")-SUMIFS(Table1[quantity],Table1[company_id],Table8[[#This Row],[COMPANY_ID]],Table1[side],"SELL")</f>
        <v>0</v>
      </c>
      <c r="R37">
        <f>Table1[[#This Row],[Column2]]-Table1[[#This Row],[Buy-sell]]</f>
        <v>742.82</v>
      </c>
      <c r="S37" t="str">
        <f>IF(Table1[[#This Row],[Sell-Buy]]&gt;0,"Profit","Loss")</f>
        <v>Profit</v>
      </c>
      <c r="T37" s="5" t="s">
        <v>221</v>
      </c>
      <c r="U37" s="8">
        <f>SUMIFS(Table1[price],Table1[order_id],Table15[[#This Row],[order_id]],Table1[side],"BUY")*Table15[[#This Row],[Buy_Quantity]]</f>
        <v>210793.44</v>
      </c>
      <c r="V37" s="8">
        <f>SUMIFS(Table1[price],Table1[order_id],Table15[[#This Row],[order_id]],Table1[side],"SELL")</f>
        <v>2172.5700000000002</v>
      </c>
      <c r="W37" s="8">
        <f>Table15[[#This Row],[sell]]-Table15[[#This Row],[Buy]]</f>
        <v>-65485119.18</v>
      </c>
      <c r="X37" s="8">
        <f>IF(Table15[[#This Row],[Profit]]&gt;0,1,0)</f>
        <v>0</v>
      </c>
      <c r="Y37" s="5" t="str">
        <f>IF(Table15[[#This Row],[is Profit]]=1,"Profit","Loss")</f>
        <v>Loss</v>
      </c>
      <c r="Z37" s="5">
        <f>SUMIFS(Table1[quantity],Table1[order_id],Table15[[#This Row],[order_id]],Table1[side],"SELL")</f>
        <v>130</v>
      </c>
      <c r="AA37" s="5">
        <f>Table15[[#This Row],[Buy_value]]*Table15[[#This Row],[Buy_Quantity]]</f>
        <v>65767553.280000001</v>
      </c>
      <c r="AB37" s="5">
        <f>Table15[[#This Row],[Sell_Value]]*Table15[[#This Row],[Sell_Quantity]]</f>
        <v>282434.10000000003</v>
      </c>
      <c r="AC37" s="5">
        <f>SUMIFS(Table1[quantity],Table1[order_id],Table15[[#This Row],[order_id]],Table1[side],"BUY")</f>
        <v>312</v>
      </c>
      <c r="AE37" s="10" t="s">
        <v>924</v>
      </c>
      <c r="AF37" s="10" t="str">
        <f>IF(Table1[[#This Row],[Sell-Buy]]&gt;0,"Profit","Loss")</f>
        <v>Profit</v>
      </c>
      <c r="AG37">
        <f>Table1[[#This Row],[Column2]]-Table1[[#This Row],[Buy-sell]]</f>
        <v>742.82</v>
      </c>
    </row>
    <row r="38" spans="1:33" x14ac:dyDescent="0.3">
      <c r="A38" t="s">
        <v>948</v>
      </c>
      <c r="B38" t="s">
        <v>253</v>
      </c>
      <c r="C38" s="1">
        <v>45721.009027777778</v>
      </c>
      <c r="D38" t="s">
        <v>6</v>
      </c>
      <c r="E38" t="s">
        <v>171</v>
      </c>
      <c r="F38">
        <v>735</v>
      </c>
      <c r="G38">
        <v>739.55</v>
      </c>
      <c r="H38">
        <v>271.77999999999997</v>
      </c>
      <c r="I38" t="s">
        <v>102</v>
      </c>
      <c r="J38" t="s">
        <v>61</v>
      </c>
      <c r="L38" s="1">
        <v>45726</v>
      </c>
      <c r="N38">
        <f>IF(Table1[[#This Row],[side]]="BUY", Table1[[#This Row],[quantity]],-Table1[[#This Row],[quantity]])</f>
        <v>-735</v>
      </c>
      <c r="O38" t="s">
        <v>171</v>
      </c>
      <c r="P38">
        <f>IF(Table1[[#This Row],[side]]="Sell",Table1[[#This Row],[price]],"0")</f>
        <v>739.55</v>
      </c>
      <c r="Q38">
        <f>SUMIFS(Table1[quantity],Table1[company_id],Table8[[#This Row],[COMPANY_ID]],Table1[side],"BUY")-SUMIFS(Table1[quantity],Table1[company_id],Table8[[#This Row],[COMPANY_ID]],Table1[side],"SELL")</f>
        <v>0</v>
      </c>
      <c r="R38">
        <f>Table1[[#This Row],[Column2]]-Table1[[#This Row],[Buy-sell]]</f>
        <v>739.55</v>
      </c>
      <c r="S38" t="str">
        <f>IF(Table1[[#This Row],[Sell-Buy]]&gt;0,"Profit","Loss")</f>
        <v>Profit</v>
      </c>
      <c r="T38" s="5" t="s">
        <v>222</v>
      </c>
      <c r="U38" s="8">
        <f>SUMIFS(Table1[price],Table1[order_id],Table15[[#This Row],[order_id]],Table1[side],"BUY")*Table15[[#This Row],[Buy_Quantity]]</f>
        <v>240052.84</v>
      </c>
      <c r="V38" s="8">
        <f>SUMIFS(Table1[price],Table1[order_id],Table15[[#This Row],[order_id]],Table1[side],"SELL")</f>
        <v>0</v>
      </c>
      <c r="W38" s="8">
        <f>Table15[[#This Row],[sell]]-Table15[[#This Row],[Buy]]</f>
        <v>-106343408.12</v>
      </c>
      <c r="X38" s="8">
        <f>IF(Table15[[#This Row],[Profit]]&gt;0,1,0)</f>
        <v>0</v>
      </c>
      <c r="Y38" s="5" t="str">
        <f>IF(Table15[[#This Row],[is Profit]]=1,"Profit","Loss")</f>
        <v>Loss</v>
      </c>
      <c r="Z38" s="5">
        <f>SUMIFS(Table1[quantity],Table1[order_id],Table15[[#This Row],[order_id]],Table1[side],"SELL")</f>
        <v>0</v>
      </c>
      <c r="AA38" s="5">
        <f>Table15[[#This Row],[Buy_value]]*Table15[[#This Row],[Buy_Quantity]]</f>
        <v>106343408.12</v>
      </c>
      <c r="AB38" s="5">
        <f>Table15[[#This Row],[Sell_Value]]*Table15[[#This Row],[Sell_Quantity]]</f>
        <v>0</v>
      </c>
      <c r="AC38" s="5">
        <f>SUMIFS(Table1[quantity],Table1[order_id],Table15[[#This Row],[order_id]],Table1[side],"BUY")</f>
        <v>443</v>
      </c>
      <c r="AE38" s="9" t="s">
        <v>794</v>
      </c>
      <c r="AF38" s="10" t="str">
        <f>IF(Table1[[#This Row],[Sell-Buy]]&gt;0,"Profit","Loss")</f>
        <v>Profit</v>
      </c>
      <c r="AG38">
        <f>Table1[[#This Row],[Column2]]-Table1[[#This Row],[Buy-sell]]</f>
        <v>739.55</v>
      </c>
    </row>
    <row r="39" spans="1:33" x14ac:dyDescent="0.3">
      <c r="A39" t="s">
        <v>955</v>
      </c>
      <c r="B39" t="s">
        <v>333</v>
      </c>
      <c r="C39" s="1">
        <v>45763.033333333333</v>
      </c>
      <c r="D39" t="s">
        <v>6</v>
      </c>
      <c r="E39" t="s">
        <v>171</v>
      </c>
      <c r="F39">
        <v>726</v>
      </c>
      <c r="G39">
        <v>800.67</v>
      </c>
      <c r="H39">
        <v>290.64</v>
      </c>
      <c r="I39" t="s">
        <v>142</v>
      </c>
      <c r="J39" t="s">
        <v>61</v>
      </c>
      <c r="L39" s="1">
        <v>45740</v>
      </c>
      <c r="N39">
        <f>IF(Table1[[#This Row],[side]]="BUY", Table1[[#This Row],[quantity]],-Table1[[#This Row],[quantity]])</f>
        <v>-726</v>
      </c>
      <c r="O39" t="s">
        <v>171</v>
      </c>
      <c r="P39">
        <f>IF(Table1[[#This Row],[side]]="Sell",Table1[[#This Row],[price]],"0")</f>
        <v>800.67</v>
      </c>
      <c r="Q39">
        <f>SUMIFS(Table1[quantity],Table1[company_id],Table8[[#This Row],[COMPANY_ID]],Table1[side],"BUY")-SUMIFS(Table1[quantity],Table1[company_id],Table8[[#This Row],[COMPANY_ID]],Table1[side],"SELL")</f>
        <v>0</v>
      </c>
      <c r="R39">
        <f>Table1[[#This Row],[Column2]]-Table1[[#This Row],[Buy-sell]]</f>
        <v>800.67</v>
      </c>
      <c r="S39" t="str">
        <f>IF(Table1[[#This Row],[Sell-Buy]]&gt;0,"Profit","Loss")</f>
        <v>Profit</v>
      </c>
      <c r="T39" s="5" t="s">
        <v>224</v>
      </c>
      <c r="U39" s="8">
        <f>SUMIFS(Table1[price],Table1[order_id],Table15[[#This Row],[order_id]],Table1[side],"BUY")*Table15[[#This Row],[Buy_Quantity]]</f>
        <v>230006.81999999998</v>
      </c>
      <c r="V39" s="8">
        <f>SUMIFS(Table1[price],Table1[order_id],Table15[[#This Row],[order_id]],Table1[side],"SELL")</f>
        <v>0</v>
      </c>
      <c r="W39" s="8">
        <f>Table15[[#This Row],[sell]]-Table15[[#This Row],[Buy]]</f>
        <v>-88092612.059999987</v>
      </c>
      <c r="X39" s="8">
        <f>IF(Table15[[#This Row],[Profit]]&gt;0,1,0)</f>
        <v>0</v>
      </c>
      <c r="Y39" s="5" t="str">
        <f>IF(Table15[[#This Row],[is Profit]]=1,"Profit","Loss")</f>
        <v>Loss</v>
      </c>
      <c r="Z39" s="5">
        <f>SUMIFS(Table1[quantity],Table1[order_id],Table15[[#This Row],[order_id]],Table1[side],"SELL")</f>
        <v>0</v>
      </c>
      <c r="AA39" s="5">
        <f>Table15[[#This Row],[Buy_value]]*Table15[[#This Row],[Buy_Quantity]]</f>
        <v>88092612.059999987</v>
      </c>
      <c r="AB39" s="5">
        <f>Table15[[#This Row],[Sell_Value]]*Table15[[#This Row],[Sell_Quantity]]</f>
        <v>0</v>
      </c>
      <c r="AC39" s="5">
        <f>SUMIFS(Table1[quantity],Table1[order_id],Table15[[#This Row],[order_id]],Table1[side],"BUY")</f>
        <v>383</v>
      </c>
      <c r="AE39" s="10" t="s">
        <v>952</v>
      </c>
      <c r="AF39" s="10" t="str">
        <f>IF(Table1[[#This Row],[Sell-Buy]]&gt;0,"Profit","Loss")</f>
        <v>Profit</v>
      </c>
      <c r="AG39">
        <f>Table1[[#This Row],[Column2]]-Table1[[#This Row],[Buy-sell]]</f>
        <v>800.67</v>
      </c>
    </row>
    <row r="40" spans="1:33" x14ac:dyDescent="0.3">
      <c r="A40" t="s">
        <v>972</v>
      </c>
      <c r="B40" t="s">
        <v>594</v>
      </c>
      <c r="C40" s="1">
        <v>45727.020833333336</v>
      </c>
      <c r="D40" t="s">
        <v>6</v>
      </c>
      <c r="E40" t="s">
        <v>166</v>
      </c>
      <c r="F40">
        <v>175</v>
      </c>
      <c r="G40">
        <v>769.58</v>
      </c>
      <c r="H40">
        <v>67.34</v>
      </c>
      <c r="I40" t="s">
        <v>106</v>
      </c>
      <c r="J40" t="s">
        <v>70</v>
      </c>
      <c r="L40" s="1">
        <v>45664</v>
      </c>
      <c r="M40" t="s">
        <v>166</v>
      </c>
      <c r="N40">
        <f>IF(Table1[[#This Row],[side]]="BUY", Table1[[#This Row],[quantity]],-Table1[[#This Row],[quantity]])</f>
        <v>175</v>
      </c>
      <c r="P40" t="str">
        <f>IF(Table1[[#This Row],[side]]="Sell",Table1[[#This Row],[price]],"0")</f>
        <v>0</v>
      </c>
      <c r="Q40">
        <f>SUMIFS(Table1[quantity],Table1[company_id],Table8[[#This Row],[COMPANY_ID]],Table1[side],"BUY")-SUMIFS(Table1[quantity],Table1[company_id],Table8[[#This Row],[COMPANY_ID]],Table1[side],"SELL")</f>
        <v>0</v>
      </c>
      <c r="R40">
        <f>Table1[[#This Row],[Column2]]-Table1[[#This Row],[Buy-sell]]</f>
        <v>0</v>
      </c>
      <c r="S40" t="str">
        <f>IF(Table1[[#This Row],[Sell-Buy]]&gt;0,"Profit","Loss")</f>
        <v>Loss</v>
      </c>
      <c r="T40" s="4" t="s">
        <v>226</v>
      </c>
      <c r="U40" s="8">
        <f>SUMIFS(Table1[price],Table1[order_id],Table15[[#This Row],[order_id]],Table1[side],"BUY")*Table15[[#This Row],[Buy_Quantity]]</f>
        <v>0</v>
      </c>
      <c r="V40" s="8">
        <f>SUMIFS(Table1[price],Table1[order_id],Table15[[#This Row],[order_id]],Table1[side],"SELL")</f>
        <v>1353.28</v>
      </c>
      <c r="W40" s="8">
        <f>Table15[[#This Row],[sell]]-Table15[[#This Row],[Buy]]</f>
        <v>155627.19999999998</v>
      </c>
      <c r="X40" s="8">
        <f>IF(Table15[[#This Row],[Profit]]&gt;0,1,0)</f>
        <v>1</v>
      </c>
      <c r="Y40" s="5" t="str">
        <f>IF(Table15[[#This Row],[is Profit]]=1,"Profit","Loss")</f>
        <v>Profit</v>
      </c>
      <c r="Z40" s="5">
        <f>SUMIFS(Table1[quantity],Table1[order_id],Table15[[#This Row],[order_id]],Table1[side],"SELL")</f>
        <v>115</v>
      </c>
      <c r="AA40" s="5">
        <f>Table15[[#This Row],[Buy_value]]*Table15[[#This Row],[Buy_Quantity]]</f>
        <v>0</v>
      </c>
      <c r="AB40" s="5">
        <f>Table15[[#This Row],[Sell_Value]]*Table15[[#This Row],[Sell_Quantity]]</f>
        <v>155627.19999999998</v>
      </c>
      <c r="AC40" s="5">
        <f>SUMIFS(Table1[quantity],Table1[order_id],Table15[[#This Row],[order_id]],Table1[side],"BUY")</f>
        <v>0</v>
      </c>
      <c r="AE40" s="9" t="s">
        <v>1035</v>
      </c>
      <c r="AF40" s="10" t="str">
        <f>IF(Table1[[#This Row],[Sell-Buy]]&gt;0,"Profit","Loss")</f>
        <v>Loss</v>
      </c>
      <c r="AG40">
        <f>Table1[[#This Row],[Column2]]-Table1[[#This Row],[Buy-sell]]</f>
        <v>0</v>
      </c>
    </row>
    <row r="41" spans="1:33" x14ac:dyDescent="0.3">
      <c r="A41" t="s">
        <v>985</v>
      </c>
      <c r="B41" t="s">
        <v>450</v>
      </c>
      <c r="C41" s="1">
        <v>45807.002083333333</v>
      </c>
      <c r="D41" t="s">
        <v>6</v>
      </c>
      <c r="E41" t="s">
        <v>171</v>
      </c>
      <c r="F41">
        <v>121</v>
      </c>
      <c r="G41">
        <v>763.61</v>
      </c>
      <c r="H41">
        <v>46.2</v>
      </c>
      <c r="I41" t="s">
        <v>114</v>
      </c>
      <c r="J41" t="s">
        <v>70</v>
      </c>
      <c r="L41" s="1">
        <v>45800</v>
      </c>
      <c r="N41">
        <f>IF(Table1[[#This Row],[side]]="BUY", Table1[[#This Row],[quantity]],-Table1[[#This Row],[quantity]])</f>
        <v>-121</v>
      </c>
      <c r="O41" t="s">
        <v>171</v>
      </c>
      <c r="P41">
        <f>IF(Table1[[#This Row],[side]]="Sell",Table1[[#This Row],[price]],"0")</f>
        <v>763.61</v>
      </c>
      <c r="Q41">
        <f>SUMIFS(Table1[quantity],Table1[company_id],Table8[[#This Row],[COMPANY_ID]],Table1[side],"BUY")-SUMIFS(Table1[quantity],Table1[company_id],Table8[[#This Row],[COMPANY_ID]],Table1[side],"SELL")</f>
        <v>0</v>
      </c>
      <c r="R41">
        <f>Table1[[#This Row],[Column2]]-Table1[[#This Row],[Buy-sell]]</f>
        <v>763.61</v>
      </c>
      <c r="S41" t="str">
        <f>IF(Table1[[#This Row],[Sell-Buy]]&gt;0,"Profit","Loss")</f>
        <v>Profit</v>
      </c>
      <c r="T41" s="4" t="s">
        <v>228</v>
      </c>
      <c r="U41" s="8">
        <f>SUMIFS(Table1[price],Table1[order_id],Table15[[#This Row],[order_id]],Table1[side],"BUY")*Table15[[#This Row],[Buy_Quantity]]</f>
        <v>95503.05</v>
      </c>
      <c r="V41" s="8">
        <f>SUMIFS(Table1[price],Table1[order_id],Table15[[#This Row],[order_id]],Table1[side],"SELL")</f>
        <v>0</v>
      </c>
      <c r="W41" s="8">
        <f>Table15[[#This Row],[sell]]-Table15[[#This Row],[Buy]]</f>
        <v>-38678735.25</v>
      </c>
      <c r="X41" s="8">
        <f>IF(Table15[[#This Row],[Profit]]&gt;0,1,0)</f>
        <v>0</v>
      </c>
      <c r="Y41" s="5" t="str">
        <f>IF(Table15[[#This Row],[is Profit]]=1,"Profit","Loss")</f>
        <v>Loss</v>
      </c>
      <c r="Z41" s="5">
        <f>SUMIFS(Table1[quantity],Table1[order_id],Table15[[#This Row],[order_id]],Table1[side],"SELL")</f>
        <v>0</v>
      </c>
      <c r="AA41" s="5">
        <f>Table15[[#This Row],[Buy_value]]*Table15[[#This Row],[Buy_Quantity]]</f>
        <v>38678735.25</v>
      </c>
      <c r="AB41" s="5">
        <f>Table15[[#This Row],[Sell_Value]]*Table15[[#This Row],[Sell_Quantity]]</f>
        <v>0</v>
      </c>
      <c r="AC41" s="5">
        <f>SUMIFS(Table1[quantity],Table1[order_id],Table15[[#This Row],[order_id]],Table1[side],"BUY")</f>
        <v>405</v>
      </c>
      <c r="AE41" s="10" t="s">
        <v>1127</v>
      </c>
      <c r="AF41" s="10" t="str">
        <f>IF(Table1[[#This Row],[Sell-Buy]]&gt;0,"Profit","Loss")</f>
        <v>Profit</v>
      </c>
      <c r="AG41">
        <f>Table1[[#This Row],[Column2]]-Table1[[#This Row],[Buy-sell]]</f>
        <v>763.61</v>
      </c>
    </row>
    <row r="42" spans="1:33" x14ac:dyDescent="0.3">
      <c r="A42" t="s">
        <v>987</v>
      </c>
      <c r="B42" t="s">
        <v>177</v>
      </c>
      <c r="C42" s="1">
        <v>45670.012499999997</v>
      </c>
      <c r="D42" t="s">
        <v>6</v>
      </c>
      <c r="E42" t="s">
        <v>166</v>
      </c>
      <c r="F42">
        <v>313</v>
      </c>
      <c r="G42">
        <v>766.38</v>
      </c>
      <c r="H42">
        <v>119.94</v>
      </c>
      <c r="I42" t="s">
        <v>128</v>
      </c>
      <c r="J42" t="s">
        <v>67</v>
      </c>
      <c r="L42" s="1">
        <v>45720</v>
      </c>
      <c r="M42" t="s">
        <v>166</v>
      </c>
      <c r="N42">
        <f>IF(Table1[[#This Row],[side]]="BUY", Table1[[#This Row],[quantity]],-Table1[[#This Row],[quantity]])</f>
        <v>313</v>
      </c>
      <c r="P42" t="str">
        <f>IF(Table1[[#This Row],[side]]="Sell",Table1[[#This Row],[price]],"0")</f>
        <v>0</v>
      </c>
      <c r="Q42">
        <f>SUMIFS(Table1[quantity],Table1[company_id],Table8[[#This Row],[COMPANY_ID]],Table1[side],"BUY")-SUMIFS(Table1[quantity],Table1[company_id],Table8[[#This Row],[COMPANY_ID]],Table1[side],"SELL")</f>
        <v>0</v>
      </c>
      <c r="R42">
        <f>Table1[[#This Row],[Column2]]-Table1[[#This Row],[Buy-sell]]</f>
        <v>0</v>
      </c>
      <c r="S42" t="str">
        <f>IF(Table1[[#This Row],[Sell-Buy]]&gt;0,"Profit","Loss")</f>
        <v>Loss</v>
      </c>
      <c r="T42" s="4" t="s">
        <v>230</v>
      </c>
      <c r="U42" s="8">
        <f>SUMIFS(Table1[price],Table1[order_id],Table15[[#This Row],[order_id]],Table1[side],"BUY")*Table15[[#This Row],[Buy_Quantity]]</f>
        <v>255413.76000000001</v>
      </c>
      <c r="V42" s="8">
        <f>SUMIFS(Table1[price],Table1[order_id],Table15[[#This Row],[order_id]],Table1[side],"SELL")</f>
        <v>1061.79</v>
      </c>
      <c r="W42" s="8">
        <f>Table15[[#This Row],[sell]]-Table15[[#This Row],[Buy]]</f>
        <v>-114248045.55</v>
      </c>
      <c r="X42" s="8">
        <f>IF(Table15[[#This Row],[Profit]]&gt;0,1,0)</f>
        <v>0</v>
      </c>
      <c r="Y42" s="5" t="str">
        <f>IF(Table15[[#This Row],[is Profit]]=1,"Profit","Loss")</f>
        <v>Loss</v>
      </c>
      <c r="Z42" s="5">
        <f>SUMIFS(Table1[quantity],Table1[order_id],Table15[[#This Row],[order_id]],Table1[side],"SELL")</f>
        <v>167</v>
      </c>
      <c r="AA42" s="5">
        <f>Table15[[#This Row],[Buy_value]]*Table15[[#This Row],[Buy_Quantity]]</f>
        <v>114425364.48</v>
      </c>
      <c r="AB42" s="5">
        <f>Table15[[#This Row],[Sell_Value]]*Table15[[#This Row],[Sell_Quantity]]</f>
        <v>177318.93</v>
      </c>
      <c r="AC42" s="5">
        <f>SUMIFS(Table1[quantity],Table1[order_id],Table15[[#This Row],[order_id]],Table1[side],"BUY")</f>
        <v>448</v>
      </c>
      <c r="AE42" s="9" t="s">
        <v>731</v>
      </c>
      <c r="AF42" s="10" t="str">
        <f>IF(Table1[[#This Row],[Sell-Buy]]&gt;0,"Profit","Loss")</f>
        <v>Loss</v>
      </c>
      <c r="AG42">
        <f>Table1[[#This Row],[Column2]]-Table1[[#This Row],[Buy-sell]]</f>
        <v>0</v>
      </c>
    </row>
    <row r="43" spans="1:33" x14ac:dyDescent="0.3">
      <c r="A43" t="s">
        <v>1002</v>
      </c>
      <c r="B43" t="s">
        <v>289</v>
      </c>
      <c r="C43" s="1">
        <v>45762.026388888888</v>
      </c>
      <c r="D43" t="s">
        <v>6</v>
      </c>
      <c r="E43" t="s">
        <v>166</v>
      </c>
      <c r="F43">
        <v>449</v>
      </c>
      <c r="G43">
        <v>817.08</v>
      </c>
      <c r="H43">
        <v>183.43</v>
      </c>
      <c r="I43" t="s">
        <v>106</v>
      </c>
      <c r="J43" t="s">
        <v>49</v>
      </c>
      <c r="L43" s="1">
        <v>45699</v>
      </c>
      <c r="M43" t="s">
        <v>166</v>
      </c>
      <c r="N43">
        <f>IF(Table1[[#This Row],[side]]="BUY", Table1[[#This Row],[quantity]],-Table1[[#This Row],[quantity]])</f>
        <v>449</v>
      </c>
      <c r="P43" t="str">
        <f>IF(Table1[[#This Row],[side]]="Sell",Table1[[#This Row],[price]],"0")</f>
        <v>0</v>
      </c>
      <c r="Q43">
        <f>SUMIFS(Table1[quantity],Table1[company_id],Table8[[#This Row],[COMPANY_ID]],Table1[side],"BUY")-SUMIFS(Table1[quantity],Table1[company_id],Table8[[#This Row],[COMPANY_ID]],Table1[side],"SELL")</f>
        <v>0</v>
      </c>
      <c r="R43">
        <f>Table1[[#This Row],[Column2]]-Table1[[#This Row],[Buy-sell]]</f>
        <v>0</v>
      </c>
      <c r="S43" t="str">
        <f>IF(Table1[[#This Row],[Sell-Buy]]&gt;0,"Profit","Loss")</f>
        <v>Loss</v>
      </c>
      <c r="T43" s="4" t="s">
        <v>231</v>
      </c>
      <c r="U43" s="8">
        <f>SUMIFS(Table1[price],Table1[order_id],Table15[[#This Row],[order_id]],Table1[side],"BUY")*Table15[[#This Row],[Buy_Quantity]]</f>
        <v>351538.1</v>
      </c>
      <c r="V43" s="8">
        <f>SUMIFS(Table1[price],Table1[order_id],Table15[[#This Row],[order_id]],Table1[side],"SELL")</f>
        <v>0</v>
      </c>
      <c r="W43" s="8">
        <f>Table15[[#This Row],[sell]]-Table15[[#This Row],[Buy]]</f>
        <v>-62925319.899999999</v>
      </c>
      <c r="X43" s="8">
        <f>IF(Table15[[#This Row],[Profit]]&gt;0,1,0)</f>
        <v>0</v>
      </c>
      <c r="Y43" s="5" t="str">
        <f>IF(Table15[[#This Row],[is Profit]]=1,"Profit","Loss")</f>
        <v>Loss</v>
      </c>
      <c r="Z43" s="5">
        <f>SUMIFS(Table1[quantity],Table1[order_id],Table15[[#This Row],[order_id]],Table1[side],"SELL")</f>
        <v>0</v>
      </c>
      <c r="AA43" s="5">
        <f>Table15[[#This Row],[Buy_value]]*Table15[[#This Row],[Buy_Quantity]]</f>
        <v>62925319.899999999</v>
      </c>
      <c r="AB43" s="5">
        <f>Table15[[#This Row],[Sell_Value]]*Table15[[#This Row],[Sell_Quantity]]</f>
        <v>0</v>
      </c>
      <c r="AC43" s="5">
        <f>SUMIFS(Table1[quantity],Table1[order_id],Table15[[#This Row],[order_id]],Table1[side],"BUY")</f>
        <v>179</v>
      </c>
      <c r="AE43" s="10" t="s">
        <v>766</v>
      </c>
      <c r="AF43" s="10" t="str">
        <f>IF(Table1[[#This Row],[Sell-Buy]]&gt;0,"Profit","Loss")</f>
        <v>Loss</v>
      </c>
      <c r="AG43">
        <f>Table1[[#This Row],[Column2]]-Table1[[#This Row],[Buy-sell]]</f>
        <v>0</v>
      </c>
    </row>
    <row r="44" spans="1:33" x14ac:dyDescent="0.3">
      <c r="A44" t="s">
        <v>1003</v>
      </c>
      <c r="B44" t="s">
        <v>469</v>
      </c>
      <c r="C44" s="1">
        <v>45743.023611111108</v>
      </c>
      <c r="D44" t="s">
        <v>6</v>
      </c>
      <c r="E44" t="s">
        <v>166</v>
      </c>
      <c r="F44">
        <v>249</v>
      </c>
      <c r="G44">
        <v>757.69</v>
      </c>
      <c r="H44">
        <v>94.33</v>
      </c>
      <c r="I44" t="s">
        <v>134</v>
      </c>
      <c r="J44" t="s">
        <v>52</v>
      </c>
      <c r="L44" s="1">
        <v>45714</v>
      </c>
      <c r="M44" t="s">
        <v>166</v>
      </c>
      <c r="N44">
        <f>IF(Table1[[#This Row],[side]]="BUY", Table1[[#This Row],[quantity]],-Table1[[#This Row],[quantity]])</f>
        <v>249</v>
      </c>
      <c r="P44" t="str">
        <f>IF(Table1[[#This Row],[side]]="Sell",Table1[[#This Row],[price]],"0")</f>
        <v>0</v>
      </c>
      <c r="Q44">
        <f>SUMIFS(Table1[quantity],Table1[company_id],Table8[[#This Row],[COMPANY_ID]],Table1[side],"BUY")-SUMIFS(Table1[quantity],Table1[company_id],Table8[[#This Row],[COMPANY_ID]],Table1[side],"SELL")</f>
        <v>0</v>
      </c>
      <c r="R44">
        <f>Table1[[#This Row],[Column2]]-Table1[[#This Row],[Buy-sell]]</f>
        <v>0</v>
      </c>
      <c r="S44" t="str">
        <f>IF(Table1[[#This Row],[Sell-Buy]]&gt;0,"Profit","Loss")</f>
        <v>Loss</v>
      </c>
      <c r="T44" s="5" t="s">
        <v>232</v>
      </c>
      <c r="U44" s="8">
        <f>SUMIFS(Table1[price],Table1[order_id],Table15[[#This Row],[order_id]],Table1[side],"BUY")*Table15[[#This Row],[Buy_Quantity]]</f>
        <v>1103830.2</v>
      </c>
      <c r="V44" s="8">
        <f>SUMIFS(Table1[price],Table1[order_id],Table15[[#This Row],[order_id]],Table1[side],"SELL")</f>
        <v>0</v>
      </c>
      <c r="W44" s="8">
        <f>Table15[[#This Row],[sell]]-Table15[[#This Row],[Buy]]</f>
        <v>-596068308</v>
      </c>
      <c r="X44" s="8">
        <f>IF(Table15[[#This Row],[Profit]]&gt;0,1,0)</f>
        <v>0</v>
      </c>
      <c r="Y44" s="5" t="str">
        <f>IF(Table15[[#This Row],[is Profit]]=1,"Profit","Loss")</f>
        <v>Loss</v>
      </c>
      <c r="Z44" s="5">
        <f>SUMIFS(Table1[quantity],Table1[order_id],Table15[[#This Row],[order_id]],Table1[side],"SELL")</f>
        <v>0</v>
      </c>
      <c r="AA44" s="5">
        <f>Table15[[#This Row],[Buy_value]]*Table15[[#This Row],[Buy_Quantity]]</f>
        <v>596068308</v>
      </c>
      <c r="AB44" s="5">
        <f>Table15[[#This Row],[Sell_Value]]*Table15[[#This Row],[Sell_Quantity]]</f>
        <v>0</v>
      </c>
      <c r="AC44" s="5">
        <f>SUMIFS(Table1[quantity],Table1[order_id],Table15[[#This Row],[order_id]],Table1[side],"BUY")</f>
        <v>540</v>
      </c>
      <c r="AE44" s="9" t="s">
        <v>1095</v>
      </c>
      <c r="AF44" s="10" t="str">
        <f>IF(Table1[[#This Row],[Sell-Buy]]&gt;0,"Profit","Loss")</f>
        <v>Loss</v>
      </c>
      <c r="AG44">
        <f>Table1[[#This Row],[Column2]]-Table1[[#This Row],[Buy-sell]]</f>
        <v>0</v>
      </c>
    </row>
    <row r="45" spans="1:33" x14ac:dyDescent="0.3">
      <c r="A45" t="s">
        <v>1005</v>
      </c>
      <c r="B45" t="s">
        <v>299</v>
      </c>
      <c r="C45" s="1">
        <v>45702.037499999999</v>
      </c>
      <c r="D45" t="s">
        <v>6</v>
      </c>
      <c r="E45" t="s">
        <v>166</v>
      </c>
      <c r="F45">
        <v>285</v>
      </c>
      <c r="G45">
        <v>732.48</v>
      </c>
      <c r="H45">
        <v>104.38</v>
      </c>
      <c r="I45" t="s">
        <v>102</v>
      </c>
      <c r="J45" t="s">
        <v>64</v>
      </c>
      <c r="L45" s="1">
        <v>45764</v>
      </c>
      <c r="M45" t="s">
        <v>166</v>
      </c>
      <c r="N45">
        <f>IF(Table1[[#This Row],[side]]="BUY", Table1[[#This Row],[quantity]],-Table1[[#This Row],[quantity]])</f>
        <v>285</v>
      </c>
      <c r="P45" t="str">
        <f>IF(Table1[[#This Row],[side]]="Sell",Table1[[#This Row],[price]],"0")</f>
        <v>0</v>
      </c>
      <c r="Q45">
        <f>SUMIFS(Table1[quantity],Table1[company_id],Table8[[#This Row],[COMPANY_ID]],Table1[side],"BUY")-SUMIFS(Table1[quantity],Table1[company_id],Table8[[#This Row],[COMPANY_ID]],Table1[side],"SELL")</f>
        <v>0</v>
      </c>
      <c r="R45">
        <f>Table1[[#This Row],[Column2]]-Table1[[#This Row],[Buy-sell]]</f>
        <v>0</v>
      </c>
      <c r="S45" t="str">
        <f>IF(Table1[[#This Row],[Sell-Buy]]&gt;0,"Profit","Loss")</f>
        <v>Loss</v>
      </c>
      <c r="T45" s="4" t="s">
        <v>233</v>
      </c>
      <c r="U45" s="8">
        <f>SUMIFS(Table1[price],Table1[order_id],Table15[[#This Row],[order_id]],Table1[side],"BUY")*Table15[[#This Row],[Buy_Quantity]]</f>
        <v>0</v>
      </c>
      <c r="V45" s="8">
        <f>SUMIFS(Table1[price],Table1[order_id],Table15[[#This Row],[order_id]],Table1[side],"SELL")</f>
        <v>1230.1199999999999</v>
      </c>
      <c r="W45" s="8">
        <f>Table15[[#This Row],[sell]]-Table15[[#This Row],[Buy]]</f>
        <v>253404.71999999997</v>
      </c>
      <c r="X45" s="8">
        <f>IF(Table15[[#This Row],[Profit]]&gt;0,1,0)</f>
        <v>1</v>
      </c>
      <c r="Y45" s="5" t="str">
        <f>IF(Table15[[#This Row],[is Profit]]=1,"Profit","Loss")</f>
        <v>Profit</v>
      </c>
      <c r="Z45" s="5">
        <f>SUMIFS(Table1[quantity],Table1[order_id],Table15[[#This Row],[order_id]],Table1[side],"SELL")</f>
        <v>206</v>
      </c>
      <c r="AA45" s="5">
        <f>Table15[[#This Row],[Buy_value]]*Table15[[#This Row],[Buy_Quantity]]</f>
        <v>0</v>
      </c>
      <c r="AB45" s="5">
        <f>Table15[[#This Row],[Sell_Value]]*Table15[[#This Row],[Sell_Quantity]]</f>
        <v>253404.71999999997</v>
      </c>
      <c r="AC45" s="5">
        <f>SUMIFS(Table1[quantity],Table1[order_id],Table15[[#This Row],[order_id]],Table1[side],"BUY")</f>
        <v>0</v>
      </c>
      <c r="AE45" s="10" t="s">
        <v>791</v>
      </c>
      <c r="AF45" s="10" t="str">
        <f>IF(Table1[[#This Row],[Sell-Buy]]&gt;0,"Profit","Loss")</f>
        <v>Loss</v>
      </c>
      <c r="AG45">
        <f>Table1[[#This Row],[Column2]]-Table1[[#This Row],[Buy-sell]]</f>
        <v>0</v>
      </c>
    </row>
    <row r="46" spans="1:33" x14ac:dyDescent="0.3">
      <c r="A46" t="s">
        <v>1013</v>
      </c>
      <c r="B46" t="s">
        <v>390</v>
      </c>
      <c r="C46" s="1">
        <v>45743.036111111112</v>
      </c>
      <c r="D46" t="s">
        <v>6</v>
      </c>
      <c r="E46" t="s">
        <v>166</v>
      </c>
      <c r="F46">
        <v>974</v>
      </c>
      <c r="G46">
        <v>756.7</v>
      </c>
      <c r="H46">
        <v>368.51</v>
      </c>
      <c r="I46" t="s">
        <v>118</v>
      </c>
      <c r="J46" t="s">
        <v>76</v>
      </c>
      <c r="L46" s="1">
        <v>45751</v>
      </c>
      <c r="M46" t="s">
        <v>166</v>
      </c>
      <c r="N46">
        <f>IF(Table1[[#This Row],[side]]="BUY", Table1[[#This Row],[quantity]],-Table1[[#This Row],[quantity]])</f>
        <v>974</v>
      </c>
      <c r="P46" t="str">
        <f>IF(Table1[[#This Row],[side]]="Sell",Table1[[#This Row],[price]],"0")</f>
        <v>0</v>
      </c>
      <c r="Q46">
        <f>SUMIFS(Table1[quantity],Table1[company_id],Table8[[#This Row],[COMPANY_ID]],Table1[side],"BUY")-SUMIFS(Table1[quantity],Table1[company_id],Table8[[#This Row],[COMPANY_ID]],Table1[side],"SELL")</f>
        <v>0</v>
      </c>
      <c r="R46">
        <f>Table1[[#This Row],[Column2]]-Table1[[#This Row],[Buy-sell]]</f>
        <v>0</v>
      </c>
      <c r="S46" t="str">
        <f>IF(Table1[[#This Row],[Sell-Buy]]&gt;0,"Profit","Loss")</f>
        <v>Loss</v>
      </c>
      <c r="T46" s="4" t="s">
        <v>234</v>
      </c>
      <c r="U46" s="8">
        <f>SUMIFS(Table1[price],Table1[order_id],Table15[[#This Row],[order_id]],Table1[side],"BUY")*Table15[[#This Row],[Buy_Quantity]]</f>
        <v>100431.24</v>
      </c>
      <c r="V46" s="8">
        <f>SUMIFS(Table1[price],Table1[order_id],Table15[[#This Row],[order_id]],Table1[side],"SELL")</f>
        <v>0</v>
      </c>
      <c r="W46" s="8">
        <f>Table15[[#This Row],[sell]]-Table15[[#This Row],[Buy]]</f>
        <v>-44390608.080000006</v>
      </c>
      <c r="X46" s="8">
        <f>IF(Table15[[#This Row],[Profit]]&gt;0,1,0)</f>
        <v>0</v>
      </c>
      <c r="Y46" s="5" t="str">
        <f>IF(Table15[[#This Row],[is Profit]]=1,"Profit","Loss")</f>
        <v>Loss</v>
      </c>
      <c r="Z46" s="5">
        <f>SUMIFS(Table1[quantity],Table1[order_id],Table15[[#This Row],[order_id]],Table1[side],"SELL")</f>
        <v>0</v>
      </c>
      <c r="AA46" s="5">
        <f>Table15[[#This Row],[Buy_value]]*Table15[[#This Row],[Buy_Quantity]]</f>
        <v>44390608.080000006</v>
      </c>
      <c r="AB46" s="5">
        <f>Table15[[#This Row],[Sell_Value]]*Table15[[#This Row],[Sell_Quantity]]</f>
        <v>0</v>
      </c>
      <c r="AC46" s="5">
        <f>SUMIFS(Table1[quantity],Table1[order_id],Table15[[#This Row],[order_id]],Table1[side],"BUY")</f>
        <v>442</v>
      </c>
      <c r="AE46" s="9" t="s">
        <v>847</v>
      </c>
      <c r="AF46" s="10" t="str">
        <f>IF(Table1[[#This Row],[Sell-Buy]]&gt;0,"Profit","Loss")</f>
        <v>Loss</v>
      </c>
      <c r="AG46">
        <f>Table1[[#This Row],[Column2]]-Table1[[#This Row],[Buy-sell]]</f>
        <v>0</v>
      </c>
    </row>
    <row r="47" spans="1:33" x14ac:dyDescent="0.3">
      <c r="A47" t="s">
        <v>1045</v>
      </c>
      <c r="B47" t="s">
        <v>189</v>
      </c>
      <c r="C47" s="1">
        <v>45750.040972222225</v>
      </c>
      <c r="D47" t="s">
        <v>6</v>
      </c>
      <c r="E47" t="s">
        <v>166</v>
      </c>
      <c r="F47">
        <v>65</v>
      </c>
      <c r="G47">
        <v>828.99</v>
      </c>
      <c r="H47">
        <v>26.94</v>
      </c>
      <c r="I47" t="s">
        <v>122</v>
      </c>
      <c r="J47" t="s">
        <v>67</v>
      </c>
      <c r="L47" s="1">
        <v>45747</v>
      </c>
      <c r="M47" t="s">
        <v>166</v>
      </c>
      <c r="N47">
        <f>IF(Table1[[#This Row],[side]]="BUY", Table1[[#This Row],[quantity]],-Table1[[#This Row],[quantity]])</f>
        <v>65</v>
      </c>
      <c r="P47" t="str">
        <f>IF(Table1[[#This Row],[side]]="Sell",Table1[[#This Row],[price]],"0")</f>
        <v>0</v>
      </c>
      <c r="Q47">
        <f>SUMIFS(Table1[quantity],Table1[company_id],Table8[[#This Row],[COMPANY_ID]],Table1[side],"BUY")-SUMIFS(Table1[quantity],Table1[company_id],Table8[[#This Row],[COMPANY_ID]],Table1[side],"SELL")</f>
        <v>0</v>
      </c>
      <c r="R47">
        <f>Table1[[#This Row],[Column2]]-Table1[[#This Row],[Buy-sell]]</f>
        <v>0</v>
      </c>
      <c r="S47" t="str">
        <f>IF(Table1[[#This Row],[Sell-Buy]]&gt;0,"Profit","Loss")</f>
        <v>Loss</v>
      </c>
      <c r="T47" s="5" t="s">
        <v>237</v>
      </c>
      <c r="U47" s="8">
        <f>SUMIFS(Table1[price],Table1[order_id],Table15[[#This Row],[order_id]],Table1[side],"BUY")*Table15[[#This Row],[Buy_Quantity]]</f>
        <v>361920</v>
      </c>
      <c r="V47" s="8">
        <f>SUMIFS(Table1[price],Table1[order_id],Table15[[#This Row],[order_id]],Table1[side],"SELL")</f>
        <v>0</v>
      </c>
      <c r="W47" s="8">
        <f>Table15[[#This Row],[sell]]-Table15[[#This Row],[Buy]]</f>
        <v>-225838080</v>
      </c>
      <c r="X47" s="8">
        <f>IF(Table15[[#This Row],[Profit]]&gt;0,1,0)</f>
        <v>0</v>
      </c>
      <c r="Y47" s="5" t="str">
        <f>IF(Table15[[#This Row],[is Profit]]=1,"Profit","Loss")</f>
        <v>Loss</v>
      </c>
      <c r="Z47" s="5">
        <f>SUMIFS(Table1[quantity],Table1[order_id],Table15[[#This Row],[order_id]],Table1[side],"SELL")</f>
        <v>0</v>
      </c>
      <c r="AA47" s="5">
        <f>Table15[[#This Row],[Buy_value]]*Table15[[#This Row],[Buy_Quantity]]</f>
        <v>225838080</v>
      </c>
      <c r="AB47" s="5">
        <f>Table15[[#This Row],[Sell_Value]]*Table15[[#This Row],[Sell_Quantity]]</f>
        <v>0</v>
      </c>
      <c r="AC47" s="5">
        <f>SUMIFS(Table1[quantity],Table1[order_id],Table15[[#This Row],[order_id]],Table1[side],"BUY")</f>
        <v>624</v>
      </c>
      <c r="AE47" s="10" t="s">
        <v>723</v>
      </c>
      <c r="AF47" s="10" t="str">
        <f>IF(Table1[[#This Row],[Sell-Buy]]&gt;0,"Profit","Loss")</f>
        <v>Loss</v>
      </c>
      <c r="AG47">
        <f>Table1[[#This Row],[Column2]]-Table1[[#This Row],[Buy-sell]]</f>
        <v>0</v>
      </c>
    </row>
    <row r="48" spans="1:33" x14ac:dyDescent="0.3">
      <c r="A48" t="s">
        <v>1046</v>
      </c>
      <c r="B48" t="s">
        <v>404</v>
      </c>
      <c r="C48" s="1">
        <v>45722.026388888888</v>
      </c>
      <c r="D48" t="s">
        <v>6</v>
      </c>
      <c r="E48" t="s">
        <v>171</v>
      </c>
      <c r="F48">
        <v>66</v>
      </c>
      <c r="G48">
        <v>747</v>
      </c>
      <c r="H48">
        <v>24.65</v>
      </c>
      <c r="I48" t="s">
        <v>91</v>
      </c>
      <c r="J48" t="s">
        <v>67</v>
      </c>
      <c r="L48" s="1">
        <v>45819</v>
      </c>
      <c r="N48">
        <f>IF(Table1[[#This Row],[side]]="BUY", Table1[[#This Row],[quantity]],-Table1[[#This Row],[quantity]])</f>
        <v>-66</v>
      </c>
      <c r="O48" t="s">
        <v>171</v>
      </c>
      <c r="P48">
        <f>IF(Table1[[#This Row],[side]]="Sell",Table1[[#This Row],[price]],"0")</f>
        <v>747</v>
      </c>
      <c r="Q48">
        <f>SUMIFS(Table1[quantity],Table1[company_id],Table8[[#This Row],[COMPANY_ID]],Table1[side],"BUY")-SUMIFS(Table1[quantity],Table1[company_id],Table8[[#This Row],[COMPANY_ID]],Table1[side],"SELL")</f>
        <v>0</v>
      </c>
      <c r="R48">
        <f>Table1[[#This Row],[Column2]]-Table1[[#This Row],[Buy-sell]]</f>
        <v>747</v>
      </c>
      <c r="S48" t="str">
        <f>IF(Table1[[#This Row],[Sell-Buy]]&gt;0,"Profit","Loss")</f>
        <v>Profit</v>
      </c>
      <c r="T48" s="5" t="s">
        <v>238</v>
      </c>
      <c r="U48" s="8">
        <f>SUMIFS(Table1[price],Table1[order_id],Table15[[#This Row],[order_id]],Table1[side],"BUY")*Table15[[#This Row],[Buy_Quantity]]</f>
        <v>0</v>
      </c>
      <c r="V48" s="8">
        <f>SUMIFS(Table1[price],Table1[order_id],Table15[[#This Row],[order_id]],Table1[side],"SELL")</f>
        <v>236.56</v>
      </c>
      <c r="W48" s="8">
        <f>Table15[[#This Row],[sell]]-Table15[[#This Row],[Buy]]</f>
        <v>132473.60000000001</v>
      </c>
      <c r="X48" s="8">
        <f>IF(Table15[[#This Row],[Profit]]&gt;0,1,0)</f>
        <v>1</v>
      </c>
      <c r="Y48" s="5" t="str">
        <f>IF(Table15[[#This Row],[is Profit]]=1,"Profit","Loss")</f>
        <v>Profit</v>
      </c>
      <c r="Z48" s="5">
        <f>SUMIFS(Table1[quantity],Table1[order_id],Table15[[#This Row],[order_id]],Table1[side],"SELL")</f>
        <v>560</v>
      </c>
      <c r="AA48" s="5">
        <f>Table15[[#This Row],[Buy_value]]*Table15[[#This Row],[Buy_Quantity]]</f>
        <v>0</v>
      </c>
      <c r="AB48" s="5">
        <f>Table15[[#This Row],[Sell_Value]]*Table15[[#This Row],[Sell_Quantity]]</f>
        <v>132473.60000000001</v>
      </c>
      <c r="AC48" s="5">
        <f>SUMIFS(Table1[quantity],Table1[order_id],Table15[[#This Row],[order_id]],Table1[side],"BUY")</f>
        <v>0</v>
      </c>
      <c r="AE48" s="9" t="s">
        <v>674</v>
      </c>
      <c r="AF48" s="10" t="str">
        <f>IF(Table1[[#This Row],[Sell-Buy]]&gt;0,"Profit","Loss")</f>
        <v>Profit</v>
      </c>
      <c r="AG48">
        <f>Table1[[#This Row],[Column2]]-Table1[[#This Row],[Buy-sell]]</f>
        <v>747</v>
      </c>
    </row>
    <row r="49" spans="1:33" x14ac:dyDescent="0.3">
      <c r="A49" t="s">
        <v>1064</v>
      </c>
      <c r="B49" t="s">
        <v>607</v>
      </c>
      <c r="C49" s="1">
        <v>45728.040972222225</v>
      </c>
      <c r="D49" t="s">
        <v>6</v>
      </c>
      <c r="E49" t="s">
        <v>171</v>
      </c>
      <c r="F49">
        <v>113</v>
      </c>
      <c r="G49">
        <v>768.45</v>
      </c>
      <c r="H49">
        <v>43.42</v>
      </c>
      <c r="I49" t="s">
        <v>122</v>
      </c>
      <c r="J49" t="s">
        <v>67</v>
      </c>
      <c r="L49" s="1">
        <v>45824</v>
      </c>
      <c r="N49">
        <f>IF(Table1[[#This Row],[side]]="BUY", Table1[[#This Row],[quantity]],-Table1[[#This Row],[quantity]])</f>
        <v>-113</v>
      </c>
      <c r="O49" t="s">
        <v>171</v>
      </c>
      <c r="P49">
        <f>IF(Table1[[#This Row],[side]]="Sell",Table1[[#This Row],[price]],"0")</f>
        <v>768.45</v>
      </c>
      <c r="Q49">
        <f>SUMIFS(Table1[quantity],Table1[company_id],Table8[[#This Row],[COMPANY_ID]],Table1[side],"BUY")-SUMIFS(Table1[quantity],Table1[company_id],Table8[[#This Row],[COMPANY_ID]],Table1[side],"SELL")</f>
        <v>0</v>
      </c>
      <c r="R49">
        <f>Table1[[#This Row],[Column2]]-Table1[[#This Row],[Buy-sell]]</f>
        <v>768.45</v>
      </c>
      <c r="S49" t="str">
        <f>IF(Table1[[#This Row],[Sell-Buy]]&gt;0,"Profit","Loss")</f>
        <v>Profit</v>
      </c>
      <c r="T49" s="4" t="s">
        <v>239</v>
      </c>
      <c r="U49" s="8">
        <f>SUMIFS(Table1[price],Table1[order_id],Table15[[#This Row],[order_id]],Table1[side],"BUY")*Table15[[#This Row],[Buy_Quantity]]</f>
        <v>0</v>
      </c>
      <c r="V49" s="8">
        <f>SUMIFS(Table1[price],Table1[order_id],Table15[[#This Row],[order_id]],Table1[side],"SELL")</f>
        <v>215.63</v>
      </c>
      <c r="W49" s="8">
        <f>Table15[[#This Row],[sell]]-Table15[[#This Row],[Buy]]</f>
        <v>153744.19</v>
      </c>
      <c r="X49" s="8">
        <f>IF(Table15[[#This Row],[Profit]]&gt;0,1,0)</f>
        <v>1</v>
      </c>
      <c r="Y49" s="5" t="str">
        <f>IF(Table15[[#This Row],[is Profit]]=1,"Profit","Loss")</f>
        <v>Profit</v>
      </c>
      <c r="Z49" s="5">
        <f>SUMIFS(Table1[quantity],Table1[order_id],Table15[[#This Row],[order_id]],Table1[side],"SELL")</f>
        <v>713</v>
      </c>
      <c r="AA49" s="5">
        <f>Table15[[#This Row],[Buy_value]]*Table15[[#This Row],[Buy_Quantity]]</f>
        <v>0</v>
      </c>
      <c r="AB49" s="5">
        <f>Table15[[#This Row],[Sell_Value]]*Table15[[#This Row],[Sell_Quantity]]</f>
        <v>153744.19</v>
      </c>
      <c r="AC49" s="5">
        <f>SUMIFS(Table1[quantity],Table1[order_id],Table15[[#This Row],[order_id]],Table1[side],"BUY")</f>
        <v>0</v>
      </c>
      <c r="AE49" s="10" t="s">
        <v>851</v>
      </c>
      <c r="AF49" s="10" t="str">
        <f>IF(Table1[[#This Row],[Sell-Buy]]&gt;0,"Profit","Loss")</f>
        <v>Profit</v>
      </c>
      <c r="AG49">
        <f>Table1[[#This Row],[Column2]]-Table1[[#This Row],[Buy-sell]]</f>
        <v>768.45</v>
      </c>
    </row>
    <row r="50" spans="1:33" x14ac:dyDescent="0.3">
      <c r="A50" t="s">
        <v>1071</v>
      </c>
      <c r="B50" t="s">
        <v>361</v>
      </c>
      <c r="C50" s="1">
        <v>45687.03125</v>
      </c>
      <c r="D50" t="s">
        <v>6</v>
      </c>
      <c r="E50" t="s">
        <v>166</v>
      </c>
      <c r="F50">
        <v>847</v>
      </c>
      <c r="G50">
        <v>755.81</v>
      </c>
      <c r="H50">
        <v>320.08999999999997</v>
      </c>
      <c r="I50" t="s">
        <v>146</v>
      </c>
      <c r="J50" t="s">
        <v>49</v>
      </c>
      <c r="L50" s="1">
        <v>45666</v>
      </c>
      <c r="M50" t="s">
        <v>166</v>
      </c>
      <c r="N50">
        <f>IF(Table1[[#This Row],[side]]="BUY", Table1[[#This Row],[quantity]],-Table1[[#This Row],[quantity]])</f>
        <v>847</v>
      </c>
      <c r="P50" t="str">
        <f>IF(Table1[[#This Row],[side]]="Sell",Table1[[#This Row],[price]],"0")</f>
        <v>0</v>
      </c>
      <c r="Q50">
        <f>SUMIFS(Table1[quantity],Table1[company_id],Table8[[#This Row],[COMPANY_ID]],Table1[side],"BUY")-SUMIFS(Table1[quantity],Table1[company_id],Table8[[#This Row],[COMPANY_ID]],Table1[side],"SELL")</f>
        <v>0</v>
      </c>
      <c r="R50">
        <f>Table1[[#This Row],[Column2]]-Table1[[#This Row],[Buy-sell]]</f>
        <v>0</v>
      </c>
      <c r="S50" t="str">
        <f>IF(Table1[[#This Row],[Sell-Buy]]&gt;0,"Profit","Loss")</f>
        <v>Loss</v>
      </c>
      <c r="T50" s="5" t="s">
        <v>240</v>
      </c>
      <c r="U50" s="8">
        <f>SUMIFS(Table1[price],Table1[order_id],Table15[[#This Row],[order_id]],Table1[side],"BUY")*Table15[[#This Row],[Buy_Quantity]]</f>
        <v>0</v>
      </c>
      <c r="V50" s="8">
        <f>SUMIFS(Table1[price],Table1[order_id],Table15[[#This Row],[order_id]],Table1[side],"SELL")</f>
        <v>1238.8399999999999</v>
      </c>
      <c r="W50" s="8">
        <f>Table15[[#This Row],[sell]]-Table15[[#This Row],[Buy]]</f>
        <v>1235123.48</v>
      </c>
      <c r="X50" s="8">
        <f>IF(Table15[[#This Row],[Profit]]&gt;0,1,0)</f>
        <v>1</v>
      </c>
      <c r="Y50" s="5" t="str">
        <f>IF(Table15[[#This Row],[is Profit]]=1,"Profit","Loss")</f>
        <v>Profit</v>
      </c>
      <c r="Z50" s="5">
        <f>SUMIFS(Table1[quantity],Table1[order_id],Table15[[#This Row],[order_id]],Table1[side],"SELL")</f>
        <v>997</v>
      </c>
      <c r="AA50" s="5">
        <f>Table15[[#This Row],[Buy_value]]*Table15[[#This Row],[Buy_Quantity]]</f>
        <v>0</v>
      </c>
      <c r="AB50" s="5">
        <f>Table15[[#This Row],[Sell_Value]]*Table15[[#This Row],[Sell_Quantity]]</f>
        <v>1235123.48</v>
      </c>
      <c r="AC50" s="5">
        <f>SUMIFS(Table1[quantity],Table1[order_id],Table15[[#This Row],[order_id]],Table1[side],"BUY")</f>
        <v>0</v>
      </c>
      <c r="AE50" s="9" t="s">
        <v>992</v>
      </c>
      <c r="AF50" s="10" t="str">
        <f>IF(Table1[[#This Row],[Sell-Buy]]&gt;0,"Profit","Loss")</f>
        <v>Loss</v>
      </c>
      <c r="AG50">
        <f>Table1[[#This Row],[Column2]]-Table1[[#This Row],[Buy-sell]]</f>
        <v>0</v>
      </c>
    </row>
    <row r="51" spans="1:33" x14ac:dyDescent="0.3">
      <c r="A51" t="s">
        <v>1072</v>
      </c>
      <c r="B51" t="s">
        <v>508</v>
      </c>
      <c r="C51" s="1">
        <v>45658.001388888886</v>
      </c>
      <c r="D51" t="s">
        <v>6</v>
      </c>
      <c r="E51" t="s">
        <v>171</v>
      </c>
      <c r="F51">
        <v>766</v>
      </c>
      <c r="G51">
        <v>798.76</v>
      </c>
      <c r="H51">
        <v>305.93</v>
      </c>
      <c r="I51" t="s">
        <v>126</v>
      </c>
      <c r="J51" t="s">
        <v>67</v>
      </c>
      <c r="L51" s="1">
        <v>45730</v>
      </c>
      <c r="N51">
        <f>IF(Table1[[#This Row],[side]]="BUY", Table1[[#This Row],[quantity]],-Table1[[#This Row],[quantity]])</f>
        <v>-766</v>
      </c>
      <c r="O51" t="s">
        <v>171</v>
      </c>
      <c r="P51">
        <f>IF(Table1[[#This Row],[side]]="Sell",Table1[[#This Row],[price]],"0")</f>
        <v>798.76</v>
      </c>
      <c r="Q51">
        <f>SUMIFS(Table1[quantity],Table1[company_id],Table8[[#This Row],[COMPANY_ID]],Table1[side],"BUY")-SUMIFS(Table1[quantity],Table1[company_id],Table8[[#This Row],[COMPANY_ID]],Table1[side],"SELL")</f>
        <v>0</v>
      </c>
      <c r="R51">
        <f>Table1[[#This Row],[Column2]]-Table1[[#This Row],[Buy-sell]]</f>
        <v>798.76</v>
      </c>
      <c r="S51" t="str">
        <f>IF(Table1[[#This Row],[Sell-Buy]]&gt;0,"Profit","Loss")</f>
        <v>Profit</v>
      </c>
      <c r="T51" s="5" t="s">
        <v>241</v>
      </c>
      <c r="U51" s="8">
        <f>SUMIFS(Table1[price],Table1[order_id],Table15[[#This Row],[order_id]],Table1[side],"BUY")*Table15[[#This Row],[Buy_Quantity]]</f>
        <v>949545.87</v>
      </c>
      <c r="V51" s="8">
        <f>SUMIFS(Table1[price],Table1[order_id],Table15[[#This Row],[order_id]],Table1[side],"SELL")</f>
        <v>0</v>
      </c>
      <c r="W51" s="8">
        <f>Table15[[#This Row],[sell]]-Table15[[#This Row],[Buy]]</f>
        <v>-724503498.80999994</v>
      </c>
      <c r="X51" s="8">
        <f>IF(Table15[[#This Row],[Profit]]&gt;0,1,0)</f>
        <v>0</v>
      </c>
      <c r="Y51" s="5" t="str">
        <f>IF(Table15[[#This Row],[is Profit]]=1,"Profit","Loss")</f>
        <v>Loss</v>
      </c>
      <c r="Z51" s="5">
        <f>SUMIFS(Table1[quantity],Table1[order_id],Table15[[#This Row],[order_id]],Table1[side],"SELL")</f>
        <v>0</v>
      </c>
      <c r="AA51" s="5">
        <f>Table15[[#This Row],[Buy_value]]*Table15[[#This Row],[Buy_Quantity]]</f>
        <v>724503498.80999994</v>
      </c>
      <c r="AB51" s="5">
        <f>Table15[[#This Row],[Sell_Value]]*Table15[[#This Row],[Sell_Quantity]]</f>
        <v>0</v>
      </c>
      <c r="AC51" s="5">
        <f>SUMIFS(Table1[quantity],Table1[order_id],Table15[[#This Row],[order_id]],Table1[side],"BUY")</f>
        <v>763</v>
      </c>
      <c r="AE51" s="10" t="s">
        <v>690</v>
      </c>
      <c r="AF51" s="10" t="str">
        <f>IF(Table1[[#This Row],[Sell-Buy]]&gt;0,"Profit","Loss")</f>
        <v>Profit</v>
      </c>
      <c r="AG51">
        <f>Table1[[#This Row],[Column2]]-Table1[[#This Row],[Buy-sell]]</f>
        <v>798.76</v>
      </c>
    </row>
    <row r="52" spans="1:33" x14ac:dyDescent="0.3">
      <c r="A52" t="s">
        <v>1075</v>
      </c>
      <c r="B52" t="s">
        <v>350</v>
      </c>
      <c r="C52" s="1">
        <v>45800.013888888891</v>
      </c>
      <c r="D52" t="s">
        <v>6</v>
      </c>
      <c r="E52" t="s">
        <v>171</v>
      </c>
      <c r="F52">
        <v>154</v>
      </c>
      <c r="G52">
        <v>804.74</v>
      </c>
      <c r="H52">
        <v>61.96</v>
      </c>
      <c r="I52" t="s">
        <v>138</v>
      </c>
      <c r="J52" t="s">
        <v>61</v>
      </c>
      <c r="L52" s="1">
        <v>45772</v>
      </c>
      <c r="N52">
        <f>IF(Table1[[#This Row],[side]]="BUY", Table1[[#This Row],[quantity]],-Table1[[#This Row],[quantity]])</f>
        <v>-154</v>
      </c>
      <c r="O52" t="s">
        <v>171</v>
      </c>
      <c r="P52">
        <f>IF(Table1[[#This Row],[side]]="Sell",Table1[[#This Row],[price]],"0")</f>
        <v>804.74</v>
      </c>
      <c r="Q52">
        <f>SUMIFS(Table1[quantity],Table1[company_id],Table8[[#This Row],[COMPANY_ID]],Table1[side],"BUY")-SUMIFS(Table1[quantity],Table1[company_id],Table8[[#This Row],[COMPANY_ID]],Table1[side],"SELL")</f>
        <v>0</v>
      </c>
      <c r="R52">
        <f>Table1[[#This Row],[Column2]]-Table1[[#This Row],[Buy-sell]]</f>
        <v>804.74</v>
      </c>
      <c r="S52" t="str">
        <f>IF(Table1[[#This Row],[Sell-Buy]]&gt;0,"Profit","Loss")</f>
        <v>Profit</v>
      </c>
      <c r="T52" s="5" t="s">
        <v>242</v>
      </c>
      <c r="U52" s="8">
        <f>SUMIFS(Table1[price],Table1[order_id],Table15[[#This Row],[order_id]],Table1[side],"BUY")*Table15[[#This Row],[Buy_Quantity]]</f>
        <v>344902.04000000004</v>
      </c>
      <c r="V52" s="8">
        <f>SUMIFS(Table1[price],Table1[order_id],Table15[[#This Row],[order_id]],Table1[side],"SELL")</f>
        <v>0</v>
      </c>
      <c r="W52" s="8">
        <f>Table15[[#This Row],[sell]]-Table15[[#This Row],[Buy]]</f>
        <v>-90364334.480000004</v>
      </c>
      <c r="X52" s="8">
        <f>IF(Table15[[#This Row],[Profit]]&gt;0,1,0)</f>
        <v>0</v>
      </c>
      <c r="Y52" s="5" t="str">
        <f>IF(Table15[[#This Row],[is Profit]]=1,"Profit","Loss")</f>
        <v>Loss</v>
      </c>
      <c r="Z52" s="5">
        <f>SUMIFS(Table1[quantity],Table1[order_id],Table15[[#This Row],[order_id]],Table1[side],"SELL")</f>
        <v>0</v>
      </c>
      <c r="AA52" s="5">
        <f>Table15[[#This Row],[Buy_value]]*Table15[[#This Row],[Buy_Quantity]]</f>
        <v>90364334.480000004</v>
      </c>
      <c r="AB52" s="5">
        <f>Table15[[#This Row],[Sell_Value]]*Table15[[#This Row],[Sell_Quantity]]</f>
        <v>0</v>
      </c>
      <c r="AC52" s="5">
        <f>SUMIFS(Table1[quantity],Table1[order_id],Table15[[#This Row],[order_id]],Table1[side],"BUY")</f>
        <v>262</v>
      </c>
      <c r="AE52" s="9" t="s">
        <v>787</v>
      </c>
      <c r="AF52" s="10" t="str">
        <f>IF(Table1[[#This Row],[Sell-Buy]]&gt;0,"Profit","Loss")</f>
        <v>Profit</v>
      </c>
      <c r="AG52">
        <f>Table1[[#This Row],[Column2]]-Table1[[#This Row],[Buy-sell]]</f>
        <v>804.74</v>
      </c>
    </row>
    <row r="53" spans="1:33" x14ac:dyDescent="0.3">
      <c r="A53" t="s">
        <v>1091</v>
      </c>
      <c r="B53" t="s">
        <v>636</v>
      </c>
      <c r="C53" s="1">
        <v>45740.013194444444</v>
      </c>
      <c r="D53" t="s">
        <v>6</v>
      </c>
      <c r="E53" t="s">
        <v>171</v>
      </c>
      <c r="F53">
        <v>186</v>
      </c>
      <c r="G53">
        <v>764.27</v>
      </c>
      <c r="H53">
        <v>71.08</v>
      </c>
      <c r="I53" t="s">
        <v>148</v>
      </c>
      <c r="J53" t="s">
        <v>70</v>
      </c>
      <c r="L53" s="1">
        <v>45833</v>
      </c>
      <c r="N53">
        <f>IF(Table1[[#This Row],[side]]="BUY", Table1[[#This Row],[quantity]],-Table1[[#This Row],[quantity]])</f>
        <v>-186</v>
      </c>
      <c r="O53" t="s">
        <v>171</v>
      </c>
      <c r="P53">
        <f>IF(Table1[[#This Row],[side]]="Sell",Table1[[#This Row],[price]],"0")</f>
        <v>764.27</v>
      </c>
      <c r="Q53">
        <f>SUMIFS(Table1[quantity],Table1[company_id],Table8[[#This Row],[COMPANY_ID]],Table1[side],"BUY")-SUMIFS(Table1[quantity],Table1[company_id],Table8[[#This Row],[COMPANY_ID]],Table1[side],"SELL")</f>
        <v>0</v>
      </c>
      <c r="R53">
        <f>Table1[[#This Row],[Column2]]-Table1[[#This Row],[Buy-sell]]</f>
        <v>764.27</v>
      </c>
      <c r="S53" t="str">
        <f>IF(Table1[[#This Row],[Sell-Buy]]&gt;0,"Profit","Loss")</f>
        <v>Profit</v>
      </c>
      <c r="T53" s="5" t="s">
        <v>243</v>
      </c>
      <c r="U53" s="8">
        <f>SUMIFS(Table1[price],Table1[order_id],Table15[[#This Row],[order_id]],Table1[side],"BUY")*Table15[[#This Row],[Buy_Quantity]]</f>
        <v>817049.7</v>
      </c>
      <c r="V53" s="8">
        <f>SUMIFS(Table1[price],Table1[order_id],Table15[[#This Row],[order_id]],Table1[side],"SELL")</f>
        <v>0</v>
      </c>
      <c r="W53" s="8">
        <f>Table15[[#This Row],[sell]]-Table15[[#This Row],[Buy]]</f>
        <v>-546606249.29999995</v>
      </c>
      <c r="X53" s="8">
        <f>IF(Table15[[#This Row],[Profit]]&gt;0,1,0)</f>
        <v>0</v>
      </c>
      <c r="Y53" s="5" t="str">
        <f>IF(Table15[[#This Row],[is Profit]]=1,"Profit","Loss")</f>
        <v>Loss</v>
      </c>
      <c r="Z53" s="5">
        <f>SUMIFS(Table1[quantity],Table1[order_id],Table15[[#This Row],[order_id]],Table1[side],"SELL")</f>
        <v>0</v>
      </c>
      <c r="AA53" s="5">
        <f>Table15[[#This Row],[Buy_value]]*Table15[[#This Row],[Buy_Quantity]]</f>
        <v>546606249.29999995</v>
      </c>
      <c r="AB53" s="5">
        <f>Table15[[#This Row],[Sell_Value]]*Table15[[#This Row],[Sell_Quantity]]</f>
        <v>0</v>
      </c>
      <c r="AC53" s="5">
        <f>SUMIFS(Table1[quantity],Table1[order_id],Table15[[#This Row],[order_id]],Table1[side],"BUY")</f>
        <v>669</v>
      </c>
      <c r="AE53" s="10" t="s">
        <v>734</v>
      </c>
      <c r="AF53" s="10" t="str">
        <f>IF(Table1[[#This Row],[Sell-Buy]]&gt;0,"Profit","Loss")</f>
        <v>Profit</v>
      </c>
      <c r="AG53">
        <f>Table1[[#This Row],[Column2]]-Table1[[#This Row],[Buy-sell]]</f>
        <v>764.27</v>
      </c>
    </row>
    <row r="54" spans="1:33" x14ac:dyDescent="0.3">
      <c r="A54" t="s">
        <v>1108</v>
      </c>
      <c r="B54" t="s">
        <v>600</v>
      </c>
      <c r="C54" s="1">
        <v>45796.000694444447</v>
      </c>
      <c r="D54" t="s">
        <v>6</v>
      </c>
      <c r="E54" t="s">
        <v>171</v>
      </c>
      <c r="F54">
        <v>736</v>
      </c>
      <c r="G54">
        <v>818.2</v>
      </c>
      <c r="H54">
        <v>301.10000000000002</v>
      </c>
      <c r="I54" t="s">
        <v>104</v>
      </c>
      <c r="J54" t="s">
        <v>70</v>
      </c>
      <c r="L54" s="1">
        <v>45658</v>
      </c>
      <c r="N54">
        <f>IF(Table1[[#This Row],[side]]="BUY", Table1[[#This Row],[quantity]],-Table1[[#This Row],[quantity]])</f>
        <v>-736</v>
      </c>
      <c r="O54" t="s">
        <v>171</v>
      </c>
      <c r="P54">
        <f>IF(Table1[[#This Row],[side]]="Sell",Table1[[#This Row],[price]],"0")</f>
        <v>818.2</v>
      </c>
      <c r="Q54">
        <f>SUMIFS(Table1[quantity],Table1[company_id],Table8[[#This Row],[COMPANY_ID]],Table1[side],"BUY")-SUMIFS(Table1[quantity],Table1[company_id],Table8[[#This Row],[COMPANY_ID]],Table1[side],"SELL")</f>
        <v>0</v>
      </c>
      <c r="R54">
        <f>Table1[[#This Row],[Column2]]-Table1[[#This Row],[Buy-sell]]</f>
        <v>818.2</v>
      </c>
      <c r="S54" t="str">
        <f>IF(Table1[[#This Row],[Sell-Buy]]&gt;0,"Profit","Loss")</f>
        <v>Profit</v>
      </c>
      <c r="T54" s="4" t="s">
        <v>245</v>
      </c>
      <c r="U54" s="8">
        <f>SUMIFS(Table1[price],Table1[order_id],Table15[[#This Row],[order_id]],Table1[side],"BUY")*Table15[[#This Row],[Buy_Quantity]]</f>
        <v>0</v>
      </c>
      <c r="V54" s="8">
        <f>SUMIFS(Table1[price],Table1[order_id],Table15[[#This Row],[order_id]],Table1[side],"SELL")</f>
        <v>495.01</v>
      </c>
      <c r="W54" s="8">
        <f>Table15[[#This Row],[sell]]-Table15[[#This Row],[Buy]]</f>
        <v>51481.04</v>
      </c>
      <c r="X54" s="8">
        <f>IF(Table15[[#This Row],[Profit]]&gt;0,1,0)</f>
        <v>1</v>
      </c>
      <c r="Y54" s="5" t="str">
        <f>IF(Table15[[#This Row],[is Profit]]=1,"Profit","Loss")</f>
        <v>Profit</v>
      </c>
      <c r="Z54" s="5">
        <f>SUMIFS(Table1[quantity],Table1[order_id],Table15[[#This Row],[order_id]],Table1[side],"SELL")</f>
        <v>104</v>
      </c>
      <c r="AA54" s="5">
        <f>Table15[[#This Row],[Buy_value]]*Table15[[#This Row],[Buy_Quantity]]</f>
        <v>0</v>
      </c>
      <c r="AB54" s="5">
        <f>Table15[[#This Row],[Sell_Value]]*Table15[[#This Row],[Sell_Quantity]]</f>
        <v>51481.04</v>
      </c>
      <c r="AC54" s="5">
        <f>SUMIFS(Table1[quantity],Table1[order_id],Table15[[#This Row],[order_id]],Table1[side],"BUY")</f>
        <v>0</v>
      </c>
      <c r="AE54" s="9" t="s">
        <v>966</v>
      </c>
      <c r="AF54" s="10" t="str">
        <f>IF(Table1[[#This Row],[Sell-Buy]]&gt;0,"Profit","Loss")</f>
        <v>Profit</v>
      </c>
      <c r="AG54">
        <f>Table1[[#This Row],[Column2]]-Table1[[#This Row],[Buy-sell]]</f>
        <v>818.2</v>
      </c>
    </row>
    <row r="55" spans="1:33" x14ac:dyDescent="0.3">
      <c r="A55" t="s">
        <v>1111</v>
      </c>
      <c r="B55" t="s">
        <v>282</v>
      </c>
      <c r="C55" s="1">
        <v>45714.030555555553</v>
      </c>
      <c r="D55" t="s">
        <v>6</v>
      </c>
      <c r="E55" t="s">
        <v>171</v>
      </c>
      <c r="F55">
        <v>420</v>
      </c>
      <c r="G55">
        <v>775.37</v>
      </c>
      <c r="H55">
        <v>162.83000000000001</v>
      </c>
      <c r="I55" t="s">
        <v>94</v>
      </c>
      <c r="J55" t="s">
        <v>61</v>
      </c>
      <c r="L55" s="1">
        <v>45789</v>
      </c>
      <c r="N55">
        <f>IF(Table1[[#This Row],[side]]="BUY", Table1[[#This Row],[quantity]],-Table1[[#This Row],[quantity]])</f>
        <v>-420</v>
      </c>
      <c r="O55" t="s">
        <v>171</v>
      </c>
      <c r="P55">
        <f>IF(Table1[[#This Row],[side]]="Sell",Table1[[#This Row],[price]],"0")</f>
        <v>775.37</v>
      </c>
      <c r="Q55">
        <f>SUMIFS(Table1[quantity],Table1[company_id],Table8[[#This Row],[COMPANY_ID]],Table1[side],"BUY")-SUMIFS(Table1[quantity],Table1[company_id],Table8[[#This Row],[COMPANY_ID]],Table1[side],"SELL")</f>
        <v>0</v>
      </c>
      <c r="R55">
        <f>Table1[[#This Row],[Column2]]-Table1[[#This Row],[Buy-sell]]</f>
        <v>775.37</v>
      </c>
      <c r="S55" t="str">
        <f>IF(Table1[[#This Row],[Sell-Buy]]&gt;0,"Profit","Loss")</f>
        <v>Profit</v>
      </c>
      <c r="T55" s="4" t="s">
        <v>246</v>
      </c>
      <c r="U55" s="8">
        <f>SUMIFS(Table1[price],Table1[order_id],Table15[[#This Row],[order_id]],Table1[side],"BUY")*Table15[[#This Row],[Buy_Quantity]]</f>
        <v>0</v>
      </c>
      <c r="V55" s="8">
        <f>SUMIFS(Table1[price],Table1[order_id],Table15[[#This Row],[order_id]],Table1[side],"SELL")</f>
        <v>1249.6300000000001</v>
      </c>
      <c r="W55" s="8">
        <f>Table15[[#This Row],[sell]]-Table15[[#This Row],[Buy]]</f>
        <v>803512.09000000008</v>
      </c>
      <c r="X55" s="8">
        <f>IF(Table15[[#This Row],[Profit]]&gt;0,1,0)</f>
        <v>1</v>
      </c>
      <c r="Y55" s="5" t="str">
        <f>IF(Table15[[#This Row],[is Profit]]=1,"Profit","Loss")</f>
        <v>Profit</v>
      </c>
      <c r="Z55" s="5">
        <f>SUMIFS(Table1[quantity],Table1[order_id],Table15[[#This Row],[order_id]],Table1[side],"SELL")</f>
        <v>643</v>
      </c>
      <c r="AA55" s="5">
        <f>Table15[[#This Row],[Buy_value]]*Table15[[#This Row],[Buy_Quantity]]</f>
        <v>0</v>
      </c>
      <c r="AB55" s="5">
        <f>Table15[[#This Row],[Sell_Value]]*Table15[[#This Row],[Sell_Quantity]]</f>
        <v>803512.09000000008</v>
      </c>
      <c r="AC55" s="5">
        <f>SUMIFS(Table1[quantity],Table1[order_id],Table15[[#This Row],[order_id]],Table1[side],"BUY")</f>
        <v>0</v>
      </c>
      <c r="AE55" s="10" t="s">
        <v>749</v>
      </c>
      <c r="AF55" s="10" t="str">
        <f>IF(Table1[[#This Row],[Sell-Buy]]&gt;0,"Profit","Loss")</f>
        <v>Profit</v>
      </c>
      <c r="AG55">
        <f>Table1[[#This Row],[Column2]]-Table1[[#This Row],[Buy-sell]]</f>
        <v>775.37</v>
      </c>
    </row>
    <row r="56" spans="1:33" x14ac:dyDescent="0.3">
      <c r="A56" t="s">
        <v>1113</v>
      </c>
      <c r="B56" t="s">
        <v>303</v>
      </c>
      <c r="C56" s="1">
        <v>45685.032638888886</v>
      </c>
      <c r="D56" t="s">
        <v>6</v>
      </c>
      <c r="E56" t="s">
        <v>171</v>
      </c>
      <c r="F56">
        <v>344</v>
      </c>
      <c r="G56">
        <v>761.06</v>
      </c>
      <c r="H56">
        <v>130.9</v>
      </c>
      <c r="I56" t="s">
        <v>106</v>
      </c>
      <c r="J56" t="s">
        <v>55</v>
      </c>
      <c r="L56" s="1">
        <v>45734</v>
      </c>
      <c r="N56">
        <f>IF(Table1[[#This Row],[side]]="BUY", Table1[[#This Row],[quantity]],-Table1[[#This Row],[quantity]])</f>
        <v>-344</v>
      </c>
      <c r="O56" t="s">
        <v>171</v>
      </c>
      <c r="P56">
        <f>IF(Table1[[#This Row],[side]]="Sell",Table1[[#This Row],[price]],"0")</f>
        <v>761.06</v>
      </c>
      <c r="Q56">
        <f>SUMIFS(Table1[quantity],Table1[company_id],Table8[[#This Row],[COMPANY_ID]],Table1[side],"BUY")-SUMIFS(Table1[quantity],Table1[company_id],Table8[[#This Row],[COMPANY_ID]],Table1[side],"SELL")</f>
        <v>0</v>
      </c>
      <c r="R56">
        <f>Table1[[#This Row],[Column2]]-Table1[[#This Row],[Buy-sell]]</f>
        <v>761.06</v>
      </c>
      <c r="S56" t="str">
        <f>IF(Table1[[#This Row],[Sell-Buy]]&gt;0,"Profit","Loss")</f>
        <v>Profit</v>
      </c>
      <c r="T56" s="5" t="s">
        <v>251</v>
      </c>
      <c r="U56" s="8">
        <f>SUMIFS(Table1[price],Table1[order_id],Table15[[#This Row],[order_id]],Table1[side],"BUY")*Table15[[#This Row],[Buy_Quantity]]</f>
        <v>0</v>
      </c>
      <c r="V56" s="8">
        <f>SUMIFS(Table1[price],Table1[order_id],Table15[[#This Row],[order_id]],Table1[side],"SELL")</f>
        <v>227.67</v>
      </c>
      <c r="W56" s="8">
        <f>Table15[[#This Row],[sell]]-Table15[[#This Row],[Buy]]</f>
        <v>160962.69</v>
      </c>
      <c r="X56" s="8">
        <f>IF(Table15[[#This Row],[Profit]]&gt;0,1,0)</f>
        <v>1</v>
      </c>
      <c r="Y56" s="5" t="str">
        <f>IF(Table15[[#This Row],[is Profit]]=1,"Profit","Loss")</f>
        <v>Profit</v>
      </c>
      <c r="Z56" s="5">
        <f>SUMIFS(Table1[quantity],Table1[order_id],Table15[[#This Row],[order_id]],Table1[side],"SELL")</f>
        <v>707</v>
      </c>
      <c r="AA56" s="5">
        <f>Table15[[#This Row],[Buy_value]]*Table15[[#This Row],[Buy_Quantity]]</f>
        <v>0</v>
      </c>
      <c r="AB56" s="5">
        <f>Table15[[#This Row],[Sell_Value]]*Table15[[#This Row],[Sell_Quantity]]</f>
        <v>160962.69</v>
      </c>
      <c r="AC56" s="5">
        <f>SUMIFS(Table1[quantity],Table1[order_id],Table15[[#This Row],[order_id]],Table1[side],"BUY")</f>
        <v>0</v>
      </c>
      <c r="AE56" s="9" t="s">
        <v>728</v>
      </c>
      <c r="AF56" s="10" t="str">
        <f>IF(Table1[[#This Row],[Sell-Buy]]&gt;0,"Profit","Loss")</f>
        <v>Profit</v>
      </c>
      <c r="AG56">
        <f>Table1[[#This Row],[Column2]]-Table1[[#This Row],[Buy-sell]]</f>
        <v>761.06</v>
      </c>
    </row>
    <row r="57" spans="1:33" x14ac:dyDescent="0.3">
      <c r="A57" t="s">
        <v>1116</v>
      </c>
      <c r="B57" t="s">
        <v>414</v>
      </c>
      <c r="C57" s="1">
        <v>45679.040972222225</v>
      </c>
      <c r="D57" t="s">
        <v>6</v>
      </c>
      <c r="E57" t="s">
        <v>166</v>
      </c>
      <c r="F57">
        <v>287</v>
      </c>
      <c r="G57">
        <v>732.76</v>
      </c>
      <c r="H57">
        <v>105.15</v>
      </c>
      <c r="I57" t="s">
        <v>130</v>
      </c>
      <c r="J57" t="s">
        <v>52</v>
      </c>
      <c r="L57" s="1">
        <v>45729</v>
      </c>
      <c r="M57" t="s">
        <v>166</v>
      </c>
      <c r="N57">
        <f>IF(Table1[[#This Row],[side]]="BUY", Table1[[#This Row],[quantity]],-Table1[[#This Row],[quantity]])</f>
        <v>287</v>
      </c>
      <c r="P57" t="str">
        <f>IF(Table1[[#This Row],[side]]="Sell",Table1[[#This Row],[price]],"0")</f>
        <v>0</v>
      </c>
      <c r="Q57">
        <f>SUMIFS(Table1[quantity],Table1[company_id],Table8[[#This Row],[COMPANY_ID]],Table1[side],"BUY")-SUMIFS(Table1[quantity],Table1[company_id],Table8[[#This Row],[COMPANY_ID]],Table1[side],"SELL")</f>
        <v>0</v>
      </c>
      <c r="R57">
        <f>Table1[[#This Row],[Column2]]-Table1[[#This Row],[Buy-sell]]</f>
        <v>0</v>
      </c>
      <c r="S57" t="str">
        <f>IF(Table1[[#This Row],[Sell-Buy]]&gt;0,"Profit","Loss")</f>
        <v>Loss</v>
      </c>
      <c r="T57" s="4" t="s">
        <v>252</v>
      </c>
      <c r="U57" s="8">
        <f>SUMIFS(Table1[price],Table1[order_id],Table15[[#This Row],[order_id]],Table1[side],"BUY")*Table15[[#This Row],[Buy_Quantity]]</f>
        <v>128560.04999999999</v>
      </c>
      <c r="V57" s="8">
        <f>SUMIFS(Table1[price],Table1[order_id],Table15[[#This Row],[order_id]],Table1[side],"SELL")</f>
        <v>645.04</v>
      </c>
      <c r="W57" s="8">
        <f>Table15[[#This Row],[sell]]-Table15[[#This Row],[Buy]]</f>
        <v>-70054906.609999999</v>
      </c>
      <c r="X57" s="8">
        <f>IF(Table15[[#This Row],[Profit]]&gt;0,1,0)</f>
        <v>0</v>
      </c>
      <c r="Y57" s="5" t="str">
        <f>IF(Table15[[#This Row],[is Profit]]=1,"Profit","Loss")</f>
        <v>Loss</v>
      </c>
      <c r="Z57" s="5">
        <f>SUMIFS(Table1[quantity],Table1[order_id],Table15[[#This Row],[order_id]],Table1[side],"SELL")</f>
        <v>16</v>
      </c>
      <c r="AA57" s="5">
        <f>Table15[[#This Row],[Buy_value]]*Table15[[#This Row],[Buy_Quantity]]</f>
        <v>70065227.25</v>
      </c>
      <c r="AB57" s="5">
        <f>Table15[[#This Row],[Sell_Value]]*Table15[[#This Row],[Sell_Quantity]]</f>
        <v>10320.64</v>
      </c>
      <c r="AC57" s="5">
        <f>SUMIFS(Table1[quantity],Table1[order_id],Table15[[#This Row],[order_id]],Table1[side],"BUY")</f>
        <v>545</v>
      </c>
      <c r="AE57" s="10" t="s">
        <v>1006</v>
      </c>
      <c r="AF57" s="10" t="str">
        <f>IF(Table1[[#This Row],[Sell-Buy]]&gt;0,"Profit","Loss")</f>
        <v>Loss</v>
      </c>
      <c r="AG57">
        <f>Table1[[#This Row],[Column2]]-Table1[[#This Row],[Buy-sell]]</f>
        <v>0</v>
      </c>
    </row>
    <row r="58" spans="1:33" x14ac:dyDescent="0.3">
      <c r="A58" t="s">
        <v>1117</v>
      </c>
      <c r="B58" t="s">
        <v>346</v>
      </c>
      <c r="C58" s="1">
        <v>45800.023611111108</v>
      </c>
      <c r="D58" t="s">
        <v>6</v>
      </c>
      <c r="E58" t="s">
        <v>171</v>
      </c>
      <c r="F58">
        <v>928</v>
      </c>
      <c r="G58">
        <v>801.23</v>
      </c>
      <c r="H58">
        <v>371.77</v>
      </c>
      <c r="I58" t="s">
        <v>146</v>
      </c>
      <c r="J58" t="s">
        <v>64</v>
      </c>
      <c r="L58" s="1">
        <v>45814</v>
      </c>
      <c r="N58">
        <f>IF(Table1[[#This Row],[side]]="BUY", Table1[[#This Row],[quantity]],-Table1[[#This Row],[quantity]])</f>
        <v>-928</v>
      </c>
      <c r="O58" t="s">
        <v>171</v>
      </c>
      <c r="P58">
        <f>IF(Table1[[#This Row],[side]]="Sell",Table1[[#This Row],[price]],"0")</f>
        <v>801.23</v>
      </c>
      <c r="Q58">
        <f>SUMIFS(Table1[quantity],Table1[company_id],Table8[[#This Row],[COMPANY_ID]],Table1[side],"BUY")-SUMIFS(Table1[quantity],Table1[company_id],Table8[[#This Row],[COMPANY_ID]],Table1[side],"SELL")</f>
        <v>0</v>
      </c>
      <c r="R58">
        <f>Table1[[#This Row],[Column2]]-Table1[[#This Row],[Buy-sell]]</f>
        <v>801.23</v>
      </c>
      <c r="S58" t="str">
        <f>IF(Table1[[#This Row],[Sell-Buy]]&gt;0,"Profit","Loss")</f>
        <v>Profit</v>
      </c>
      <c r="T58" s="4" t="s">
        <v>253</v>
      </c>
      <c r="U58" s="8">
        <f>SUMIFS(Table1[price],Table1[order_id],Table15[[#This Row],[order_id]],Table1[side],"BUY")*Table15[[#This Row],[Buy_Quantity]]</f>
        <v>0</v>
      </c>
      <c r="V58" s="8">
        <f>SUMIFS(Table1[price],Table1[order_id],Table15[[#This Row],[order_id]],Table1[side],"SELL")</f>
        <v>739.55</v>
      </c>
      <c r="W58" s="8">
        <f>Table15[[#This Row],[sell]]-Table15[[#This Row],[Buy]]</f>
        <v>543569.25</v>
      </c>
      <c r="X58" s="8">
        <f>IF(Table15[[#This Row],[Profit]]&gt;0,1,0)</f>
        <v>1</v>
      </c>
      <c r="Y58" s="5" t="str">
        <f>IF(Table15[[#This Row],[is Profit]]=1,"Profit","Loss")</f>
        <v>Profit</v>
      </c>
      <c r="Z58" s="5">
        <f>SUMIFS(Table1[quantity],Table1[order_id],Table15[[#This Row],[order_id]],Table1[side],"SELL")</f>
        <v>735</v>
      </c>
      <c r="AA58" s="5">
        <f>Table15[[#This Row],[Buy_value]]*Table15[[#This Row],[Buy_Quantity]]</f>
        <v>0</v>
      </c>
      <c r="AB58" s="5">
        <f>Table15[[#This Row],[Sell_Value]]*Table15[[#This Row],[Sell_Quantity]]</f>
        <v>543569.25</v>
      </c>
      <c r="AC58" s="5">
        <f>SUMIFS(Table1[quantity],Table1[order_id],Table15[[#This Row],[order_id]],Table1[side],"BUY")</f>
        <v>0</v>
      </c>
      <c r="AE58" s="9" t="s">
        <v>1172</v>
      </c>
      <c r="AF58" s="10" t="str">
        <f>IF(Table1[[#This Row],[Sell-Buy]]&gt;0,"Profit","Loss")</f>
        <v>Profit</v>
      </c>
      <c r="AG58">
        <f>Table1[[#This Row],[Column2]]-Table1[[#This Row],[Buy-sell]]</f>
        <v>801.23</v>
      </c>
    </row>
    <row r="59" spans="1:33" x14ac:dyDescent="0.3">
      <c r="A59" t="s">
        <v>1128</v>
      </c>
      <c r="B59" t="s">
        <v>315</v>
      </c>
      <c r="C59" s="1">
        <v>45800.011805555558</v>
      </c>
      <c r="D59" t="s">
        <v>6</v>
      </c>
      <c r="E59" t="s">
        <v>166</v>
      </c>
      <c r="F59">
        <v>659</v>
      </c>
      <c r="G59">
        <v>803.32</v>
      </c>
      <c r="H59">
        <v>264.69</v>
      </c>
      <c r="I59" t="s">
        <v>128</v>
      </c>
      <c r="J59" t="s">
        <v>70</v>
      </c>
      <c r="L59" s="1">
        <v>45688</v>
      </c>
      <c r="M59" t="s">
        <v>166</v>
      </c>
      <c r="N59">
        <f>IF(Table1[[#This Row],[side]]="BUY", Table1[[#This Row],[quantity]],-Table1[[#This Row],[quantity]])</f>
        <v>659</v>
      </c>
      <c r="P59" t="str">
        <f>IF(Table1[[#This Row],[side]]="Sell",Table1[[#This Row],[price]],"0")</f>
        <v>0</v>
      </c>
      <c r="Q59">
        <f>SUMIFS(Table1[quantity],Table1[company_id],Table8[[#This Row],[COMPANY_ID]],Table1[side],"BUY")-SUMIFS(Table1[quantity],Table1[company_id],Table8[[#This Row],[COMPANY_ID]],Table1[side],"SELL")</f>
        <v>0</v>
      </c>
      <c r="R59">
        <f>Table1[[#This Row],[Column2]]-Table1[[#This Row],[Buy-sell]]</f>
        <v>0</v>
      </c>
      <c r="S59" t="str">
        <f>IF(Table1[[#This Row],[Sell-Buy]]&gt;0,"Profit","Loss")</f>
        <v>Loss</v>
      </c>
      <c r="T59" s="5" t="s">
        <v>254</v>
      </c>
      <c r="U59" s="8">
        <f>SUMIFS(Table1[price],Table1[order_id],Table15[[#This Row],[order_id]],Table1[side],"BUY")*Table15[[#This Row],[Buy_Quantity]]</f>
        <v>2005058.19</v>
      </c>
      <c r="V59" s="8">
        <f>SUMIFS(Table1[price],Table1[order_id],Table15[[#This Row],[order_id]],Table1[side],"SELL")</f>
        <v>0</v>
      </c>
      <c r="W59" s="8">
        <f>Table15[[#This Row],[sell]]-Table15[[#This Row],[Buy]]</f>
        <v>-1878739524.03</v>
      </c>
      <c r="X59" s="8">
        <f>IF(Table15[[#This Row],[Profit]]&gt;0,1,0)</f>
        <v>0</v>
      </c>
      <c r="Y59" s="5" t="str">
        <f>IF(Table15[[#This Row],[is Profit]]=1,"Profit","Loss")</f>
        <v>Loss</v>
      </c>
      <c r="Z59" s="5">
        <f>SUMIFS(Table1[quantity],Table1[order_id],Table15[[#This Row],[order_id]],Table1[side],"SELL")</f>
        <v>0</v>
      </c>
      <c r="AA59" s="5">
        <f>Table15[[#This Row],[Buy_value]]*Table15[[#This Row],[Buy_Quantity]]</f>
        <v>1878739524.03</v>
      </c>
      <c r="AB59" s="5">
        <f>Table15[[#This Row],[Sell_Value]]*Table15[[#This Row],[Sell_Quantity]]</f>
        <v>0</v>
      </c>
      <c r="AC59" s="5">
        <f>SUMIFS(Table1[quantity],Table1[order_id],Table15[[#This Row],[order_id]],Table1[side],"BUY")</f>
        <v>937</v>
      </c>
      <c r="AE59" s="10" t="s">
        <v>978</v>
      </c>
      <c r="AF59" s="10" t="str">
        <f>IF(Table1[[#This Row],[Sell-Buy]]&gt;0,"Profit","Loss")</f>
        <v>Loss</v>
      </c>
      <c r="AG59">
        <f>Table1[[#This Row],[Column2]]-Table1[[#This Row],[Buy-sell]]</f>
        <v>0</v>
      </c>
    </row>
    <row r="60" spans="1:33" x14ac:dyDescent="0.3">
      <c r="A60" t="s">
        <v>1129</v>
      </c>
      <c r="B60" t="s">
        <v>401</v>
      </c>
      <c r="C60" s="1">
        <v>45688.037499999999</v>
      </c>
      <c r="D60" t="s">
        <v>6</v>
      </c>
      <c r="E60" t="s">
        <v>166</v>
      </c>
      <c r="F60">
        <v>569</v>
      </c>
      <c r="G60">
        <v>751.4</v>
      </c>
      <c r="H60">
        <v>213.77</v>
      </c>
      <c r="I60" t="s">
        <v>140</v>
      </c>
      <c r="J60" t="s">
        <v>49</v>
      </c>
      <c r="L60" s="1">
        <v>45799</v>
      </c>
      <c r="M60" t="s">
        <v>166</v>
      </c>
      <c r="N60">
        <f>IF(Table1[[#This Row],[side]]="BUY", Table1[[#This Row],[quantity]],-Table1[[#This Row],[quantity]])</f>
        <v>569</v>
      </c>
      <c r="P60" t="str">
        <f>IF(Table1[[#This Row],[side]]="Sell",Table1[[#This Row],[price]],"0")</f>
        <v>0</v>
      </c>
      <c r="Q60">
        <f>SUMIFS(Table1[quantity],Table1[company_id],Table8[[#This Row],[COMPANY_ID]],Table1[side],"BUY")-SUMIFS(Table1[quantity],Table1[company_id],Table8[[#This Row],[COMPANY_ID]],Table1[side],"SELL")</f>
        <v>0</v>
      </c>
      <c r="R60">
        <f>Table1[[#This Row],[Column2]]-Table1[[#This Row],[Buy-sell]]</f>
        <v>0</v>
      </c>
      <c r="S60" t="str">
        <f>IF(Table1[[#This Row],[Sell-Buy]]&gt;0,"Profit","Loss")</f>
        <v>Loss</v>
      </c>
      <c r="T60" s="5" t="s">
        <v>256</v>
      </c>
      <c r="U60" s="8">
        <f>SUMIFS(Table1[price],Table1[order_id],Table15[[#This Row],[order_id]],Table1[side],"BUY")*Table15[[#This Row],[Buy_Quantity]]</f>
        <v>0</v>
      </c>
      <c r="V60" s="8">
        <f>SUMIFS(Table1[price],Table1[order_id],Table15[[#This Row],[order_id]],Table1[side],"SELL")</f>
        <v>573.79999999999995</v>
      </c>
      <c r="W60" s="8">
        <f>Table15[[#This Row],[sell]]-Table15[[#This Row],[Buy]]</f>
        <v>456744.8</v>
      </c>
      <c r="X60" s="8">
        <f>IF(Table15[[#This Row],[Profit]]&gt;0,1,0)</f>
        <v>1</v>
      </c>
      <c r="Y60" s="5" t="str">
        <f>IF(Table15[[#This Row],[is Profit]]=1,"Profit","Loss")</f>
        <v>Profit</v>
      </c>
      <c r="Z60" s="5">
        <f>SUMIFS(Table1[quantity],Table1[order_id],Table15[[#This Row],[order_id]],Table1[side],"SELL")</f>
        <v>796</v>
      </c>
      <c r="AA60" s="5">
        <f>Table15[[#This Row],[Buy_value]]*Table15[[#This Row],[Buy_Quantity]]</f>
        <v>0</v>
      </c>
      <c r="AB60" s="5">
        <f>Table15[[#This Row],[Sell_Value]]*Table15[[#This Row],[Sell_Quantity]]</f>
        <v>456744.8</v>
      </c>
      <c r="AC60" s="5">
        <f>SUMIFS(Table1[quantity],Table1[order_id],Table15[[#This Row],[order_id]],Table1[side],"BUY")</f>
        <v>0</v>
      </c>
      <c r="AE60" s="9" t="s">
        <v>1080</v>
      </c>
      <c r="AF60" s="10" t="str">
        <f>IF(Table1[[#This Row],[Sell-Buy]]&gt;0,"Profit","Loss")</f>
        <v>Loss</v>
      </c>
      <c r="AG60">
        <f>Table1[[#This Row],[Column2]]-Table1[[#This Row],[Buy-sell]]</f>
        <v>0</v>
      </c>
    </row>
    <row r="61" spans="1:33" x14ac:dyDescent="0.3">
      <c r="A61" t="s">
        <v>1131</v>
      </c>
      <c r="B61" t="s">
        <v>593</v>
      </c>
      <c r="C61" s="1">
        <v>45691.025000000001</v>
      </c>
      <c r="D61" t="s">
        <v>6</v>
      </c>
      <c r="E61" t="s">
        <v>166</v>
      </c>
      <c r="F61">
        <v>230</v>
      </c>
      <c r="G61">
        <v>760.25</v>
      </c>
      <c r="H61">
        <v>87.43</v>
      </c>
      <c r="I61" t="s">
        <v>142</v>
      </c>
      <c r="J61" t="s">
        <v>58</v>
      </c>
      <c r="L61" s="1">
        <v>45695</v>
      </c>
      <c r="M61" t="s">
        <v>166</v>
      </c>
      <c r="N61">
        <f>IF(Table1[[#This Row],[side]]="BUY", Table1[[#This Row],[quantity]],-Table1[[#This Row],[quantity]])</f>
        <v>230</v>
      </c>
      <c r="P61" t="str">
        <f>IF(Table1[[#This Row],[side]]="Sell",Table1[[#This Row],[price]],"0")</f>
        <v>0</v>
      </c>
      <c r="Q61">
        <f>SUMIFS(Table1[quantity],Table1[company_id],Table8[[#This Row],[COMPANY_ID]],Table1[side],"BUY")-SUMIFS(Table1[quantity],Table1[company_id],Table8[[#This Row],[COMPANY_ID]],Table1[side],"SELL")</f>
        <v>0</v>
      </c>
      <c r="R61">
        <f>Table1[[#This Row],[Column2]]-Table1[[#This Row],[Buy-sell]]</f>
        <v>0</v>
      </c>
      <c r="S61" t="str">
        <f>IF(Table1[[#This Row],[Sell-Buy]]&gt;0,"Profit","Loss")</f>
        <v>Loss</v>
      </c>
      <c r="T61" s="4" t="s">
        <v>261</v>
      </c>
      <c r="U61" s="8">
        <f>SUMIFS(Table1[price],Table1[order_id],Table15[[#This Row],[order_id]],Table1[side],"BUY")*Table15[[#This Row],[Buy_Quantity]]</f>
        <v>66034.5</v>
      </c>
      <c r="V61" s="8">
        <f>SUMIFS(Table1[price],Table1[order_id],Table15[[#This Row],[order_id]],Table1[side],"SELL")</f>
        <v>0</v>
      </c>
      <c r="W61" s="8">
        <f>Table15[[#This Row],[sell]]-Table15[[#This Row],[Buy]]</f>
        <v>-6933622.5</v>
      </c>
      <c r="X61" s="8">
        <f>IF(Table15[[#This Row],[Profit]]&gt;0,1,0)</f>
        <v>0</v>
      </c>
      <c r="Y61" s="5" t="str">
        <f>IF(Table15[[#This Row],[is Profit]]=1,"Profit","Loss")</f>
        <v>Loss</v>
      </c>
      <c r="Z61" s="5">
        <f>SUMIFS(Table1[quantity],Table1[order_id],Table15[[#This Row],[order_id]],Table1[side],"SELL")</f>
        <v>0</v>
      </c>
      <c r="AA61" s="5">
        <f>Table15[[#This Row],[Buy_value]]*Table15[[#This Row],[Buy_Quantity]]</f>
        <v>6933622.5</v>
      </c>
      <c r="AB61" s="5">
        <f>Table15[[#This Row],[Sell_Value]]*Table15[[#This Row],[Sell_Quantity]]</f>
        <v>0</v>
      </c>
      <c r="AC61" s="5">
        <f>SUMIFS(Table1[quantity],Table1[order_id],Table15[[#This Row],[order_id]],Table1[side],"BUY")</f>
        <v>105</v>
      </c>
      <c r="AE61" s="10" t="s">
        <v>1140</v>
      </c>
      <c r="AF61" s="10" t="str">
        <f>IF(Table1[[#This Row],[Sell-Buy]]&gt;0,"Profit","Loss")</f>
        <v>Loss</v>
      </c>
      <c r="AG61">
        <f>Table1[[#This Row],[Column2]]-Table1[[#This Row],[Buy-sell]]</f>
        <v>0</v>
      </c>
    </row>
    <row r="62" spans="1:33" x14ac:dyDescent="0.3">
      <c r="A62" t="s">
        <v>1157</v>
      </c>
      <c r="B62" t="s">
        <v>359</v>
      </c>
      <c r="C62" s="1">
        <v>45736.00277777778</v>
      </c>
      <c r="D62" t="s">
        <v>6</v>
      </c>
      <c r="E62" t="s">
        <v>171</v>
      </c>
      <c r="F62">
        <v>666</v>
      </c>
      <c r="G62">
        <v>766.69</v>
      </c>
      <c r="H62">
        <v>255.31</v>
      </c>
      <c r="I62" t="s">
        <v>148</v>
      </c>
      <c r="J62" t="s">
        <v>76</v>
      </c>
      <c r="L62" s="1">
        <v>45792</v>
      </c>
      <c r="N62">
        <f>IF(Table1[[#This Row],[side]]="BUY", Table1[[#This Row],[quantity]],-Table1[[#This Row],[quantity]])</f>
        <v>-666</v>
      </c>
      <c r="O62" t="s">
        <v>171</v>
      </c>
      <c r="P62">
        <f>IF(Table1[[#This Row],[side]]="Sell",Table1[[#This Row],[price]],"0")</f>
        <v>766.69</v>
      </c>
      <c r="Q62">
        <f>SUMIFS(Table1[quantity],Table1[company_id],Table8[[#This Row],[COMPANY_ID]],Table1[side],"BUY")-SUMIFS(Table1[quantity],Table1[company_id],Table8[[#This Row],[COMPANY_ID]],Table1[side],"SELL")</f>
        <v>0</v>
      </c>
      <c r="R62">
        <f>Table1[[#This Row],[Column2]]-Table1[[#This Row],[Buy-sell]]</f>
        <v>766.69</v>
      </c>
      <c r="S62" t="str">
        <f>IF(Table1[[#This Row],[Sell-Buy]]&gt;0,"Profit","Loss")</f>
        <v>Profit</v>
      </c>
      <c r="T62" s="5" t="s">
        <v>263</v>
      </c>
      <c r="U62" s="8">
        <f>SUMIFS(Table1[price],Table1[order_id],Table15[[#This Row],[order_id]],Table1[side],"BUY")*Table15[[#This Row],[Buy_Quantity]]</f>
        <v>849760.47</v>
      </c>
      <c r="V62" s="8">
        <f>SUMIFS(Table1[price],Table1[order_id],Table15[[#This Row],[order_id]],Table1[side],"SELL")</f>
        <v>0</v>
      </c>
      <c r="W62" s="8">
        <f>Table15[[#This Row],[sell]]-Table15[[#This Row],[Buy]]</f>
        <v>-678958615.52999997</v>
      </c>
      <c r="X62" s="8">
        <f>IF(Table15[[#This Row],[Profit]]&gt;0,1,0)</f>
        <v>0</v>
      </c>
      <c r="Y62" s="5" t="str">
        <f>IF(Table15[[#This Row],[is Profit]]=1,"Profit","Loss")</f>
        <v>Loss</v>
      </c>
      <c r="Z62" s="5">
        <f>SUMIFS(Table1[quantity],Table1[order_id],Table15[[#This Row],[order_id]],Table1[side],"SELL")</f>
        <v>0</v>
      </c>
      <c r="AA62" s="5">
        <f>Table15[[#This Row],[Buy_value]]*Table15[[#This Row],[Buy_Quantity]]</f>
        <v>678958615.52999997</v>
      </c>
      <c r="AB62" s="5">
        <f>Table15[[#This Row],[Sell_Value]]*Table15[[#This Row],[Sell_Quantity]]</f>
        <v>0</v>
      </c>
      <c r="AC62" s="5">
        <f>SUMIFS(Table1[quantity],Table1[order_id],Table15[[#This Row],[order_id]],Table1[side],"BUY")</f>
        <v>799</v>
      </c>
      <c r="AE62" s="9" t="s">
        <v>684</v>
      </c>
      <c r="AF62" s="10" t="str">
        <f>IF(Table1[[#This Row],[Sell-Buy]]&gt;0,"Profit","Loss")</f>
        <v>Profit</v>
      </c>
      <c r="AG62">
        <f>Table1[[#This Row],[Column2]]-Table1[[#This Row],[Buy-sell]]</f>
        <v>766.69</v>
      </c>
    </row>
    <row r="63" spans="1:33" x14ac:dyDescent="0.3">
      <c r="A63" t="s">
        <v>1172</v>
      </c>
      <c r="B63" t="s">
        <v>226</v>
      </c>
      <c r="C63" s="1">
        <v>45715.006944444445</v>
      </c>
      <c r="D63" t="s">
        <v>6</v>
      </c>
      <c r="E63" t="s">
        <v>171</v>
      </c>
      <c r="F63">
        <v>21</v>
      </c>
      <c r="G63">
        <v>771.17</v>
      </c>
      <c r="H63">
        <v>8.1</v>
      </c>
      <c r="I63" t="s">
        <v>97</v>
      </c>
      <c r="J63" t="s">
        <v>58</v>
      </c>
      <c r="L63" s="1">
        <v>45791</v>
      </c>
      <c r="N63">
        <f>IF(Table1[[#This Row],[side]]="BUY", Table1[[#This Row],[quantity]],-Table1[[#This Row],[quantity]])</f>
        <v>-21</v>
      </c>
      <c r="O63" t="s">
        <v>171</v>
      </c>
      <c r="P63">
        <f>IF(Table1[[#This Row],[side]]="Sell",Table1[[#This Row],[price]],"0")</f>
        <v>771.17</v>
      </c>
      <c r="Q63">
        <f>SUMIFS(Table1[quantity],Table1[company_id],Table8[[#This Row],[COMPANY_ID]],Table1[side],"BUY")-SUMIFS(Table1[quantity],Table1[company_id],Table8[[#This Row],[COMPANY_ID]],Table1[side],"SELL")</f>
        <v>0</v>
      </c>
      <c r="R63">
        <f>Table1[[#This Row],[Column2]]-Table1[[#This Row],[Buy-sell]]</f>
        <v>771.17</v>
      </c>
      <c r="S63" t="str">
        <f>IF(Table1[[#This Row],[Sell-Buy]]&gt;0,"Profit","Loss")</f>
        <v>Profit</v>
      </c>
      <c r="T63" s="5" t="s">
        <v>265</v>
      </c>
      <c r="U63" s="8">
        <f>SUMIFS(Table1[price],Table1[order_id],Table15[[#This Row],[order_id]],Table1[side],"BUY")*Table15[[#This Row],[Buy_Quantity]]</f>
        <v>1298161.6199999999</v>
      </c>
      <c r="V63" s="8">
        <f>SUMIFS(Table1[price],Table1[order_id],Table15[[#This Row],[order_id]],Table1[side],"SELL")</f>
        <v>0</v>
      </c>
      <c r="W63" s="8">
        <f>Table15[[#This Row],[sell]]-Table15[[#This Row],[Buy]]</f>
        <v>-1281285518.9399998</v>
      </c>
      <c r="X63" s="8">
        <f>IF(Table15[[#This Row],[Profit]]&gt;0,1,0)</f>
        <v>0</v>
      </c>
      <c r="Y63" s="5" t="str">
        <f>IF(Table15[[#This Row],[is Profit]]=1,"Profit","Loss")</f>
        <v>Loss</v>
      </c>
      <c r="Z63" s="5">
        <f>SUMIFS(Table1[quantity],Table1[order_id],Table15[[#This Row],[order_id]],Table1[side],"SELL")</f>
        <v>0</v>
      </c>
      <c r="AA63" s="5">
        <f>Table15[[#This Row],[Buy_value]]*Table15[[#This Row],[Buy_Quantity]]</f>
        <v>1281285518.9399998</v>
      </c>
      <c r="AB63" s="5">
        <f>Table15[[#This Row],[Sell_Value]]*Table15[[#This Row],[Sell_Quantity]]</f>
        <v>0</v>
      </c>
      <c r="AC63" s="5">
        <f>SUMIFS(Table1[quantity],Table1[order_id],Table15[[#This Row],[order_id]],Table1[side],"BUY")</f>
        <v>987</v>
      </c>
      <c r="AE63" s="10" t="s">
        <v>808</v>
      </c>
      <c r="AF63" s="10" t="str">
        <f>IF(Table1[[#This Row],[Sell-Buy]]&gt;0,"Profit","Loss")</f>
        <v>Profit</v>
      </c>
      <c r="AG63">
        <f>Table1[[#This Row],[Column2]]-Table1[[#This Row],[Buy-sell]]</f>
        <v>771.17</v>
      </c>
    </row>
    <row r="64" spans="1:33" x14ac:dyDescent="0.3">
      <c r="A64" t="s">
        <v>697</v>
      </c>
      <c r="B64" t="s">
        <v>277</v>
      </c>
      <c r="C64" s="1">
        <v>45821.036111111112</v>
      </c>
      <c r="D64" t="s">
        <v>11</v>
      </c>
      <c r="E64" t="s">
        <v>171</v>
      </c>
      <c r="F64">
        <v>575</v>
      </c>
      <c r="G64">
        <v>1284.21</v>
      </c>
      <c r="H64">
        <v>369.21</v>
      </c>
      <c r="I64" t="s">
        <v>130</v>
      </c>
      <c r="J64" t="s">
        <v>67</v>
      </c>
      <c r="L64" s="1">
        <v>45728</v>
      </c>
      <c r="N64">
        <f>IF(Table1[[#This Row],[side]]="BUY", Table1[[#This Row],[quantity]],-Table1[[#This Row],[quantity]])</f>
        <v>-575</v>
      </c>
      <c r="O64" t="s">
        <v>171</v>
      </c>
      <c r="P64">
        <f>IF(Table1[[#This Row],[side]]="Sell",Table1[[#This Row],[price]],"0")</f>
        <v>1284.21</v>
      </c>
      <c r="Q64">
        <f>SUMIFS(Table1[quantity],Table1[company_id],Table8[[#This Row],[COMPANY_ID]],Table1[side],"BUY")-SUMIFS(Table1[quantity],Table1[company_id],Table8[[#This Row],[COMPANY_ID]],Table1[side],"SELL")</f>
        <v>0</v>
      </c>
      <c r="R64">
        <f>Table1[[#This Row],[Column2]]-Table1[[#This Row],[Buy-sell]]</f>
        <v>1284.21</v>
      </c>
      <c r="S64" t="str">
        <f>IF(Table1[[#This Row],[Sell-Buy]]&gt;0,"Profit","Loss")</f>
        <v>Profit</v>
      </c>
      <c r="T64" s="4" t="s">
        <v>266</v>
      </c>
      <c r="U64" s="8">
        <f>SUMIFS(Table1[price],Table1[order_id],Table15[[#This Row],[order_id]],Table1[side],"BUY")*Table15[[#This Row],[Buy_Quantity]]</f>
        <v>801078.84</v>
      </c>
      <c r="V64" s="8">
        <f>SUMIFS(Table1[price],Table1[order_id],Table15[[#This Row],[order_id]],Table1[side],"SELL")</f>
        <v>468.06</v>
      </c>
      <c r="W64" s="8">
        <f>Table15[[#This Row],[sell]]-Table15[[#This Row],[Buy]]</f>
        <v>-292823683.86000001</v>
      </c>
      <c r="X64" s="8">
        <f>IF(Table15[[#This Row],[Profit]]&gt;0,1,0)</f>
        <v>0</v>
      </c>
      <c r="Y64" s="5" t="str">
        <f>IF(Table15[[#This Row],[is Profit]]=1,"Profit","Loss")</f>
        <v>Loss</v>
      </c>
      <c r="Z64" s="5">
        <f>SUMIFS(Table1[quantity],Table1[order_id],Table15[[#This Row],[order_id]],Table1[side],"SELL")</f>
        <v>793</v>
      </c>
      <c r="AA64" s="5">
        <f>Table15[[#This Row],[Buy_value]]*Table15[[#This Row],[Buy_Quantity]]</f>
        <v>293194855.44</v>
      </c>
      <c r="AB64" s="5">
        <f>Table15[[#This Row],[Sell_Value]]*Table15[[#This Row],[Sell_Quantity]]</f>
        <v>371171.58</v>
      </c>
      <c r="AC64" s="5">
        <f>SUMIFS(Table1[quantity],Table1[order_id],Table15[[#This Row],[order_id]],Table1[side],"BUY")</f>
        <v>366</v>
      </c>
      <c r="AE64" s="9" t="s">
        <v>961</v>
      </c>
      <c r="AF64" s="10" t="str">
        <f>IF(Table1[[#This Row],[Sell-Buy]]&gt;0,"Profit","Loss")</f>
        <v>Profit</v>
      </c>
      <c r="AG64">
        <f>Table1[[#This Row],[Column2]]-Table1[[#This Row],[Buy-sell]]</f>
        <v>1284.21</v>
      </c>
    </row>
    <row r="65" spans="1:33" x14ac:dyDescent="0.3">
      <c r="A65" t="s">
        <v>698</v>
      </c>
      <c r="B65" t="s">
        <v>246</v>
      </c>
      <c r="C65" s="1">
        <v>45811.011111111111</v>
      </c>
      <c r="D65" t="s">
        <v>11</v>
      </c>
      <c r="E65" t="s">
        <v>171</v>
      </c>
      <c r="F65">
        <v>643</v>
      </c>
      <c r="G65">
        <v>1249.6300000000001</v>
      </c>
      <c r="H65">
        <v>401.76</v>
      </c>
      <c r="I65" t="s">
        <v>148</v>
      </c>
      <c r="J65" t="s">
        <v>76</v>
      </c>
      <c r="L65" s="1">
        <v>45758</v>
      </c>
      <c r="N65">
        <f>IF(Table1[[#This Row],[side]]="BUY", Table1[[#This Row],[quantity]],-Table1[[#This Row],[quantity]])</f>
        <v>-643</v>
      </c>
      <c r="O65" t="s">
        <v>171</v>
      </c>
      <c r="P65">
        <f>IF(Table1[[#This Row],[side]]="Sell",Table1[[#This Row],[price]],"0")</f>
        <v>1249.6300000000001</v>
      </c>
      <c r="Q65">
        <f>SUMIFS(Table1[quantity],Table1[company_id],Table8[[#This Row],[COMPANY_ID]],Table1[side],"BUY")-SUMIFS(Table1[quantity],Table1[company_id],Table8[[#This Row],[COMPANY_ID]],Table1[side],"SELL")</f>
        <v>0</v>
      </c>
      <c r="R65">
        <f>Table1[[#This Row],[Column2]]-Table1[[#This Row],[Buy-sell]]</f>
        <v>1249.6300000000001</v>
      </c>
      <c r="S65" t="str">
        <f>IF(Table1[[#This Row],[Sell-Buy]]&gt;0,"Profit","Loss")</f>
        <v>Profit</v>
      </c>
      <c r="T65" s="4" t="s">
        <v>267</v>
      </c>
      <c r="U65" s="8">
        <f>SUMIFS(Table1[price],Table1[order_id],Table15[[#This Row],[order_id]],Table1[side],"BUY")*Table15[[#This Row],[Buy_Quantity]]</f>
        <v>543770.46</v>
      </c>
      <c r="V65" s="8">
        <f>SUMIFS(Table1[price],Table1[order_id],Table15[[#This Row],[order_id]],Table1[side],"SELL")</f>
        <v>0</v>
      </c>
      <c r="W65" s="8">
        <f>Table15[[#This Row],[sell]]-Table15[[#This Row],[Buy]]</f>
        <v>-518757018.83999997</v>
      </c>
      <c r="X65" s="8">
        <f>IF(Table15[[#This Row],[Profit]]&gt;0,1,0)</f>
        <v>0</v>
      </c>
      <c r="Y65" s="5" t="str">
        <f>IF(Table15[[#This Row],[is Profit]]=1,"Profit","Loss")</f>
        <v>Loss</v>
      </c>
      <c r="Z65" s="5">
        <f>SUMIFS(Table1[quantity],Table1[order_id],Table15[[#This Row],[order_id]],Table1[side],"SELL")</f>
        <v>0</v>
      </c>
      <c r="AA65" s="5">
        <f>Table15[[#This Row],[Buy_value]]*Table15[[#This Row],[Buy_Quantity]]</f>
        <v>518757018.83999997</v>
      </c>
      <c r="AB65" s="5">
        <f>Table15[[#This Row],[Sell_Value]]*Table15[[#This Row],[Sell_Quantity]]</f>
        <v>0</v>
      </c>
      <c r="AC65" s="5">
        <f>SUMIFS(Table1[quantity],Table1[order_id],Table15[[#This Row],[order_id]],Table1[side],"BUY")</f>
        <v>954</v>
      </c>
      <c r="AE65" s="10" t="s">
        <v>998</v>
      </c>
      <c r="AF65" s="10" t="str">
        <f>IF(Table1[[#This Row],[Sell-Buy]]&gt;0,"Profit","Loss")</f>
        <v>Profit</v>
      </c>
      <c r="AG65">
        <f>Table1[[#This Row],[Column2]]-Table1[[#This Row],[Buy-sell]]</f>
        <v>1249.6300000000001</v>
      </c>
    </row>
    <row r="66" spans="1:33" x14ac:dyDescent="0.3">
      <c r="A66" t="s">
        <v>684</v>
      </c>
      <c r="B66" t="s">
        <v>231</v>
      </c>
      <c r="C66" s="1">
        <v>45778.032638888886</v>
      </c>
      <c r="D66" t="s">
        <v>11</v>
      </c>
      <c r="E66" t="s">
        <v>166</v>
      </c>
      <c r="F66">
        <v>151</v>
      </c>
      <c r="G66">
        <v>1209.0999999999999</v>
      </c>
      <c r="H66">
        <v>91.29</v>
      </c>
      <c r="I66" t="s">
        <v>91</v>
      </c>
      <c r="J66" t="s">
        <v>49</v>
      </c>
      <c r="L66" s="1">
        <v>45810</v>
      </c>
      <c r="M66" t="s">
        <v>166</v>
      </c>
      <c r="N66">
        <f>IF(Table1[[#This Row],[side]]="BUY", Table1[[#This Row],[quantity]],-Table1[[#This Row],[quantity]])</f>
        <v>151</v>
      </c>
      <c r="P66" t="str">
        <f>IF(Table1[[#This Row],[side]]="Sell",Table1[[#This Row],[price]],"0")</f>
        <v>0</v>
      </c>
      <c r="Q66">
        <f>SUMIFS(Table1[quantity],Table1[company_id],Table8[[#This Row],[COMPANY_ID]],Table1[side],"BUY")-SUMIFS(Table1[quantity],Table1[company_id],Table8[[#This Row],[COMPANY_ID]],Table1[side],"SELL")</f>
        <v>0</v>
      </c>
      <c r="R66">
        <f>Table1[[#This Row],[Column2]]-Table1[[#This Row],[Buy-sell]]</f>
        <v>0</v>
      </c>
      <c r="S66" t="str">
        <f>IF(Table1[[#This Row],[Sell-Buy]]&gt;0,"Profit","Loss")</f>
        <v>Loss</v>
      </c>
      <c r="T66" s="5" t="s">
        <v>270</v>
      </c>
      <c r="U66" s="8">
        <f>SUMIFS(Table1[price],Table1[order_id],Table15[[#This Row],[order_id]],Table1[side],"BUY")*Table15[[#This Row],[Buy_Quantity]]</f>
        <v>292179</v>
      </c>
      <c r="V66" s="8">
        <f>SUMIFS(Table1[price],Table1[order_id],Table15[[#This Row],[order_id]],Table1[side],"SELL")</f>
        <v>2714.2400000000002</v>
      </c>
      <c r="W66" s="8">
        <f>Table15[[#This Row],[sell]]-Table15[[#This Row],[Buy]]</f>
        <v>-80629246.879999995</v>
      </c>
      <c r="X66" s="8">
        <f>IF(Table15[[#This Row],[Profit]]&gt;0,1,0)</f>
        <v>0</v>
      </c>
      <c r="Y66" s="5" t="str">
        <f>IF(Table15[[#This Row],[is Profit]]=1,"Profit","Loss")</f>
        <v>Loss</v>
      </c>
      <c r="Z66" s="5">
        <f>SUMIFS(Table1[quantity],Table1[order_id],Table15[[#This Row],[order_id]],Table1[side],"SELL")</f>
        <v>2588</v>
      </c>
      <c r="AA66" s="5">
        <f>Table15[[#This Row],[Buy_value]]*Table15[[#This Row],[Buy_Quantity]]</f>
        <v>87653700</v>
      </c>
      <c r="AB66" s="5">
        <f>Table15[[#This Row],[Sell_Value]]*Table15[[#This Row],[Sell_Quantity]]</f>
        <v>7024453.120000001</v>
      </c>
      <c r="AC66" s="5">
        <f>SUMIFS(Table1[quantity],Table1[order_id],Table15[[#This Row],[order_id]],Table1[side],"BUY")</f>
        <v>300</v>
      </c>
      <c r="AE66" s="9" t="s">
        <v>798</v>
      </c>
      <c r="AF66" s="10" t="str">
        <f>IF(Table1[[#This Row],[Sell-Buy]]&gt;0,"Profit","Loss")</f>
        <v>Loss</v>
      </c>
      <c r="AG66">
        <f>Table1[[#This Row],[Column2]]-Table1[[#This Row],[Buy-sell]]</f>
        <v>0</v>
      </c>
    </row>
    <row r="67" spans="1:33" x14ac:dyDescent="0.3">
      <c r="A67" t="s">
        <v>688</v>
      </c>
      <c r="B67" t="s">
        <v>361</v>
      </c>
      <c r="C67" s="1">
        <v>45733.037499999999</v>
      </c>
      <c r="D67" t="s">
        <v>11</v>
      </c>
      <c r="E67" t="s">
        <v>166</v>
      </c>
      <c r="F67">
        <v>353</v>
      </c>
      <c r="G67">
        <v>1335.42</v>
      </c>
      <c r="H67">
        <v>235.7</v>
      </c>
      <c r="I67" t="s">
        <v>112</v>
      </c>
      <c r="J67" t="s">
        <v>70</v>
      </c>
      <c r="L67" s="1">
        <v>45684</v>
      </c>
      <c r="M67" t="s">
        <v>166</v>
      </c>
      <c r="N67">
        <f>IF(Table1[[#This Row],[side]]="BUY", Table1[[#This Row],[quantity]],-Table1[[#This Row],[quantity]])</f>
        <v>353</v>
      </c>
      <c r="P67" t="str">
        <f>IF(Table1[[#This Row],[side]]="Sell",Table1[[#This Row],[price]],"0")</f>
        <v>0</v>
      </c>
      <c r="Q67">
        <f>SUMIFS(Table1[quantity],Table1[company_id],Table8[[#This Row],[COMPANY_ID]],Table1[side],"BUY")-SUMIFS(Table1[quantity],Table1[company_id],Table8[[#This Row],[COMPANY_ID]],Table1[side],"SELL")</f>
        <v>0</v>
      </c>
      <c r="R67">
        <f>Table1[[#This Row],[Column2]]-Table1[[#This Row],[Buy-sell]]</f>
        <v>0</v>
      </c>
      <c r="S67" t="str">
        <f>IF(Table1[[#This Row],[Sell-Buy]]&gt;0,"Profit","Loss")</f>
        <v>Loss</v>
      </c>
      <c r="T67" s="4" t="s">
        <v>271</v>
      </c>
      <c r="U67" s="8">
        <f>SUMIFS(Table1[price],Table1[order_id],Table15[[#This Row],[order_id]],Table1[side],"BUY")*Table15[[#This Row],[Buy_Quantity]]</f>
        <v>0</v>
      </c>
      <c r="V67" s="8">
        <f>SUMIFS(Table1[price],Table1[order_id],Table15[[#This Row],[order_id]],Table1[side],"SELL")</f>
        <v>2159.0500000000002</v>
      </c>
      <c r="W67" s="8">
        <f>Table15[[#This Row],[sell]]-Table15[[#This Row],[Buy]]</f>
        <v>1021230.6500000001</v>
      </c>
      <c r="X67" s="8">
        <f>IF(Table15[[#This Row],[Profit]]&gt;0,1,0)</f>
        <v>1</v>
      </c>
      <c r="Y67" s="5" t="str">
        <f>IF(Table15[[#This Row],[is Profit]]=1,"Profit","Loss")</f>
        <v>Profit</v>
      </c>
      <c r="Z67" s="5">
        <f>SUMIFS(Table1[quantity],Table1[order_id],Table15[[#This Row],[order_id]],Table1[side],"SELL")</f>
        <v>473</v>
      </c>
      <c r="AA67" s="5">
        <f>Table15[[#This Row],[Buy_value]]*Table15[[#This Row],[Buy_Quantity]]</f>
        <v>0</v>
      </c>
      <c r="AB67" s="5">
        <f>Table15[[#This Row],[Sell_Value]]*Table15[[#This Row],[Sell_Quantity]]</f>
        <v>1021230.6500000001</v>
      </c>
      <c r="AC67" s="5">
        <f>SUMIFS(Table1[quantity],Table1[order_id],Table15[[#This Row],[order_id]],Table1[side],"BUY")</f>
        <v>0</v>
      </c>
      <c r="AE67" s="10" t="s">
        <v>833</v>
      </c>
      <c r="AF67" s="10" t="str">
        <f>IF(Table1[[#This Row],[Sell-Buy]]&gt;0,"Profit","Loss")</f>
        <v>Loss</v>
      </c>
      <c r="AG67">
        <f>Table1[[#This Row],[Column2]]-Table1[[#This Row],[Buy-sell]]</f>
        <v>0</v>
      </c>
    </row>
    <row r="68" spans="1:33" x14ac:dyDescent="0.3">
      <c r="A68" t="s">
        <v>726</v>
      </c>
      <c r="B68" t="s">
        <v>556</v>
      </c>
      <c r="C68" s="1">
        <v>45821.013194444444</v>
      </c>
      <c r="D68" t="s">
        <v>11</v>
      </c>
      <c r="E68" t="s">
        <v>171</v>
      </c>
      <c r="F68">
        <v>859</v>
      </c>
      <c r="G68">
        <v>1285.55</v>
      </c>
      <c r="H68">
        <v>552.14</v>
      </c>
      <c r="I68" t="s">
        <v>144</v>
      </c>
      <c r="J68" t="s">
        <v>52</v>
      </c>
      <c r="L68" s="1">
        <v>45832</v>
      </c>
      <c r="N68">
        <f>IF(Table1[[#This Row],[side]]="BUY", Table1[[#This Row],[quantity]],-Table1[[#This Row],[quantity]])</f>
        <v>-859</v>
      </c>
      <c r="O68" t="s">
        <v>171</v>
      </c>
      <c r="P68">
        <f>IF(Table1[[#This Row],[side]]="Sell",Table1[[#This Row],[price]],"0")</f>
        <v>1285.55</v>
      </c>
      <c r="Q68">
        <f>SUMIFS(Table1[quantity],Table1[company_id],Table8[[#This Row],[COMPANY_ID]],Table1[side],"BUY")-SUMIFS(Table1[quantity],Table1[company_id],Table8[[#This Row],[COMPANY_ID]],Table1[side],"SELL")</f>
        <v>0</v>
      </c>
      <c r="R68">
        <f>Table1[[#This Row],[Column2]]-Table1[[#This Row],[Buy-sell]]</f>
        <v>1285.55</v>
      </c>
      <c r="S68" t="str">
        <f>IF(Table1[[#This Row],[Sell-Buy]]&gt;0,"Profit","Loss")</f>
        <v>Profit</v>
      </c>
      <c r="T68" s="5" t="s">
        <v>272</v>
      </c>
      <c r="U68" s="8">
        <f>SUMIFS(Table1[price],Table1[order_id],Table15[[#This Row],[order_id]],Table1[side],"BUY")*Table15[[#This Row],[Buy_Quantity]]</f>
        <v>0</v>
      </c>
      <c r="V68" s="8">
        <f>SUMIFS(Table1[price],Table1[order_id],Table15[[#This Row],[order_id]],Table1[side],"SELL")</f>
        <v>625.25</v>
      </c>
      <c r="W68" s="8">
        <f>Table15[[#This Row],[sell]]-Table15[[#This Row],[Buy]]</f>
        <v>548969.5</v>
      </c>
      <c r="X68" s="8">
        <f>IF(Table15[[#This Row],[Profit]]&gt;0,1,0)</f>
        <v>1</v>
      </c>
      <c r="Y68" s="5" t="str">
        <f>IF(Table15[[#This Row],[is Profit]]=1,"Profit","Loss")</f>
        <v>Profit</v>
      </c>
      <c r="Z68" s="5">
        <f>SUMIFS(Table1[quantity],Table1[order_id],Table15[[#This Row],[order_id]],Table1[side],"SELL")</f>
        <v>878</v>
      </c>
      <c r="AA68" s="5">
        <f>Table15[[#This Row],[Buy_value]]*Table15[[#This Row],[Buy_Quantity]]</f>
        <v>0</v>
      </c>
      <c r="AB68" s="5">
        <f>Table15[[#This Row],[Sell_Value]]*Table15[[#This Row],[Sell_Quantity]]</f>
        <v>548969.5</v>
      </c>
      <c r="AC68" s="5">
        <f>SUMIFS(Table1[quantity],Table1[order_id],Table15[[#This Row],[order_id]],Table1[side],"BUY")</f>
        <v>0</v>
      </c>
      <c r="AE68" s="9" t="s">
        <v>890</v>
      </c>
      <c r="AF68" s="10" t="str">
        <f>IF(Table1[[#This Row],[Sell-Buy]]&gt;0,"Profit","Loss")</f>
        <v>Profit</v>
      </c>
      <c r="AG68">
        <f>Table1[[#This Row],[Column2]]-Table1[[#This Row],[Buy-sell]]</f>
        <v>1285.55</v>
      </c>
    </row>
    <row r="69" spans="1:33" x14ac:dyDescent="0.3">
      <c r="A69" t="s">
        <v>716</v>
      </c>
      <c r="B69" t="s">
        <v>178</v>
      </c>
      <c r="C69" s="1">
        <v>45715.008333333331</v>
      </c>
      <c r="D69" t="s">
        <v>11</v>
      </c>
      <c r="E69" t="s">
        <v>166</v>
      </c>
      <c r="F69">
        <v>62</v>
      </c>
      <c r="G69">
        <v>1264.82</v>
      </c>
      <c r="H69">
        <v>39.21</v>
      </c>
      <c r="I69" t="s">
        <v>130</v>
      </c>
      <c r="J69" t="s">
        <v>67</v>
      </c>
      <c r="L69" s="1">
        <v>45705</v>
      </c>
      <c r="M69" t="s">
        <v>166</v>
      </c>
      <c r="N69">
        <f>IF(Table1[[#This Row],[side]]="BUY", Table1[[#This Row],[quantity]],-Table1[[#This Row],[quantity]])</f>
        <v>62</v>
      </c>
      <c r="P69" t="str">
        <f>IF(Table1[[#This Row],[side]]="Sell",Table1[[#This Row],[price]],"0")</f>
        <v>0</v>
      </c>
      <c r="Q69">
        <f>SUMIFS(Table1[quantity],Table1[company_id],Table8[[#This Row],[COMPANY_ID]],Table1[side],"BUY")-SUMIFS(Table1[quantity],Table1[company_id],Table8[[#This Row],[COMPANY_ID]],Table1[side],"SELL")</f>
        <v>0</v>
      </c>
      <c r="R69">
        <f>Table1[[#This Row],[Column2]]-Table1[[#This Row],[Buy-sell]]</f>
        <v>0</v>
      </c>
      <c r="S69" t="str">
        <f>IF(Table1[[#This Row],[Sell-Buy]]&gt;0,"Profit","Loss")</f>
        <v>Loss</v>
      </c>
      <c r="T69" s="5" t="s">
        <v>273</v>
      </c>
      <c r="U69" s="8">
        <f>SUMIFS(Table1[price],Table1[order_id],Table15[[#This Row],[order_id]],Table1[side],"BUY")*Table15[[#This Row],[Buy_Quantity]]</f>
        <v>2391123.54</v>
      </c>
      <c r="V69" s="8">
        <f>SUMIFS(Table1[price],Table1[order_id],Table15[[#This Row],[order_id]],Table1[side],"SELL")</f>
        <v>0</v>
      </c>
      <c r="W69" s="8">
        <f>Table15[[#This Row],[sell]]-Table15[[#This Row],[Buy]]</f>
        <v>-2424599269.5599999</v>
      </c>
      <c r="X69" s="8">
        <f>IF(Table15[[#This Row],[Profit]]&gt;0,1,0)</f>
        <v>0</v>
      </c>
      <c r="Y69" s="5" t="str">
        <f>IF(Table15[[#This Row],[is Profit]]=1,"Profit","Loss")</f>
        <v>Loss</v>
      </c>
      <c r="Z69" s="5">
        <f>SUMIFS(Table1[quantity],Table1[order_id],Table15[[#This Row],[order_id]],Table1[side],"SELL")</f>
        <v>0</v>
      </c>
      <c r="AA69" s="5">
        <f>Table15[[#This Row],[Buy_value]]*Table15[[#This Row],[Buy_Quantity]]</f>
        <v>2424599269.5599999</v>
      </c>
      <c r="AB69" s="5">
        <f>Table15[[#This Row],[Sell_Value]]*Table15[[#This Row],[Sell_Quantity]]</f>
        <v>0</v>
      </c>
      <c r="AC69" s="5">
        <f>SUMIFS(Table1[quantity],Table1[order_id],Table15[[#This Row],[order_id]],Table1[side],"BUY")</f>
        <v>1014</v>
      </c>
      <c r="AE69" s="10" t="s">
        <v>1144</v>
      </c>
      <c r="AF69" s="10" t="str">
        <f>IF(Table1[[#This Row],[Sell-Buy]]&gt;0,"Profit","Loss")</f>
        <v>Loss</v>
      </c>
      <c r="AG69">
        <f>Table1[[#This Row],[Column2]]-Table1[[#This Row],[Buy-sell]]</f>
        <v>0</v>
      </c>
    </row>
    <row r="70" spans="1:33" x14ac:dyDescent="0.3">
      <c r="A70" t="s">
        <v>780</v>
      </c>
      <c r="B70" t="s">
        <v>436</v>
      </c>
      <c r="C70" s="1">
        <v>45736.01458333333</v>
      </c>
      <c r="D70" t="s">
        <v>11</v>
      </c>
      <c r="E70" t="s">
        <v>171</v>
      </c>
      <c r="F70">
        <v>949</v>
      </c>
      <c r="G70">
        <v>1302.05</v>
      </c>
      <c r="H70">
        <v>617.82000000000005</v>
      </c>
      <c r="I70" t="s">
        <v>88</v>
      </c>
      <c r="J70" t="s">
        <v>55</v>
      </c>
      <c r="L70" s="1">
        <v>45728</v>
      </c>
      <c r="N70">
        <f>IF(Table1[[#This Row],[side]]="BUY", Table1[[#This Row],[quantity]],-Table1[[#This Row],[quantity]])</f>
        <v>-949</v>
      </c>
      <c r="O70" t="s">
        <v>171</v>
      </c>
      <c r="P70">
        <f>IF(Table1[[#This Row],[side]]="Sell",Table1[[#This Row],[price]],"0")</f>
        <v>1302.05</v>
      </c>
      <c r="Q70">
        <f>SUMIFS(Table1[quantity],Table1[company_id],Table8[[#This Row],[COMPANY_ID]],Table1[side],"BUY")-SUMIFS(Table1[quantity],Table1[company_id],Table8[[#This Row],[COMPANY_ID]],Table1[side],"SELL")</f>
        <v>0</v>
      </c>
      <c r="R70">
        <f>Table1[[#This Row],[Column2]]-Table1[[#This Row],[Buy-sell]]</f>
        <v>1302.05</v>
      </c>
      <c r="S70" t="str">
        <f>IF(Table1[[#This Row],[Sell-Buy]]&gt;0,"Profit","Loss")</f>
        <v>Profit</v>
      </c>
      <c r="T70" s="5" t="s">
        <v>274</v>
      </c>
      <c r="U70" s="8">
        <f>SUMIFS(Table1[price],Table1[order_id],Table15[[#This Row],[order_id]],Table1[side],"BUY")*Table15[[#This Row],[Buy_Quantity]]</f>
        <v>1094499.8999999999</v>
      </c>
      <c r="V70" s="8">
        <f>SUMIFS(Table1[price],Table1[order_id],Table15[[#This Row],[order_id]],Table1[side],"SELL")</f>
        <v>3491.49</v>
      </c>
      <c r="W70" s="8">
        <f>Table15[[#This Row],[sell]]-Table15[[#This Row],[Buy]]</f>
        <v>-910690090.67999995</v>
      </c>
      <c r="X70" s="8">
        <f>IF(Table15[[#This Row],[Profit]]&gt;0,1,0)</f>
        <v>0</v>
      </c>
      <c r="Y70" s="5" t="str">
        <f>IF(Table15[[#This Row],[is Profit]]=1,"Profit","Loss")</f>
        <v>Loss</v>
      </c>
      <c r="Z70" s="5">
        <f>SUMIFS(Table1[quantity],Table1[order_id],Table15[[#This Row],[order_id]],Table1[side],"SELL")</f>
        <v>608</v>
      </c>
      <c r="AA70" s="5">
        <f>Table15[[#This Row],[Buy_value]]*Table15[[#This Row],[Buy_Quantity]]</f>
        <v>912812916.5999999</v>
      </c>
      <c r="AB70" s="5">
        <f>Table15[[#This Row],[Sell_Value]]*Table15[[#This Row],[Sell_Quantity]]</f>
        <v>2122825.92</v>
      </c>
      <c r="AC70" s="5">
        <f>SUMIFS(Table1[quantity],Table1[order_id],Table15[[#This Row],[order_id]],Table1[side],"BUY")</f>
        <v>834</v>
      </c>
      <c r="AE70" s="9" t="s">
        <v>797</v>
      </c>
      <c r="AF70" s="10" t="str">
        <f>IF(Table1[[#This Row],[Sell-Buy]]&gt;0,"Profit","Loss")</f>
        <v>Profit</v>
      </c>
      <c r="AG70">
        <f>Table1[[#This Row],[Column2]]-Table1[[#This Row],[Buy-sell]]</f>
        <v>1302.05</v>
      </c>
    </row>
    <row r="71" spans="1:33" x14ac:dyDescent="0.3">
      <c r="A71" t="s">
        <v>793</v>
      </c>
      <c r="B71" t="s">
        <v>501</v>
      </c>
      <c r="C71" s="1">
        <v>45791.024305555555</v>
      </c>
      <c r="D71" t="s">
        <v>11</v>
      </c>
      <c r="E71" t="s">
        <v>171</v>
      </c>
      <c r="F71">
        <v>898</v>
      </c>
      <c r="G71">
        <v>1232.26</v>
      </c>
      <c r="H71">
        <v>553.28</v>
      </c>
      <c r="I71" t="s">
        <v>132</v>
      </c>
      <c r="J71" t="s">
        <v>55</v>
      </c>
      <c r="L71" s="1">
        <v>45716</v>
      </c>
      <c r="N71">
        <f>IF(Table1[[#This Row],[side]]="BUY", Table1[[#This Row],[quantity]],-Table1[[#This Row],[quantity]])</f>
        <v>-898</v>
      </c>
      <c r="O71" t="s">
        <v>171</v>
      </c>
      <c r="P71">
        <f>IF(Table1[[#This Row],[side]]="Sell",Table1[[#This Row],[price]],"0")</f>
        <v>1232.26</v>
      </c>
      <c r="Q71">
        <f>SUMIFS(Table1[quantity],Table1[company_id],Table8[[#This Row],[COMPANY_ID]],Table1[side],"BUY")-SUMIFS(Table1[quantity],Table1[company_id],Table8[[#This Row],[COMPANY_ID]],Table1[side],"SELL")</f>
        <v>0</v>
      </c>
      <c r="R71">
        <f>Table1[[#This Row],[Column2]]-Table1[[#This Row],[Buy-sell]]</f>
        <v>1232.26</v>
      </c>
      <c r="S71" t="str">
        <f>IF(Table1[[#This Row],[Sell-Buy]]&gt;0,"Profit","Loss")</f>
        <v>Profit</v>
      </c>
      <c r="T71" s="4" t="s">
        <v>275</v>
      </c>
      <c r="U71" s="8">
        <f>SUMIFS(Table1[price],Table1[order_id],Table15[[#This Row],[order_id]],Table1[side],"BUY")*Table15[[#This Row],[Buy_Quantity]]</f>
        <v>263654.82</v>
      </c>
      <c r="V71" s="8">
        <f>SUMIFS(Table1[price],Table1[order_id],Table15[[#This Row],[order_id]],Table1[side],"SELL")</f>
        <v>1582.66</v>
      </c>
      <c r="W71" s="8">
        <f>Table15[[#This Row],[sell]]-Table15[[#This Row],[Buy]]</f>
        <v>-110664290.73999999</v>
      </c>
      <c r="X71" s="8">
        <f>IF(Table15[[#This Row],[Profit]]&gt;0,1,0)</f>
        <v>0</v>
      </c>
      <c r="Y71" s="5" t="str">
        <f>IF(Table15[[#This Row],[is Profit]]=1,"Profit","Loss")</f>
        <v>Loss</v>
      </c>
      <c r="Z71" s="5">
        <f>SUMIFS(Table1[quantity],Table1[order_id],Table15[[#This Row],[order_id]],Table1[side],"SELL")</f>
        <v>1544</v>
      </c>
      <c r="AA71" s="5">
        <f>Table15[[#This Row],[Buy_value]]*Table15[[#This Row],[Buy_Quantity]]</f>
        <v>113107917.78</v>
      </c>
      <c r="AB71" s="5">
        <f>Table15[[#This Row],[Sell_Value]]*Table15[[#This Row],[Sell_Quantity]]</f>
        <v>2443627.04</v>
      </c>
      <c r="AC71" s="5">
        <f>SUMIFS(Table1[quantity],Table1[order_id],Table15[[#This Row],[order_id]],Table1[side],"BUY")</f>
        <v>429</v>
      </c>
      <c r="AE71" s="10" t="s">
        <v>935</v>
      </c>
      <c r="AF71" s="10" t="str">
        <f>IF(Table1[[#This Row],[Sell-Buy]]&gt;0,"Profit","Loss")</f>
        <v>Profit</v>
      </c>
      <c r="AG71">
        <f>Table1[[#This Row],[Column2]]-Table1[[#This Row],[Buy-sell]]</f>
        <v>1232.26</v>
      </c>
    </row>
    <row r="72" spans="1:33" x14ac:dyDescent="0.3">
      <c r="A72" t="s">
        <v>797</v>
      </c>
      <c r="B72" t="s">
        <v>240</v>
      </c>
      <c r="C72" s="1">
        <v>45678.027083333334</v>
      </c>
      <c r="D72" t="s">
        <v>11</v>
      </c>
      <c r="E72" t="s">
        <v>171</v>
      </c>
      <c r="F72">
        <v>997</v>
      </c>
      <c r="G72">
        <v>1238.8399999999999</v>
      </c>
      <c r="H72">
        <v>617.55999999999995</v>
      </c>
      <c r="I72" t="s">
        <v>94</v>
      </c>
      <c r="J72" t="s">
        <v>61</v>
      </c>
      <c r="L72" s="1">
        <v>45719</v>
      </c>
      <c r="N72">
        <f>IF(Table1[[#This Row],[side]]="BUY", Table1[[#This Row],[quantity]],-Table1[[#This Row],[quantity]])</f>
        <v>-997</v>
      </c>
      <c r="O72" t="s">
        <v>171</v>
      </c>
      <c r="P72">
        <f>IF(Table1[[#This Row],[side]]="Sell",Table1[[#This Row],[price]],"0")</f>
        <v>1238.8399999999999</v>
      </c>
      <c r="Q72">
        <f>SUMIFS(Table1[quantity],Table1[company_id],Table8[[#This Row],[COMPANY_ID]],Table1[side],"BUY")-SUMIFS(Table1[quantity],Table1[company_id],Table8[[#This Row],[COMPANY_ID]],Table1[side],"SELL")</f>
        <v>0</v>
      </c>
      <c r="R72">
        <f>Table1[[#This Row],[Column2]]-Table1[[#This Row],[Buy-sell]]</f>
        <v>1238.8399999999999</v>
      </c>
      <c r="S72" t="str">
        <f>IF(Table1[[#This Row],[Sell-Buy]]&gt;0,"Profit","Loss")</f>
        <v>Profit</v>
      </c>
      <c r="T72" s="4" t="s">
        <v>277</v>
      </c>
      <c r="U72" s="8">
        <f>SUMIFS(Table1[price],Table1[order_id],Table15[[#This Row],[order_id]],Table1[side],"BUY")*Table15[[#This Row],[Buy_Quantity]]</f>
        <v>0</v>
      </c>
      <c r="V72" s="8">
        <f>SUMIFS(Table1[price],Table1[order_id],Table15[[#This Row],[order_id]],Table1[side],"SELL")</f>
        <v>2326.09</v>
      </c>
      <c r="W72" s="8">
        <f>Table15[[#This Row],[sell]]-Table15[[#This Row],[Buy]]</f>
        <v>3014612.64</v>
      </c>
      <c r="X72" s="8">
        <f>IF(Table15[[#This Row],[Profit]]&gt;0,1,0)</f>
        <v>1</v>
      </c>
      <c r="Y72" s="5" t="str">
        <f>IF(Table15[[#This Row],[is Profit]]=1,"Profit","Loss")</f>
        <v>Profit</v>
      </c>
      <c r="Z72" s="5">
        <f>SUMIFS(Table1[quantity],Table1[order_id],Table15[[#This Row],[order_id]],Table1[side],"SELL")</f>
        <v>1296</v>
      </c>
      <c r="AA72" s="5">
        <f>Table15[[#This Row],[Buy_value]]*Table15[[#This Row],[Buy_Quantity]]</f>
        <v>0</v>
      </c>
      <c r="AB72" s="5">
        <f>Table15[[#This Row],[Sell_Value]]*Table15[[#This Row],[Sell_Quantity]]</f>
        <v>3014612.64</v>
      </c>
      <c r="AC72" s="5">
        <f>SUMIFS(Table1[quantity],Table1[order_id],Table15[[#This Row],[order_id]],Table1[side],"BUY")</f>
        <v>0</v>
      </c>
      <c r="AE72" s="9" t="s">
        <v>1081</v>
      </c>
      <c r="AF72" s="10" t="str">
        <f>IF(Table1[[#This Row],[Sell-Buy]]&gt;0,"Profit","Loss")</f>
        <v>Profit</v>
      </c>
      <c r="AG72">
        <f>Table1[[#This Row],[Column2]]-Table1[[#This Row],[Buy-sell]]</f>
        <v>1238.8399999999999</v>
      </c>
    </row>
    <row r="73" spans="1:33" x14ac:dyDescent="0.3">
      <c r="A73" t="s">
        <v>758</v>
      </c>
      <c r="B73" t="s">
        <v>624</v>
      </c>
      <c r="C73" s="1">
        <v>45735.040972222225</v>
      </c>
      <c r="D73" t="s">
        <v>11</v>
      </c>
      <c r="E73" t="s">
        <v>166</v>
      </c>
      <c r="F73">
        <v>717</v>
      </c>
      <c r="G73">
        <v>1310.5</v>
      </c>
      <c r="H73">
        <v>469.81</v>
      </c>
      <c r="I73" t="s">
        <v>122</v>
      </c>
      <c r="J73" t="s">
        <v>73</v>
      </c>
      <c r="L73" s="1">
        <v>45744</v>
      </c>
      <c r="M73" t="s">
        <v>166</v>
      </c>
      <c r="N73">
        <f>IF(Table1[[#This Row],[side]]="BUY", Table1[[#This Row],[quantity]],-Table1[[#This Row],[quantity]])</f>
        <v>717</v>
      </c>
      <c r="P73" t="str">
        <f>IF(Table1[[#This Row],[side]]="Sell",Table1[[#This Row],[price]],"0")</f>
        <v>0</v>
      </c>
      <c r="Q73">
        <f>SUMIFS(Table1[quantity],Table1[company_id],Table8[[#This Row],[COMPANY_ID]],Table1[side],"BUY")-SUMIFS(Table1[quantity],Table1[company_id],Table8[[#This Row],[COMPANY_ID]],Table1[side],"SELL")</f>
        <v>0</v>
      </c>
      <c r="R73">
        <f>Table1[[#This Row],[Column2]]-Table1[[#This Row],[Buy-sell]]</f>
        <v>0</v>
      </c>
      <c r="S73" t="str">
        <f>IF(Table1[[#This Row],[Sell-Buy]]&gt;0,"Profit","Loss")</f>
        <v>Loss</v>
      </c>
      <c r="T73" s="5" t="s">
        <v>280</v>
      </c>
      <c r="U73" s="8">
        <f>SUMIFS(Table1[price],Table1[order_id],Table15[[#This Row],[order_id]],Table1[side],"BUY")*Table15[[#This Row],[Buy_Quantity]]</f>
        <v>0</v>
      </c>
      <c r="V73" s="8">
        <f>SUMIFS(Table1[price],Table1[order_id],Table15[[#This Row],[order_id]],Table1[side],"SELL")</f>
        <v>630.6</v>
      </c>
      <c r="W73" s="8">
        <f>Table15[[#This Row],[sell]]-Table15[[#This Row],[Buy]]</f>
        <v>602223</v>
      </c>
      <c r="X73" s="8">
        <f>IF(Table15[[#This Row],[Profit]]&gt;0,1,0)</f>
        <v>1</v>
      </c>
      <c r="Y73" s="5" t="str">
        <f>IF(Table15[[#This Row],[is Profit]]=1,"Profit","Loss")</f>
        <v>Profit</v>
      </c>
      <c r="Z73" s="5">
        <f>SUMIFS(Table1[quantity],Table1[order_id],Table15[[#This Row],[order_id]],Table1[side],"SELL")</f>
        <v>955</v>
      </c>
      <c r="AA73" s="5">
        <f>Table15[[#This Row],[Buy_value]]*Table15[[#This Row],[Buy_Quantity]]</f>
        <v>0</v>
      </c>
      <c r="AB73" s="5">
        <f>Table15[[#This Row],[Sell_Value]]*Table15[[#This Row],[Sell_Quantity]]</f>
        <v>602223</v>
      </c>
      <c r="AC73" s="5">
        <f>SUMIFS(Table1[quantity],Table1[order_id],Table15[[#This Row],[order_id]],Table1[side],"BUY")</f>
        <v>0</v>
      </c>
      <c r="AE73" s="10" t="s">
        <v>768</v>
      </c>
      <c r="AF73" s="10" t="str">
        <f>IF(Table1[[#This Row],[Sell-Buy]]&gt;0,"Profit","Loss")</f>
        <v>Loss</v>
      </c>
      <c r="AG73">
        <f>Table1[[#This Row],[Column2]]-Table1[[#This Row],[Buy-sell]]</f>
        <v>0</v>
      </c>
    </row>
    <row r="74" spans="1:33" x14ac:dyDescent="0.3">
      <c r="A74" t="s">
        <v>868</v>
      </c>
      <c r="B74" t="s">
        <v>570</v>
      </c>
      <c r="C74" s="1">
        <v>45790.035416666666</v>
      </c>
      <c r="D74" t="s">
        <v>11</v>
      </c>
      <c r="E74" t="s">
        <v>171</v>
      </c>
      <c r="F74">
        <v>149</v>
      </c>
      <c r="G74">
        <v>1233.9100000000001</v>
      </c>
      <c r="H74">
        <v>91.93</v>
      </c>
      <c r="I74" t="s">
        <v>102</v>
      </c>
      <c r="J74" t="s">
        <v>61</v>
      </c>
      <c r="L74" s="1">
        <v>45673</v>
      </c>
      <c r="N74">
        <f>IF(Table1[[#This Row],[side]]="BUY", Table1[[#This Row],[quantity]],-Table1[[#This Row],[quantity]])</f>
        <v>-149</v>
      </c>
      <c r="O74" t="s">
        <v>171</v>
      </c>
      <c r="P74">
        <f>IF(Table1[[#This Row],[side]]="Sell",Table1[[#This Row],[price]],"0")</f>
        <v>1233.9100000000001</v>
      </c>
      <c r="Q74">
        <f>SUMIFS(Table1[quantity],Table1[company_id],Table8[[#This Row],[COMPANY_ID]],Table1[side],"BUY")-SUMIFS(Table1[quantity],Table1[company_id],Table8[[#This Row],[COMPANY_ID]],Table1[side],"SELL")</f>
        <v>0</v>
      </c>
      <c r="R74">
        <f>Table1[[#This Row],[Column2]]-Table1[[#This Row],[Buy-sell]]</f>
        <v>1233.9100000000001</v>
      </c>
      <c r="S74" t="str">
        <f>IF(Table1[[#This Row],[Sell-Buy]]&gt;0,"Profit","Loss")</f>
        <v>Profit</v>
      </c>
      <c r="T74" s="4" t="s">
        <v>282</v>
      </c>
      <c r="U74" s="8">
        <f>SUMIFS(Table1[price],Table1[order_id],Table15[[#This Row],[order_id]],Table1[side],"BUY")*Table15[[#This Row],[Buy_Quantity]]</f>
        <v>0</v>
      </c>
      <c r="V74" s="8">
        <f>SUMIFS(Table1[price],Table1[order_id],Table15[[#This Row],[order_id]],Table1[side],"SELL")</f>
        <v>1378.7</v>
      </c>
      <c r="W74" s="8">
        <f>Table15[[#This Row],[sell]]-Table15[[#This Row],[Buy]]</f>
        <v>941652.1</v>
      </c>
      <c r="X74" s="8">
        <f>IF(Table15[[#This Row],[Profit]]&gt;0,1,0)</f>
        <v>1</v>
      </c>
      <c r="Y74" s="5" t="str">
        <f>IF(Table15[[#This Row],[is Profit]]=1,"Profit","Loss")</f>
        <v>Profit</v>
      </c>
      <c r="Z74" s="5">
        <f>SUMIFS(Table1[quantity],Table1[order_id],Table15[[#This Row],[order_id]],Table1[side],"SELL")</f>
        <v>683</v>
      </c>
      <c r="AA74" s="5">
        <f>Table15[[#This Row],[Buy_value]]*Table15[[#This Row],[Buy_Quantity]]</f>
        <v>0</v>
      </c>
      <c r="AB74" s="5">
        <f>Table15[[#This Row],[Sell_Value]]*Table15[[#This Row],[Sell_Quantity]]</f>
        <v>941652.1</v>
      </c>
      <c r="AC74" s="5">
        <f>SUMIFS(Table1[quantity],Table1[order_id],Table15[[#This Row],[order_id]],Table1[side],"BUY")</f>
        <v>0</v>
      </c>
      <c r="AE74" s="9" t="s">
        <v>852</v>
      </c>
      <c r="AF74" s="10" t="str">
        <f>IF(Table1[[#This Row],[Sell-Buy]]&gt;0,"Profit","Loss")</f>
        <v>Profit</v>
      </c>
      <c r="AG74">
        <f>Table1[[#This Row],[Column2]]-Table1[[#This Row],[Buy-sell]]</f>
        <v>1233.9100000000001</v>
      </c>
    </row>
    <row r="75" spans="1:33" x14ac:dyDescent="0.3">
      <c r="A75" t="s">
        <v>786</v>
      </c>
      <c r="B75" t="s">
        <v>586</v>
      </c>
      <c r="C75" s="1">
        <v>45754.011111111111</v>
      </c>
      <c r="D75" t="s">
        <v>11</v>
      </c>
      <c r="E75" t="s">
        <v>166</v>
      </c>
      <c r="F75">
        <v>838</v>
      </c>
      <c r="G75">
        <v>1310.87</v>
      </c>
      <c r="H75">
        <v>549.25</v>
      </c>
      <c r="I75" t="s">
        <v>102</v>
      </c>
      <c r="J75" t="s">
        <v>67</v>
      </c>
      <c r="L75" s="1">
        <v>45727</v>
      </c>
      <c r="M75" t="s">
        <v>166</v>
      </c>
      <c r="N75">
        <f>IF(Table1[[#This Row],[side]]="BUY", Table1[[#This Row],[quantity]],-Table1[[#This Row],[quantity]])</f>
        <v>838</v>
      </c>
      <c r="P75" t="str">
        <f>IF(Table1[[#This Row],[side]]="Sell",Table1[[#This Row],[price]],"0")</f>
        <v>0</v>
      </c>
      <c r="Q75">
        <f>SUMIFS(Table1[quantity],Table1[company_id],Table8[[#This Row],[COMPANY_ID]],Table1[side],"BUY")-SUMIFS(Table1[quantity],Table1[company_id],Table8[[#This Row],[COMPANY_ID]],Table1[side],"SELL")</f>
        <v>0</v>
      </c>
      <c r="R75">
        <f>Table1[[#This Row],[Column2]]-Table1[[#This Row],[Buy-sell]]</f>
        <v>0</v>
      </c>
      <c r="S75" t="str">
        <f>IF(Table1[[#This Row],[Sell-Buy]]&gt;0,"Profit","Loss")</f>
        <v>Loss</v>
      </c>
      <c r="T75" s="5" t="s">
        <v>284</v>
      </c>
      <c r="U75" s="8">
        <f>SUMIFS(Table1[price],Table1[order_id],Table15[[#This Row],[order_id]],Table1[side],"BUY")*Table15[[#This Row],[Buy_Quantity]]</f>
        <v>0</v>
      </c>
      <c r="V75" s="8">
        <f>SUMIFS(Table1[price],Table1[order_id],Table15[[#This Row],[order_id]],Table1[side],"SELL")</f>
        <v>233.74</v>
      </c>
      <c r="W75" s="8">
        <f>Table15[[#This Row],[sell]]-Table15[[#This Row],[Buy]]</f>
        <v>49552.880000000005</v>
      </c>
      <c r="X75" s="8">
        <f>IF(Table15[[#This Row],[Profit]]&gt;0,1,0)</f>
        <v>1</v>
      </c>
      <c r="Y75" s="5" t="str">
        <f>IF(Table15[[#This Row],[is Profit]]=1,"Profit","Loss")</f>
        <v>Profit</v>
      </c>
      <c r="Z75" s="5">
        <f>SUMIFS(Table1[quantity],Table1[order_id],Table15[[#This Row],[order_id]],Table1[side],"SELL")</f>
        <v>212</v>
      </c>
      <c r="AA75" s="5">
        <f>Table15[[#This Row],[Buy_value]]*Table15[[#This Row],[Buy_Quantity]]</f>
        <v>0</v>
      </c>
      <c r="AB75" s="5">
        <f>Table15[[#This Row],[Sell_Value]]*Table15[[#This Row],[Sell_Quantity]]</f>
        <v>49552.880000000005</v>
      </c>
      <c r="AC75" s="5">
        <f>SUMIFS(Table1[quantity],Table1[order_id],Table15[[#This Row],[order_id]],Table1[side],"BUY")</f>
        <v>0</v>
      </c>
      <c r="AE75" s="10" t="s">
        <v>698</v>
      </c>
      <c r="AF75" s="10" t="str">
        <f>IF(Table1[[#This Row],[Sell-Buy]]&gt;0,"Profit","Loss")</f>
        <v>Loss</v>
      </c>
      <c r="AG75">
        <f>Table1[[#This Row],[Column2]]-Table1[[#This Row],[Buy-sell]]</f>
        <v>0</v>
      </c>
    </row>
    <row r="76" spans="1:33" x14ac:dyDescent="0.3">
      <c r="A76" t="s">
        <v>883</v>
      </c>
      <c r="B76" t="s">
        <v>513</v>
      </c>
      <c r="C76" s="1">
        <v>45729.023611111108</v>
      </c>
      <c r="D76" t="s">
        <v>11</v>
      </c>
      <c r="E76" t="s">
        <v>171</v>
      </c>
      <c r="F76">
        <v>298</v>
      </c>
      <c r="G76">
        <v>1336.02</v>
      </c>
      <c r="H76">
        <v>199.07</v>
      </c>
      <c r="I76" t="s">
        <v>110</v>
      </c>
      <c r="J76" t="s">
        <v>49</v>
      </c>
      <c r="L76" s="1">
        <v>45674</v>
      </c>
      <c r="N76">
        <f>IF(Table1[[#This Row],[side]]="BUY", Table1[[#This Row],[quantity]],-Table1[[#This Row],[quantity]])</f>
        <v>-298</v>
      </c>
      <c r="O76" t="s">
        <v>171</v>
      </c>
      <c r="P76">
        <f>IF(Table1[[#This Row],[side]]="Sell",Table1[[#This Row],[price]],"0")</f>
        <v>1336.02</v>
      </c>
      <c r="Q76">
        <f>SUMIFS(Table1[quantity],Table1[company_id],Table8[[#This Row],[COMPANY_ID]],Table1[side],"BUY")-SUMIFS(Table1[quantity],Table1[company_id],Table8[[#This Row],[COMPANY_ID]],Table1[side],"SELL")</f>
        <v>0</v>
      </c>
      <c r="R76">
        <f>Table1[[#This Row],[Column2]]-Table1[[#This Row],[Buy-sell]]</f>
        <v>1336.02</v>
      </c>
      <c r="S76" t="str">
        <f>IF(Table1[[#This Row],[Sell-Buy]]&gt;0,"Profit","Loss")</f>
        <v>Profit</v>
      </c>
      <c r="T76" s="5" t="s">
        <v>286</v>
      </c>
      <c r="U76" s="8">
        <f>SUMIFS(Table1[price],Table1[order_id],Table15[[#This Row],[order_id]],Table1[side],"BUY")*Table15[[#This Row],[Buy_Quantity]]</f>
        <v>0</v>
      </c>
      <c r="V76" s="8">
        <f>SUMIFS(Table1[price],Table1[order_id],Table15[[#This Row],[order_id]],Table1[side],"SELL")</f>
        <v>1268.8699999999999</v>
      </c>
      <c r="W76" s="8">
        <f>Table15[[#This Row],[sell]]-Table15[[#This Row],[Buy]]</f>
        <v>697878.49999999988</v>
      </c>
      <c r="X76" s="8">
        <f>IF(Table15[[#This Row],[Profit]]&gt;0,1,0)</f>
        <v>1</v>
      </c>
      <c r="Y76" s="5" t="str">
        <f>IF(Table15[[#This Row],[is Profit]]=1,"Profit","Loss")</f>
        <v>Profit</v>
      </c>
      <c r="Z76" s="5">
        <f>SUMIFS(Table1[quantity],Table1[order_id],Table15[[#This Row],[order_id]],Table1[side],"SELL")</f>
        <v>550</v>
      </c>
      <c r="AA76" s="5">
        <f>Table15[[#This Row],[Buy_value]]*Table15[[#This Row],[Buy_Quantity]]</f>
        <v>0</v>
      </c>
      <c r="AB76" s="5">
        <f>Table15[[#This Row],[Sell_Value]]*Table15[[#This Row],[Sell_Quantity]]</f>
        <v>697878.49999999988</v>
      </c>
      <c r="AC76" s="5">
        <f>SUMIFS(Table1[quantity],Table1[order_id],Table15[[#This Row],[order_id]],Table1[side],"BUY")</f>
        <v>0</v>
      </c>
      <c r="AE76" s="9" t="s">
        <v>896</v>
      </c>
      <c r="AF76" s="10" t="str">
        <f>IF(Table1[[#This Row],[Sell-Buy]]&gt;0,"Profit","Loss")</f>
        <v>Profit</v>
      </c>
      <c r="AG76">
        <f>Table1[[#This Row],[Column2]]-Table1[[#This Row],[Buy-sell]]</f>
        <v>1336.02</v>
      </c>
    </row>
    <row r="77" spans="1:33" x14ac:dyDescent="0.3">
      <c r="A77" t="s">
        <v>794</v>
      </c>
      <c r="B77" t="s">
        <v>198</v>
      </c>
      <c r="C77" s="1">
        <v>45727.036111111112</v>
      </c>
      <c r="D77" t="s">
        <v>11</v>
      </c>
      <c r="E77" t="s">
        <v>166</v>
      </c>
      <c r="F77">
        <v>377</v>
      </c>
      <c r="G77">
        <v>1309.3</v>
      </c>
      <c r="H77">
        <v>246.8</v>
      </c>
      <c r="I77" t="s">
        <v>122</v>
      </c>
      <c r="J77" t="s">
        <v>73</v>
      </c>
      <c r="L77" s="1">
        <v>45807</v>
      </c>
      <c r="M77" t="s">
        <v>166</v>
      </c>
      <c r="N77">
        <f>IF(Table1[[#This Row],[side]]="BUY", Table1[[#This Row],[quantity]],-Table1[[#This Row],[quantity]])</f>
        <v>377</v>
      </c>
      <c r="P77" t="str">
        <f>IF(Table1[[#This Row],[side]]="Sell",Table1[[#This Row],[price]],"0")</f>
        <v>0</v>
      </c>
      <c r="Q77">
        <f>SUMIFS(Table1[quantity],Table1[company_id],Table8[[#This Row],[COMPANY_ID]],Table1[side],"BUY")-SUMIFS(Table1[quantity],Table1[company_id],Table8[[#This Row],[COMPANY_ID]],Table1[side],"SELL")</f>
        <v>0</v>
      </c>
      <c r="R77">
        <f>Table1[[#This Row],[Column2]]-Table1[[#This Row],[Buy-sell]]</f>
        <v>0</v>
      </c>
      <c r="S77" t="str">
        <f>IF(Table1[[#This Row],[Sell-Buy]]&gt;0,"Profit","Loss")</f>
        <v>Loss</v>
      </c>
      <c r="T77" s="5" t="s">
        <v>287</v>
      </c>
      <c r="U77" s="8">
        <f>SUMIFS(Table1[price],Table1[order_id],Table15[[#This Row],[order_id]],Table1[side],"BUY")*Table15[[#This Row],[Buy_Quantity]]</f>
        <v>134649.06</v>
      </c>
      <c r="V77" s="8">
        <f>SUMIFS(Table1[price],Table1[order_id],Table15[[#This Row],[order_id]],Table1[side],"SELL")</f>
        <v>551.13</v>
      </c>
      <c r="W77" s="8">
        <f>Table15[[#This Row],[sell]]-Table15[[#This Row],[Buy]]</f>
        <v>-73488074.609999999</v>
      </c>
      <c r="X77" s="8">
        <f>IF(Table15[[#This Row],[Profit]]&gt;0,1,0)</f>
        <v>0</v>
      </c>
      <c r="Y77" s="5" t="str">
        <f>IF(Table15[[#This Row],[is Profit]]=1,"Profit","Loss")</f>
        <v>Loss</v>
      </c>
      <c r="Z77" s="5">
        <f>SUMIFS(Table1[quantity],Table1[order_id],Table15[[#This Row],[order_id]],Table1[side],"SELL")</f>
        <v>55</v>
      </c>
      <c r="AA77" s="5">
        <f>Table15[[#This Row],[Buy_value]]*Table15[[#This Row],[Buy_Quantity]]</f>
        <v>73518386.760000005</v>
      </c>
      <c r="AB77" s="5">
        <f>Table15[[#This Row],[Sell_Value]]*Table15[[#This Row],[Sell_Quantity]]</f>
        <v>30312.15</v>
      </c>
      <c r="AC77" s="5">
        <f>SUMIFS(Table1[quantity],Table1[order_id],Table15[[#This Row],[order_id]],Table1[side],"BUY")</f>
        <v>546</v>
      </c>
      <c r="AE77" s="10" t="s">
        <v>874</v>
      </c>
      <c r="AF77" s="10" t="str">
        <f>IF(Table1[[#This Row],[Sell-Buy]]&gt;0,"Profit","Loss")</f>
        <v>Loss</v>
      </c>
      <c r="AG77">
        <f>Table1[[#This Row],[Column2]]-Table1[[#This Row],[Buy-sell]]</f>
        <v>0</v>
      </c>
    </row>
    <row r="78" spans="1:33" x14ac:dyDescent="0.3">
      <c r="A78" t="s">
        <v>810</v>
      </c>
      <c r="B78" t="s">
        <v>298</v>
      </c>
      <c r="C78" s="1">
        <v>45680.025694444441</v>
      </c>
      <c r="D78" t="s">
        <v>11</v>
      </c>
      <c r="E78" t="s">
        <v>166</v>
      </c>
      <c r="F78">
        <v>163</v>
      </c>
      <c r="G78">
        <v>1263.03</v>
      </c>
      <c r="H78">
        <v>102.94</v>
      </c>
      <c r="I78" t="s">
        <v>88</v>
      </c>
      <c r="J78" t="s">
        <v>76</v>
      </c>
      <c r="L78" s="1">
        <v>45742</v>
      </c>
      <c r="M78" t="s">
        <v>166</v>
      </c>
      <c r="N78">
        <f>IF(Table1[[#This Row],[side]]="BUY", Table1[[#This Row],[quantity]],-Table1[[#This Row],[quantity]])</f>
        <v>163</v>
      </c>
      <c r="P78" t="str">
        <f>IF(Table1[[#This Row],[side]]="Sell",Table1[[#This Row],[price]],"0")</f>
        <v>0</v>
      </c>
      <c r="Q78">
        <f>SUMIFS(Table1[quantity],Table1[company_id],Table8[[#This Row],[COMPANY_ID]],Table1[side],"BUY")-SUMIFS(Table1[quantity],Table1[company_id],Table8[[#This Row],[COMPANY_ID]],Table1[side],"SELL")</f>
        <v>0</v>
      </c>
      <c r="R78">
        <f>Table1[[#This Row],[Column2]]-Table1[[#This Row],[Buy-sell]]</f>
        <v>0</v>
      </c>
      <c r="S78" t="str">
        <f>IF(Table1[[#This Row],[Sell-Buy]]&gt;0,"Profit","Loss")</f>
        <v>Loss</v>
      </c>
      <c r="T78" s="4" t="s">
        <v>288</v>
      </c>
      <c r="U78" s="8">
        <f>SUMIFS(Table1[price],Table1[order_id],Table15[[#This Row],[order_id]],Table1[side],"BUY")*Table15[[#This Row],[Buy_Quantity]]</f>
        <v>0</v>
      </c>
      <c r="V78" s="8">
        <f>SUMIFS(Table1[price],Table1[order_id],Table15[[#This Row],[order_id]],Table1[side],"SELL")</f>
        <v>244.75</v>
      </c>
      <c r="W78" s="8">
        <f>Table15[[#This Row],[sell]]-Table15[[#This Row],[Buy]]</f>
        <v>139507.5</v>
      </c>
      <c r="X78" s="8">
        <f>IF(Table15[[#This Row],[Profit]]&gt;0,1,0)</f>
        <v>1</v>
      </c>
      <c r="Y78" s="5" t="str">
        <f>IF(Table15[[#This Row],[is Profit]]=1,"Profit","Loss")</f>
        <v>Profit</v>
      </c>
      <c r="Z78" s="5">
        <f>SUMIFS(Table1[quantity],Table1[order_id],Table15[[#This Row],[order_id]],Table1[side],"SELL")</f>
        <v>570</v>
      </c>
      <c r="AA78" s="5">
        <f>Table15[[#This Row],[Buy_value]]*Table15[[#This Row],[Buy_Quantity]]</f>
        <v>0</v>
      </c>
      <c r="AB78" s="5">
        <f>Table15[[#This Row],[Sell_Value]]*Table15[[#This Row],[Sell_Quantity]]</f>
        <v>139507.5</v>
      </c>
      <c r="AC78" s="5">
        <f>SUMIFS(Table1[quantity],Table1[order_id],Table15[[#This Row],[order_id]],Table1[side],"BUY")</f>
        <v>0</v>
      </c>
      <c r="AE78" s="9" t="s">
        <v>963</v>
      </c>
      <c r="AF78" s="10" t="str">
        <f>IF(Table1[[#This Row],[Sell-Buy]]&gt;0,"Profit","Loss")</f>
        <v>Loss</v>
      </c>
      <c r="AG78">
        <f>Table1[[#This Row],[Column2]]-Table1[[#This Row],[Buy-sell]]</f>
        <v>0</v>
      </c>
    </row>
    <row r="79" spans="1:33" x14ac:dyDescent="0.3">
      <c r="A79" t="s">
        <v>841</v>
      </c>
      <c r="B79" t="s">
        <v>391</v>
      </c>
      <c r="C79" s="1">
        <v>45726.019444444442</v>
      </c>
      <c r="D79" t="s">
        <v>11</v>
      </c>
      <c r="E79" t="s">
        <v>166</v>
      </c>
      <c r="F79">
        <v>481</v>
      </c>
      <c r="G79">
        <v>1290.7</v>
      </c>
      <c r="H79">
        <v>310.41000000000003</v>
      </c>
      <c r="I79" t="s">
        <v>110</v>
      </c>
      <c r="J79" t="s">
        <v>61</v>
      </c>
      <c r="L79" s="1">
        <v>45707</v>
      </c>
      <c r="M79" t="s">
        <v>166</v>
      </c>
      <c r="N79">
        <f>IF(Table1[[#This Row],[side]]="BUY", Table1[[#This Row],[quantity]],-Table1[[#This Row],[quantity]])</f>
        <v>481</v>
      </c>
      <c r="P79" t="str">
        <f>IF(Table1[[#This Row],[side]]="Sell",Table1[[#This Row],[price]],"0")</f>
        <v>0</v>
      </c>
      <c r="Q79">
        <f>SUMIFS(Table1[quantity],Table1[company_id],Table8[[#This Row],[COMPANY_ID]],Table1[side],"BUY")-SUMIFS(Table1[quantity],Table1[company_id],Table8[[#This Row],[COMPANY_ID]],Table1[side],"SELL")</f>
        <v>0</v>
      </c>
      <c r="R79">
        <f>Table1[[#This Row],[Column2]]-Table1[[#This Row],[Buy-sell]]</f>
        <v>0</v>
      </c>
      <c r="S79" t="str">
        <f>IF(Table1[[#This Row],[Sell-Buy]]&gt;0,"Profit","Loss")</f>
        <v>Loss</v>
      </c>
      <c r="T79" s="4" t="s">
        <v>289</v>
      </c>
      <c r="U79" s="8">
        <f>SUMIFS(Table1[price],Table1[order_id],Table15[[#This Row],[order_id]],Table1[side],"BUY")*Table15[[#This Row],[Buy_Quantity]]</f>
        <v>366868.92000000004</v>
      </c>
      <c r="V79" s="8">
        <f>SUMIFS(Table1[price],Table1[order_id],Table15[[#This Row],[order_id]],Table1[side],"SELL")</f>
        <v>0</v>
      </c>
      <c r="W79" s="8">
        <f>Table15[[#This Row],[sell]]-Table15[[#This Row],[Buy]]</f>
        <v>-164724145.08000001</v>
      </c>
      <c r="X79" s="8">
        <f>IF(Table15[[#This Row],[Profit]]&gt;0,1,0)</f>
        <v>0</v>
      </c>
      <c r="Y79" s="5" t="str">
        <f>IF(Table15[[#This Row],[is Profit]]=1,"Profit","Loss")</f>
        <v>Loss</v>
      </c>
      <c r="Z79" s="5">
        <f>SUMIFS(Table1[quantity],Table1[order_id],Table15[[#This Row],[order_id]],Table1[side],"SELL")</f>
        <v>0</v>
      </c>
      <c r="AA79" s="5">
        <f>Table15[[#This Row],[Buy_value]]*Table15[[#This Row],[Buy_Quantity]]</f>
        <v>164724145.08000001</v>
      </c>
      <c r="AB79" s="5">
        <f>Table15[[#This Row],[Sell_Value]]*Table15[[#This Row],[Sell_Quantity]]</f>
        <v>0</v>
      </c>
      <c r="AC79" s="5">
        <f>SUMIFS(Table1[quantity],Table1[order_id],Table15[[#This Row],[order_id]],Table1[side],"BUY")</f>
        <v>449</v>
      </c>
      <c r="AE79" s="10" t="s">
        <v>948</v>
      </c>
      <c r="AF79" s="10" t="str">
        <f>IF(Table1[[#This Row],[Sell-Buy]]&gt;0,"Profit","Loss")</f>
        <v>Loss</v>
      </c>
      <c r="AG79">
        <f>Table1[[#This Row],[Column2]]-Table1[[#This Row],[Buy-sell]]</f>
        <v>0</v>
      </c>
    </row>
    <row r="80" spans="1:33" x14ac:dyDescent="0.3">
      <c r="A80" t="s">
        <v>847</v>
      </c>
      <c r="B80" t="s">
        <v>208</v>
      </c>
      <c r="C80" s="1">
        <v>45820.022222222222</v>
      </c>
      <c r="D80" t="s">
        <v>11</v>
      </c>
      <c r="E80" t="s">
        <v>166</v>
      </c>
      <c r="F80">
        <v>589</v>
      </c>
      <c r="G80">
        <v>1249.47</v>
      </c>
      <c r="H80">
        <v>367.97</v>
      </c>
      <c r="I80" t="s">
        <v>130</v>
      </c>
      <c r="J80" t="s">
        <v>70</v>
      </c>
      <c r="L80" s="1">
        <v>45833</v>
      </c>
      <c r="M80" t="s">
        <v>166</v>
      </c>
      <c r="N80">
        <f>IF(Table1[[#This Row],[side]]="BUY", Table1[[#This Row],[quantity]],-Table1[[#This Row],[quantity]])</f>
        <v>589</v>
      </c>
      <c r="P80" t="str">
        <f>IF(Table1[[#This Row],[side]]="Sell",Table1[[#This Row],[price]],"0")</f>
        <v>0</v>
      </c>
      <c r="Q80">
        <f>SUMIFS(Table1[quantity],Table1[company_id],Table8[[#This Row],[COMPANY_ID]],Table1[side],"BUY")-SUMIFS(Table1[quantity],Table1[company_id],Table8[[#This Row],[COMPANY_ID]],Table1[side],"SELL")</f>
        <v>0</v>
      </c>
      <c r="R80">
        <f>Table1[[#This Row],[Column2]]-Table1[[#This Row],[Buy-sell]]</f>
        <v>0</v>
      </c>
      <c r="S80" t="str">
        <f>IF(Table1[[#This Row],[Sell-Buy]]&gt;0,"Profit","Loss")</f>
        <v>Loss</v>
      </c>
      <c r="T80" s="4" t="s">
        <v>290</v>
      </c>
      <c r="U80" s="8">
        <f>SUMIFS(Table1[price],Table1[order_id],Table15[[#This Row],[order_id]],Table1[side],"BUY")*Table15[[#This Row],[Buy_Quantity]]</f>
        <v>65431.17</v>
      </c>
      <c r="V80" s="8">
        <f>SUMIFS(Table1[price],Table1[order_id],Table15[[#This Row],[order_id]],Table1[side],"SELL")</f>
        <v>0</v>
      </c>
      <c r="W80" s="8">
        <f>Table15[[#This Row],[sell]]-Table15[[#This Row],[Buy]]</f>
        <v>-16946673.030000001</v>
      </c>
      <c r="X80" s="8">
        <f>IF(Table15[[#This Row],[Profit]]&gt;0,1,0)</f>
        <v>0</v>
      </c>
      <c r="Y80" s="5" t="str">
        <f>IF(Table15[[#This Row],[is Profit]]=1,"Profit","Loss")</f>
        <v>Loss</v>
      </c>
      <c r="Z80" s="5">
        <f>SUMIFS(Table1[quantity],Table1[order_id],Table15[[#This Row],[order_id]],Table1[side],"SELL")</f>
        <v>0</v>
      </c>
      <c r="AA80" s="5">
        <f>Table15[[#This Row],[Buy_value]]*Table15[[#This Row],[Buy_Quantity]]</f>
        <v>16946673.030000001</v>
      </c>
      <c r="AB80" s="5">
        <f>Table15[[#This Row],[Sell_Value]]*Table15[[#This Row],[Sell_Quantity]]</f>
        <v>0</v>
      </c>
      <c r="AC80" s="5">
        <f>SUMIFS(Table1[quantity],Table1[order_id],Table15[[#This Row],[order_id]],Table1[side],"BUY")</f>
        <v>259</v>
      </c>
      <c r="AE80" s="9" t="s">
        <v>951</v>
      </c>
      <c r="AF80" s="10" t="str">
        <f>IF(Table1[[#This Row],[Sell-Buy]]&gt;0,"Profit","Loss")</f>
        <v>Loss</v>
      </c>
      <c r="AG80">
        <f>Table1[[#This Row],[Column2]]-Table1[[#This Row],[Buy-sell]]</f>
        <v>0</v>
      </c>
    </row>
    <row r="81" spans="1:33" x14ac:dyDescent="0.3">
      <c r="A81" t="s">
        <v>849</v>
      </c>
      <c r="B81" t="s">
        <v>491</v>
      </c>
      <c r="C81" s="1">
        <v>45765.002083333333</v>
      </c>
      <c r="D81" t="s">
        <v>11</v>
      </c>
      <c r="E81" t="s">
        <v>166</v>
      </c>
      <c r="F81">
        <v>94</v>
      </c>
      <c r="G81">
        <v>1239.1099999999999</v>
      </c>
      <c r="H81">
        <v>58.24</v>
      </c>
      <c r="I81" t="s">
        <v>114</v>
      </c>
      <c r="J81" t="s">
        <v>52</v>
      </c>
      <c r="L81" s="1">
        <v>45757</v>
      </c>
      <c r="M81" t="s">
        <v>166</v>
      </c>
      <c r="N81">
        <f>IF(Table1[[#This Row],[side]]="BUY", Table1[[#This Row],[quantity]],-Table1[[#This Row],[quantity]])</f>
        <v>94</v>
      </c>
      <c r="P81" t="str">
        <f>IF(Table1[[#This Row],[side]]="Sell",Table1[[#This Row],[price]],"0")</f>
        <v>0</v>
      </c>
      <c r="Q81">
        <f>SUMIFS(Table1[quantity],Table1[company_id],Table8[[#This Row],[COMPANY_ID]],Table1[side],"BUY")-SUMIFS(Table1[quantity],Table1[company_id],Table8[[#This Row],[COMPANY_ID]],Table1[side],"SELL")</f>
        <v>0</v>
      </c>
      <c r="R81">
        <f>Table1[[#This Row],[Column2]]-Table1[[#This Row],[Buy-sell]]</f>
        <v>0</v>
      </c>
      <c r="S81" t="str">
        <f>IF(Table1[[#This Row],[Sell-Buy]]&gt;0,"Profit","Loss")</f>
        <v>Loss</v>
      </c>
      <c r="T81" s="4" t="s">
        <v>293</v>
      </c>
      <c r="U81" s="8">
        <f>SUMIFS(Table1[price],Table1[order_id],Table15[[#This Row],[order_id]],Table1[side],"BUY")*Table15[[#This Row],[Buy_Quantity]]</f>
        <v>541032.4800000001</v>
      </c>
      <c r="V81" s="8">
        <f>SUMIFS(Table1[price],Table1[order_id],Table15[[#This Row],[order_id]],Table1[side],"SELL")</f>
        <v>0</v>
      </c>
      <c r="W81" s="8">
        <f>Table15[[#This Row],[sell]]-Table15[[#This Row],[Buy]]</f>
        <v>-233726031.36000004</v>
      </c>
      <c r="X81" s="8">
        <f>IF(Table15[[#This Row],[Profit]]&gt;0,1,0)</f>
        <v>0</v>
      </c>
      <c r="Y81" s="5" t="str">
        <f>IF(Table15[[#This Row],[is Profit]]=1,"Profit","Loss")</f>
        <v>Loss</v>
      </c>
      <c r="Z81" s="5">
        <f>SUMIFS(Table1[quantity],Table1[order_id],Table15[[#This Row],[order_id]],Table1[side],"SELL")</f>
        <v>0</v>
      </c>
      <c r="AA81" s="5">
        <f>Table15[[#This Row],[Buy_value]]*Table15[[#This Row],[Buy_Quantity]]</f>
        <v>233726031.36000004</v>
      </c>
      <c r="AB81" s="5">
        <f>Table15[[#This Row],[Sell_Value]]*Table15[[#This Row],[Sell_Quantity]]</f>
        <v>0</v>
      </c>
      <c r="AC81" s="5">
        <f>SUMIFS(Table1[quantity],Table1[order_id],Table15[[#This Row],[order_id]],Table1[side],"BUY")</f>
        <v>432</v>
      </c>
      <c r="AE81" s="10" t="s">
        <v>1123</v>
      </c>
      <c r="AF81" s="10" t="str">
        <f>IF(Table1[[#This Row],[Sell-Buy]]&gt;0,"Profit","Loss")</f>
        <v>Loss</v>
      </c>
      <c r="AG81">
        <f>Table1[[#This Row],[Column2]]-Table1[[#This Row],[Buy-sell]]</f>
        <v>0</v>
      </c>
    </row>
    <row r="82" spans="1:33" x14ac:dyDescent="0.3">
      <c r="A82" t="s">
        <v>862</v>
      </c>
      <c r="B82" t="s">
        <v>493</v>
      </c>
      <c r="C82" s="1">
        <v>45694.038194444445</v>
      </c>
      <c r="D82" t="s">
        <v>11</v>
      </c>
      <c r="E82" t="s">
        <v>166</v>
      </c>
      <c r="F82">
        <v>220</v>
      </c>
      <c r="G82">
        <v>1200.0999999999999</v>
      </c>
      <c r="H82">
        <v>132.01</v>
      </c>
      <c r="I82" t="s">
        <v>138</v>
      </c>
      <c r="J82" t="s">
        <v>64</v>
      </c>
      <c r="L82" s="1">
        <v>45764</v>
      </c>
      <c r="M82" t="s">
        <v>166</v>
      </c>
      <c r="N82">
        <f>IF(Table1[[#This Row],[side]]="BUY", Table1[[#This Row],[quantity]],-Table1[[#This Row],[quantity]])</f>
        <v>220</v>
      </c>
      <c r="P82" t="str">
        <f>IF(Table1[[#This Row],[side]]="Sell",Table1[[#This Row],[price]],"0")</f>
        <v>0</v>
      </c>
      <c r="Q82">
        <f>SUMIFS(Table1[quantity],Table1[company_id],Table8[[#This Row],[COMPANY_ID]],Table1[side],"BUY")-SUMIFS(Table1[quantity],Table1[company_id],Table8[[#This Row],[COMPANY_ID]],Table1[side],"SELL")</f>
        <v>0</v>
      </c>
      <c r="R82">
        <f>Table1[[#This Row],[Column2]]-Table1[[#This Row],[Buy-sell]]</f>
        <v>0</v>
      </c>
      <c r="S82" t="str">
        <f>IF(Table1[[#This Row],[Sell-Buy]]&gt;0,"Profit","Loss")</f>
        <v>Loss</v>
      </c>
      <c r="T82" s="5" t="s">
        <v>294</v>
      </c>
      <c r="U82" s="8">
        <f>SUMIFS(Table1[price],Table1[order_id],Table15[[#This Row],[order_id]],Table1[side],"BUY")*Table15[[#This Row],[Buy_Quantity]]</f>
        <v>321507.8</v>
      </c>
      <c r="V82" s="8">
        <f>SUMIFS(Table1[price],Table1[order_id],Table15[[#This Row],[order_id]],Table1[side],"SELL")</f>
        <v>0</v>
      </c>
      <c r="W82" s="8">
        <f>Table15[[#This Row],[sell]]-Table15[[#This Row],[Buy]]</f>
        <v>-47583154.399999999</v>
      </c>
      <c r="X82" s="8">
        <f>IF(Table15[[#This Row],[Profit]]&gt;0,1,0)</f>
        <v>0</v>
      </c>
      <c r="Y82" s="5" t="str">
        <f>IF(Table15[[#This Row],[is Profit]]=1,"Profit","Loss")</f>
        <v>Loss</v>
      </c>
      <c r="Z82" s="5">
        <f>SUMIFS(Table1[quantity],Table1[order_id],Table15[[#This Row],[order_id]],Table1[side],"SELL")</f>
        <v>0</v>
      </c>
      <c r="AA82" s="5">
        <f>Table15[[#This Row],[Buy_value]]*Table15[[#This Row],[Buy_Quantity]]</f>
        <v>47583154.399999999</v>
      </c>
      <c r="AB82" s="5">
        <f>Table15[[#This Row],[Sell_Value]]*Table15[[#This Row],[Sell_Quantity]]</f>
        <v>0</v>
      </c>
      <c r="AC82" s="5">
        <f>SUMIFS(Table1[quantity],Table1[order_id],Table15[[#This Row],[order_id]],Table1[side],"BUY")</f>
        <v>148</v>
      </c>
      <c r="AE82" s="9" t="s">
        <v>863</v>
      </c>
      <c r="AF82" s="10" t="str">
        <f>IF(Table1[[#This Row],[Sell-Buy]]&gt;0,"Profit","Loss")</f>
        <v>Loss</v>
      </c>
      <c r="AG82">
        <f>Table1[[#This Row],[Column2]]-Table1[[#This Row],[Buy-sell]]</f>
        <v>0</v>
      </c>
    </row>
    <row r="83" spans="1:33" x14ac:dyDescent="0.3">
      <c r="A83" t="s">
        <v>876</v>
      </c>
      <c r="B83" t="s">
        <v>619</v>
      </c>
      <c r="C83" s="1">
        <v>45770.038194444445</v>
      </c>
      <c r="D83" t="s">
        <v>11</v>
      </c>
      <c r="E83" t="s">
        <v>166</v>
      </c>
      <c r="F83">
        <v>779</v>
      </c>
      <c r="G83">
        <v>1215.1400000000001</v>
      </c>
      <c r="H83">
        <v>473.3</v>
      </c>
      <c r="I83" t="s">
        <v>94</v>
      </c>
      <c r="J83" t="s">
        <v>61</v>
      </c>
      <c r="L83" s="1">
        <v>45680</v>
      </c>
      <c r="M83" t="s">
        <v>166</v>
      </c>
      <c r="N83">
        <f>IF(Table1[[#This Row],[side]]="BUY", Table1[[#This Row],[quantity]],-Table1[[#This Row],[quantity]])</f>
        <v>779</v>
      </c>
      <c r="P83" t="str">
        <f>IF(Table1[[#This Row],[side]]="Sell",Table1[[#This Row],[price]],"0")</f>
        <v>0</v>
      </c>
      <c r="Q83">
        <f>SUMIFS(Table1[quantity],Table1[company_id],Table8[[#This Row],[COMPANY_ID]],Table1[side],"BUY")-SUMIFS(Table1[quantity],Table1[company_id],Table8[[#This Row],[COMPANY_ID]],Table1[side],"SELL")</f>
        <v>0</v>
      </c>
      <c r="R83">
        <f>Table1[[#This Row],[Column2]]-Table1[[#This Row],[Buy-sell]]</f>
        <v>0</v>
      </c>
      <c r="S83" t="str">
        <f>IF(Table1[[#This Row],[Sell-Buy]]&gt;0,"Profit","Loss")</f>
        <v>Loss</v>
      </c>
      <c r="T83" s="4" t="s">
        <v>295</v>
      </c>
      <c r="U83" s="8">
        <f>SUMIFS(Table1[price],Table1[order_id],Table15[[#This Row],[order_id]],Table1[side],"BUY")*Table15[[#This Row],[Buy_Quantity]]</f>
        <v>1948174.15</v>
      </c>
      <c r="V83" s="8">
        <f>SUMIFS(Table1[price],Table1[order_id],Table15[[#This Row],[order_id]],Table1[side],"SELL")</f>
        <v>0</v>
      </c>
      <c r="W83" s="8">
        <f>Table15[[#This Row],[sell]]-Table15[[#This Row],[Buy]]</f>
        <v>-2444958558.25</v>
      </c>
      <c r="X83" s="8">
        <f>IF(Table15[[#This Row],[Profit]]&gt;0,1,0)</f>
        <v>0</v>
      </c>
      <c r="Y83" s="5" t="str">
        <f>IF(Table15[[#This Row],[is Profit]]=1,"Profit","Loss")</f>
        <v>Loss</v>
      </c>
      <c r="Z83" s="5">
        <f>SUMIFS(Table1[quantity],Table1[order_id],Table15[[#This Row],[order_id]],Table1[side],"SELL")</f>
        <v>0</v>
      </c>
      <c r="AA83" s="5">
        <f>Table15[[#This Row],[Buy_value]]*Table15[[#This Row],[Buy_Quantity]]</f>
        <v>2444958558.25</v>
      </c>
      <c r="AB83" s="5">
        <f>Table15[[#This Row],[Sell_Value]]*Table15[[#This Row],[Sell_Quantity]]</f>
        <v>0</v>
      </c>
      <c r="AC83" s="5">
        <f>SUMIFS(Table1[quantity],Table1[order_id],Table15[[#This Row],[order_id]],Table1[side],"BUY")</f>
        <v>1255</v>
      </c>
      <c r="AE83" s="10" t="s">
        <v>1015</v>
      </c>
      <c r="AF83" s="10" t="str">
        <f>IF(Table1[[#This Row],[Sell-Buy]]&gt;0,"Profit","Loss")</f>
        <v>Loss</v>
      </c>
      <c r="AG83">
        <f>Table1[[#This Row],[Column2]]-Table1[[#This Row],[Buy-sell]]</f>
        <v>0</v>
      </c>
    </row>
    <row r="84" spans="1:33" x14ac:dyDescent="0.3">
      <c r="A84" t="s">
        <v>895</v>
      </c>
      <c r="B84" t="s">
        <v>295</v>
      </c>
      <c r="C84" s="1">
        <v>45722.018055555556</v>
      </c>
      <c r="D84" t="s">
        <v>11</v>
      </c>
      <c r="E84" t="s">
        <v>166</v>
      </c>
      <c r="F84">
        <v>872</v>
      </c>
      <c r="G84">
        <v>1313.95</v>
      </c>
      <c r="H84">
        <v>572.88</v>
      </c>
      <c r="I84" t="s">
        <v>124</v>
      </c>
      <c r="J84" t="s">
        <v>58</v>
      </c>
      <c r="L84" s="1">
        <v>45838</v>
      </c>
      <c r="M84" t="s">
        <v>166</v>
      </c>
      <c r="N84">
        <f>IF(Table1[[#This Row],[side]]="BUY", Table1[[#This Row],[quantity]],-Table1[[#This Row],[quantity]])</f>
        <v>872</v>
      </c>
      <c r="P84" t="str">
        <f>IF(Table1[[#This Row],[side]]="Sell",Table1[[#This Row],[price]],"0")</f>
        <v>0</v>
      </c>
      <c r="Q84">
        <f>SUMIFS(Table1[quantity],Table1[company_id],Table8[[#This Row],[COMPANY_ID]],Table1[side],"BUY")-SUMIFS(Table1[quantity],Table1[company_id],Table8[[#This Row],[COMPANY_ID]],Table1[side],"SELL")</f>
        <v>0</v>
      </c>
      <c r="R84">
        <f>Table1[[#This Row],[Column2]]-Table1[[#This Row],[Buy-sell]]</f>
        <v>0</v>
      </c>
      <c r="S84" t="str">
        <f>IF(Table1[[#This Row],[Sell-Buy]]&gt;0,"Profit","Loss")</f>
        <v>Loss</v>
      </c>
      <c r="T84" s="5" t="s">
        <v>298</v>
      </c>
      <c r="U84" s="8">
        <f>SUMIFS(Table1[price],Table1[order_id],Table15[[#This Row],[order_id]],Table1[side],"BUY")*Table15[[#This Row],[Buy_Quantity]]</f>
        <v>857006.87</v>
      </c>
      <c r="V84" s="8">
        <f>SUMIFS(Table1[price],Table1[order_id],Table15[[#This Row],[order_id]],Table1[side],"SELL")</f>
        <v>0</v>
      </c>
      <c r="W84" s="8">
        <f>Table15[[#This Row],[sell]]-Table15[[#This Row],[Buy]]</f>
        <v>-215108724.37</v>
      </c>
      <c r="X84" s="8">
        <f>IF(Table15[[#This Row],[Profit]]&gt;0,1,0)</f>
        <v>0</v>
      </c>
      <c r="Y84" s="5" t="str">
        <f>IF(Table15[[#This Row],[is Profit]]=1,"Profit","Loss")</f>
        <v>Loss</v>
      </c>
      <c r="Z84" s="5">
        <f>SUMIFS(Table1[quantity],Table1[order_id],Table15[[#This Row],[order_id]],Table1[side],"SELL")</f>
        <v>0</v>
      </c>
      <c r="AA84" s="5">
        <f>Table15[[#This Row],[Buy_value]]*Table15[[#This Row],[Buy_Quantity]]</f>
        <v>215108724.37</v>
      </c>
      <c r="AB84" s="5">
        <f>Table15[[#This Row],[Sell_Value]]*Table15[[#This Row],[Sell_Quantity]]</f>
        <v>0</v>
      </c>
      <c r="AC84" s="5">
        <f>SUMIFS(Table1[quantity],Table1[order_id],Table15[[#This Row],[order_id]],Table1[side],"BUY")</f>
        <v>251</v>
      </c>
      <c r="AE84" s="9" t="s">
        <v>909</v>
      </c>
      <c r="AF84" s="10" t="str">
        <f>IF(Table1[[#This Row],[Sell-Buy]]&gt;0,"Profit","Loss")</f>
        <v>Loss</v>
      </c>
      <c r="AG84">
        <f>Table1[[#This Row],[Column2]]-Table1[[#This Row],[Buy-sell]]</f>
        <v>0</v>
      </c>
    </row>
    <row r="85" spans="1:33" x14ac:dyDescent="0.3">
      <c r="A85" t="s">
        <v>905</v>
      </c>
      <c r="B85" t="s">
        <v>188</v>
      </c>
      <c r="C85" s="1">
        <v>45838</v>
      </c>
      <c r="D85" t="s">
        <v>11</v>
      </c>
      <c r="E85" t="s">
        <v>166</v>
      </c>
      <c r="F85">
        <v>126</v>
      </c>
      <c r="G85">
        <v>1229.3699999999999</v>
      </c>
      <c r="H85">
        <v>77.45</v>
      </c>
      <c r="I85" t="s">
        <v>142</v>
      </c>
      <c r="J85" t="s">
        <v>49</v>
      </c>
      <c r="L85" s="1">
        <v>45807</v>
      </c>
      <c r="M85" t="s">
        <v>166</v>
      </c>
      <c r="N85">
        <f>IF(Table1[[#This Row],[side]]="BUY", Table1[[#This Row],[quantity]],-Table1[[#This Row],[quantity]])</f>
        <v>126</v>
      </c>
      <c r="P85" t="str">
        <f>IF(Table1[[#This Row],[side]]="Sell",Table1[[#This Row],[price]],"0")</f>
        <v>0</v>
      </c>
      <c r="Q85">
        <f>SUMIFS(Table1[quantity],Table1[company_id],Table8[[#This Row],[COMPANY_ID]],Table1[side],"BUY")-SUMIFS(Table1[quantity],Table1[company_id],Table8[[#This Row],[COMPANY_ID]],Table1[side],"SELL")</f>
        <v>0</v>
      </c>
      <c r="R85">
        <f>Table1[[#This Row],[Column2]]-Table1[[#This Row],[Buy-sell]]</f>
        <v>0</v>
      </c>
      <c r="S85" t="str">
        <f>IF(Table1[[#This Row],[Sell-Buy]]&gt;0,"Profit","Loss")</f>
        <v>Loss</v>
      </c>
      <c r="T85" s="5" t="s">
        <v>299</v>
      </c>
      <c r="U85" s="8">
        <f>SUMIFS(Table1[price],Table1[order_id],Table15[[#This Row],[order_id]],Table1[side],"BUY")*Table15[[#This Row],[Buy_Quantity]]</f>
        <v>208756.80000000002</v>
      </c>
      <c r="V85" s="8">
        <f>SUMIFS(Table1[price],Table1[order_id],Table15[[#This Row],[order_id]],Table1[side],"SELL")</f>
        <v>0</v>
      </c>
      <c r="W85" s="8">
        <f>Table15[[#This Row],[sell]]-Table15[[#This Row],[Buy]]</f>
        <v>-59495688.000000007</v>
      </c>
      <c r="X85" s="8">
        <f>IF(Table15[[#This Row],[Profit]]&gt;0,1,0)</f>
        <v>0</v>
      </c>
      <c r="Y85" s="5" t="str">
        <f>IF(Table15[[#This Row],[is Profit]]=1,"Profit","Loss")</f>
        <v>Loss</v>
      </c>
      <c r="Z85" s="5">
        <f>SUMIFS(Table1[quantity],Table1[order_id],Table15[[#This Row],[order_id]],Table1[side],"SELL")</f>
        <v>0</v>
      </c>
      <c r="AA85" s="5">
        <f>Table15[[#This Row],[Buy_value]]*Table15[[#This Row],[Buy_Quantity]]</f>
        <v>59495688.000000007</v>
      </c>
      <c r="AB85" s="5">
        <f>Table15[[#This Row],[Sell_Value]]*Table15[[#This Row],[Sell_Quantity]]</f>
        <v>0</v>
      </c>
      <c r="AC85" s="5">
        <f>SUMIFS(Table1[quantity],Table1[order_id],Table15[[#This Row],[order_id]],Table1[side],"BUY")</f>
        <v>285</v>
      </c>
      <c r="AE85" s="10" t="s">
        <v>832</v>
      </c>
      <c r="AF85" s="10" t="str">
        <f>IF(Table1[[#This Row],[Sell-Buy]]&gt;0,"Profit","Loss")</f>
        <v>Loss</v>
      </c>
      <c r="AG85">
        <f>Table1[[#This Row],[Column2]]-Table1[[#This Row],[Buy-sell]]</f>
        <v>0</v>
      </c>
    </row>
    <row r="86" spans="1:33" x14ac:dyDescent="0.3">
      <c r="A86" t="s">
        <v>935</v>
      </c>
      <c r="B86" t="s">
        <v>241</v>
      </c>
      <c r="C86" s="1">
        <v>45681.027083333334</v>
      </c>
      <c r="D86" t="s">
        <v>11</v>
      </c>
      <c r="E86" t="s">
        <v>166</v>
      </c>
      <c r="F86">
        <v>763</v>
      </c>
      <c r="G86">
        <v>1244.49</v>
      </c>
      <c r="H86">
        <v>474.77</v>
      </c>
      <c r="I86" t="s">
        <v>88</v>
      </c>
      <c r="J86" t="s">
        <v>52</v>
      </c>
      <c r="L86" s="1">
        <v>45733</v>
      </c>
      <c r="M86" t="s">
        <v>166</v>
      </c>
      <c r="N86">
        <f>IF(Table1[[#This Row],[side]]="BUY", Table1[[#This Row],[quantity]],-Table1[[#This Row],[quantity]])</f>
        <v>763</v>
      </c>
      <c r="P86" t="str">
        <f>IF(Table1[[#This Row],[side]]="Sell",Table1[[#This Row],[price]],"0")</f>
        <v>0</v>
      </c>
      <c r="Q86">
        <f>SUMIFS(Table1[quantity],Table1[company_id],Table8[[#This Row],[COMPANY_ID]],Table1[side],"BUY")-SUMIFS(Table1[quantity],Table1[company_id],Table8[[#This Row],[COMPANY_ID]],Table1[side],"SELL")</f>
        <v>0</v>
      </c>
      <c r="R86">
        <f>Table1[[#This Row],[Column2]]-Table1[[#This Row],[Buy-sell]]</f>
        <v>0</v>
      </c>
      <c r="S86" t="str">
        <f>IF(Table1[[#This Row],[Sell-Buy]]&gt;0,"Profit","Loss")</f>
        <v>Loss</v>
      </c>
      <c r="T86" s="4" t="s">
        <v>301</v>
      </c>
      <c r="U86" s="8">
        <f>SUMIFS(Table1[price],Table1[order_id],Table15[[#This Row],[order_id]],Table1[side],"BUY")*Table15[[#This Row],[Buy_Quantity]]</f>
        <v>0</v>
      </c>
      <c r="V86" s="8">
        <f>SUMIFS(Table1[price],Table1[order_id],Table15[[#This Row],[order_id]],Table1[side],"SELL")</f>
        <v>2582.1999999999998</v>
      </c>
      <c r="W86" s="8">
        <f>Table15[[#This Row],[sell]]-Table15[[#This Row],[Buy]]</f>
        <v>3612497.8</v>
      </c>
      <c r="X86" s="8">
        <f>IF(Table15[[#This Row],[Profit]]&gt;0,1,0)</f>
        <v>1</v>
      </c>
      <c r="Y86" s="5" t="str">
        <f>IF(Table15[[#This Row],[is Profit]]=1,"Profit","Loss")</f>
        <v>Profit</v>
      </c>
      <c r="Z86" s="5">
        <f>SUMIFS(Table1[quantity],Table1[order_id],Table15[[#This Row],[order_id]],Table1[side],"SELL")</f>
        <v>1399</v>
      </c>
      <c r="AA86" s="5">
        <f>Table15[[#This Row],[Buy_value]]*Table15[[#This Row],[Buy_Quantity]]</f>
        <v>0</v>
      </c>
      <c r="AB86" s="5">
        <f>Table15[[#This Row],[Sell_Value]]*Table15[[#This Row],[Sell_Quantity]]</f>
        <v>3612497.8</v>
      </c>
      <c r="AC86" s="5">
        <f>SUMIFS(Table1[quantity],Table1[order_id],Table15[[#This Row],[order_id]],Table1[side],"BUY")</f>
        <v>0</v>
      </c>
      <c r="AE86" s="9" t="s">
        <v>1022</v>
      </c>
      <c r="AF86" s="10" t="str">
        <f>IF(Table1[[#This Row],[Sell-Buy]]&gt;0,"Profit","Loss")</f>
        <v>Loss</v>
      </c>
      <c r="AG86">
        <f>Table1[[#This Row],[Column2]]-Table1[[#This Row],[Buy-sell]]</f>
        <v>0</v>
      </c>
    </row>
    <row r="87" spans="1:33" x14ac:dyDescent="0.3">
      <c r="A87" t="s">
        <v>926</v>
      </c>
      <c r="B87" t="s">
        <v>460</v>
      </c>
      <c r="C87" s="1">
        <v>45714.015972222223</v>
      </c>
      <c r="D87" t="s">
        <v>11</v>
      </c>
      <c r="E87" t="s">
        <v>171</v>
      </c>
      <c r="F87">
        <v>181</v>
      </c>
      <c r="G87">
        <v>1279.8499999999999</v>
      </c>
      <c r="H87">
        <v>115.83</v>
      </c>
      <c r="I87" t="s">
        <v>128</v>
      </c>
      <c r="J87" t="s">
        <v>70</v>
      </c>
      <c r="L87" s="1">
        <v>45685</v>
      </c>
      <c r="N87">
        <f>IF(Table1[[#This Row],[side]]="BUY", Table1[[#This Row],[quantity]],-Table1[[#This Row],[quantity]])</f>
        <v>-181</v>
      </c>
      <c r="O87" t="s">
        <v>171</v>
      </c>
      <c r="P87">
        <f>IF(Table1[[#This Row],[side]]="Sell",Table1[[#This Row],[price]],"0")</f>
        <v>1279.8499999999999</v>
      </c>
      <c r="Q87">
        <f>SUMIFS(Table1[quantity],Table1[company_id],Table8[[#This Row],[COMPANY_ID]],Table1[side],"BUY")-SUMIFS(Table1[quantity],Table1[company_id],Table8[[#This Row],[COMPANY_ID]],Table1[side],"SELL")</f>
        <v>0</v>
      </c>
      <c r="R87">
        <f>Table1[[#This Row],[Column2]]-Table1[[#This Row],[Buy-sell]]</f>
        <v>1279.8499999999999</v>
      </c>
      <c r="S87" t="str">
        <f>IF(Table1[[#This Row],[Sell-Buy]]&gt;0,"Profit","Loss")</f>
        <v>Profit</v>
      </c>
      <c r="T87" s="5" t="s">
        <v>302</v>
      </c>
      <c r="U87" s="8">
        <f>SUMIFS(Table1[price],Table1[order_id],Table15[[#This Row],[order_id]],Table1[side],"BUY")*Table15[[#This Row],[Buy_Quantity]]</f>
        <v>0</v>
      </c>
      <c r="V87" s="8">
        <f>SUMIFS(Table1[price],Table1[order_id],Table15[[#This Row],[order_id]],Table1[side],"SELL")</f>
        <v>1067.04</v>
      </c>
      <c r="W87" s="8">
        <f>Table15[[#This Row],[sell]]-Table15[[#This Row],[Buy]]</f>
        <v>1907867.52</v>
      </c>
      <c r="X87" s="8">
        <f>IF(Table15[[#This Row],[Profit]]&gt;0,1,0)</f>
        <v>1</v>
      </c>
      <c r="Y87" s="5" t="str">
        <f>IF(Table15[[#This Row],[is Profit]]=1,"Profit","Loss")</f>
        <v>Profit</v>
      </c>
      <c r="Z87" s="5">
        <f>SUMIFS(Table1[quantity],Table1[order_id],Table15[[#This Row],[order_id]],Table1[side],"SELL")</f>
        <v>1788</v>
      </c>
      <c r="AA87" s="5">
        <f>Table15[[#This Row],[Buy_value]]*Table15[[#This Row],[Buy_Quantity]]</f>
        <v>0</v>
      </c>
      <c r="AB87" s="5">
        <f>Table15[[#This Row],[Sell_Value]]*Table15[[#This Row],[Sell_Quantity]]</f>
        <v>1907867.52</v>
      </c>
      <c r="AC87" s="5">
        <f>SUMIFS(Table1[quantity],Table1[order_id],Table15[[#This Row],[order_id]],Table1[side],"BUY")</f>
        <v>0</v>
      </c>
      <c r="AE87" s="10" t="s">
        <v>944</v>
      </c>
      <c r="AF87" s="10" t="str">
        <f>IF(Table1[[#This Row],[Sell-Buy]]&gt;0,"Profit","Loss")</f>
        <v>Profit</v>
      </c>
      <c r="AG87">
        <f>Table1[[#This Row],[Column2]]-Table1[[#This Row],[Buy-sell]]</f>
        <v>1279.8499999999999</v>
      </c>
    </row>
    <row r="88" spans="1:33" x14ac:dyDescent="0.3">
      <c r="A88" t="s">
        <v>947</v>
      </c>
      <c r="B88" t="s">
        <v>415</v>
      </c>
      <c r="C88" s="1">
        <v>45828.040277777778</v>
      </c>
      <c r="D88" t="s">
        <v>11</v>
      </c>
      <c r="E88" t="s">
        <v>166</v>
      </c>
      <c r="F88">
        <v>689</v>
      </c>
      <c r="G88">
        <v>1297.44</v>
      </c>
      <c r="H88">
        <v>446.97</v>
      </c>
      <c r="I88" t="s">
        <v>124</v>
      </c>
      <c r="J88" t="s">
        <v>70</v>
      </c>
      <c r="L88" s="1">
        <v>45671</v>
      </c>
      <c r="M88" t="s">
        <v>166</v>
      </c>
      <c r="N88">
        <f>IF(Table1[[#This Row],[side]]="BUY", Table1[[#This Row],[quantity]],-Table1[[#This Row],[quantity]])</f>
        <v>689</v>
      </c>
      <c r="P88" t="str">
        <f>IF(Table1[[#This Row],[side]]="Sell",Table1[[#This Row],[price]],"0")</f>
        <v>0</v>
      </c>
      <c r="Q88">
        <f>SUMIFS(Table1[quantity],Table1[company_id],Table8[[#This Row],[COMPANY_ID]],Table1[side],"BUY")-SUMIFS(Table1[quantity],Table1[company_id],Table8[[#This Row],[COMPANY_ID]],Table1[side],"SELL")</f>
        <v>0</v>
      </c>
      <c r="R88">
        <f>Table1[[#This Row],[Column2]]-Table1[[#This Row],[Buy-sell]]</f>
        <v>0</v>
      </c>
      <c r="S88" t="str">
        <f>IF(Table1[[#This Row],[Sell-Buy]]&gt;0,"Profit","Loss")</f>
        <v>Loss</v>
      </c>
      <c r="T88" s="5" t="s">
        <v>303</v>
      </c>
      <c r="U88" s="8">
        <f>SUMIFS(Table1[price],Table1[order_id],Table15[[#This Row],[order_id]],Table1[side],"BUY")*Table15[[#This Row],[Buy_Quantity]]</f>
        <v>453034.19</v>
      </c>
      <c r="V88" s="8">
        <f>SUMIFS(Table1[price],Table1[order_id],Table15[[#This Row],[order_id]],Table1[side],"SELL")</f>
        <v>1345.81</v>
      </c>
      <c r="W88" s="8">
        <f>Table15[[#This Row],[sell]]-Table15[[#This Row],[Buy]]</f>
        <v>-249100002.66</v>
      </c>
      <c r="X88" s="8">
        <f>IF(Table15[[#This Row],[Profit]]&gt;0,1,0)</f>
        <v>0</v>
      </c>
      <c r="Y88" s="5" t="str">
        <f>IF(Table15[[#This Row],[is Profit]]=1,"Profit","Loss")</f>
        <v>Loss</v>
      </c>
      <c r="Z88" s="5">
        <f>SUMIFS(Table1[quantity],Table1[order_id],Table15[[#This Row],[order_id]],Table1[side],"SELL")</f>
        <v>1061</v>
      </c>
      <c r="AA88" s="5">
        <f>Table15[[#This Row],[Buy_value]]*Table15[[#This Row],[Buy_Quantity]]</f>
        <v>250527907.06999999</v>
      </c>
      <c r="AB88" s="5">
        <f>Table15[[#This Row],[Sell_Value]]*Table15[[#This Row],[Sell_Quantity]]</f>
        <v>1427904.41</v>
      </c>
      <c r="AC88" s="5">
        <f>SUMIFS(Table1[quantity],Table1[order_id],Table15[[#This Row],[order_id]],Table1[side],"BUY")</f>
        <v>553</v>
      </c>
      <c r="AE88" s="9" t="s">
        <v>817</v>
      </c>
      <c r="AF88" s="10" t="str">
        <f>IF(Table1[[#This Row],[Sell-Buy]]&gt;0,"Profit","Loss")</f>
        <v>Loss</v>
      </c>
      <c r="AG88">
        <f>Table1[[#This Row],[Column2]]-Table1[[#This Row],[Buy-sell]]</f>
        <v>0</v>
      </c>
    </row>
    <row r="89" spans="1:33" x14ac:dyDescent="0.3">
      <c r="A89" t="s">
        <v>949</v>
      </c>
      <c r="B89" t="s">
        <v>180</v>
      </c>
      <c r="C89" s="1">
        <v>45778.019444444442</v>
      </c>
      <c r="D89" t="s">
        <v>11</v>
      </c>
      <c r="E89" t="s">
        <v>166</v>
      </c>
      <c r="F89">
        <v>386</v>
      </c>
      <c r="G89">
        <v>1209.22</v>
      </c>
      <c r="H89">
        <v>233.38</v>
      </c>
      <c r="I89" t="s">
        <v>97</v>
      </c>
      <c r="J89" t="s">
        <v>70</v>
      </c>
      <c r="L89" s="1">
        <v>45686</v>
      </c>
      <c r="M89" t="s">
        <v>166</v>
      </c>
      <c r="N89">
        <f>IF(Table1[[#This Row],[side]]="BUY", Table1[[#This Row],[quantity]],-Table1[[#This Row],[quantity]])</f>
        <v>386</v>
      </c>
      <c r="P89" t="str">
        <f>IF(Table1[[#This Row],[side]]="Sell",Table1[[#This Row],[price]],"0")</f>
        <v>0</v>
      </c>
      <c r="Q89">
        <f>SUMIFS(Table1[quantity],Table1[company_id],Table8[[#This Row],[COMPANY_ID]],Table1[side],"BUY")-SUMIFS(Table1[quantity],Table1[company_id],Table8[[#This Row],[COMPANY_ID]],Table1[side],"SELL")</f>
        <v>0</v>
      </c>
      <c r="R89">
        <f>Table1[[#This Row],[Column2]]-Table1[[#This Row],[Buy-sell]]</f>
        <v>0</v>
      </c>
      <c r="S89" t="str">
        <f>IF(Table1[[#This Row],[Sell-Buy]]&gt;0,"Profit","Loss")</f>
        <v>Loss</v>
      </c>
      <c r="T89" s="5" t="s">
        <v>304</v>
      </c>
      <c r="U89" s="8">
        <f>SUMIFS(Table1[price],Table1[order_id],Table15[[#This Row],[order_id]],Table1[side],"BUY")*Table15[[#This Row],[Buy_Quantity]]</f>
        <v>0</v>
      </c>
      <c r="V89" s="8">
        <f>SUMIFS(Table1[price],Table1[order_id],Table15[[#This Row],[order_id]],Table1[side],"SELL")</f>
        <v>1047.57</v>
      </c>
      <c r="W89" s="8">
        <f>Table15[[#This Row],[sell]]-Table15[[#This Row],[Buy]]</f>
        <v>453597.81</v>
      </c>
      <c r="X89" s="8">
        <f>IF(Table15[[#This Row],[Profit]]&gt;0,1,0)</f>
        <v>1</v>
      </c>
      <c r="Y89" s="5" t="str">
        <f>IF(Table15[[#This Row],[is Profit]]=1,"Profit","Loss")</f>
        <v>Profit</v>
      </c>
      <c r="Z89" s="5">
        <f>SUMIFS(Table1[quantity],Table1[order_id],Table15[[#This Row],[order_id]],Table1[side],"SELL")</f>
        <v>433</v>
      </c>
      <c r="AA89" s="5">
        <f>Table15[[#This Row],[Buy_value]]*Table15[[#This Row],[Buy_Quantity]]</f>
        <v>0</v>
      </c>
      <c r="AB89" s="5">
        <f>Table15[[#This Row],[Sell_Value]]*Table15[[#This Row],[Sell_Quantity]]</f>
        <v>453597.81</v>
      </c>
      <c r="AC89" s="5">
        <f>SUMIFS(Table1[quantity],Table1[order_id],Table15[[#This Row],[order_id]],Table1[side],"BUY")</f>
        <v>0</v>
      </c>
      <c r="AE89" s="10" t="s">
        <v>834</v>
      </c>
      <c r="AF89" s="10" t="str">
        <f>IF(Table1[[#This Row],[Sell-Buy]]&gt;0,"Profit","Loss")</f>
        <v>Loss</v>
      </c>
      <c r="AG89">
        <f>Table1[[#This Row],[Column2]]-Table1[[#This Row],[Buy-sell]]</f>
        <v>0</v>
      </c>
    </row>
    <row r="90" spans="1:33" x14ac:dyDescent="0.3">
      <c r="A90" t="s">
        <v>959</v>
      </c>
      <c r="B90" t="s">
        <v>550</v>
      </c>
      <c r="C90" s="1">
        <v>45688.033333333333</v>
      </c>
      <c r="D90" t="s">
        <v>11</v>
      </c>
      <c r="E90" t="s">
        <v>171</v>
      </c>
      <c r="F90">
        <v>66</v>
      </c>
      <c r="G90">
        <v>1187.55</v>
      </c>
      <c r="H90">
        <v>39.19</v>
      </c>
      <c r="I90" t="s">
        <v>142</v>
      </c>
      <c r="J90" t="s">
        <v>61</v>
      </c>
      <c r="L90" s="1">
        <v>45798</v>
      </c>
      <c r="N90">
        <f>IF(Table1[[#This Row],[side]]="BUY", Table1[[#This Row],[quantity]],-Table1[[#This Row],[quantity]])</f>
        <v>-66</v>
      </c>
      <c r="O90" t="s">
        <v>171</v>
      </c>
      <c r="P90">
        <f>IF(Table1[[#This Row],[side]]="Sell",Table1[[#This Row],[price]],"0")</f>
        <v>1187.55</v>
      </c>
      <c r="Q90">
        <f>SUMIFS(Table1[quantity],Table1[company_id],Table8[[#This Row],[COMPANY_ID]],Table1[side],"BUY")-SUMIFS(Table1[quantity],Table1[company_id],Table8[[#This Row],[COMPANY_ID]],Table1[side],"SELL")</f>
        <v>0</v>
      </c>
      <c r="R90">
        <f>Table1[[#This Row],[Column2]]-Table1[[#This Row],[Buy-sell]]</f>
        <v>1187.55</v>
      </c>
      <c r="S90" t="str">
        <f>IF(Table1[[#This Row],[Sell-Buy]]&gt;0,"Profit","Loss")</f>
        <v>Profit</v>
      </c>
      <c r="T90" s="4" t="s">
        <v>305</v>
      </c>
      <c r="U90" s="8">
        <f>SUMIFS(Table1[price],Table1[order_id],Table15[[#This Row],[order_id]],Table1[side],"BUY")*Table15[[#This Row],[Buy_Quantity]]</f>
        <v>3443788.16</v>
      </c>
      <c r="V90" s="8">
        <f>SUMIFS(Table1[price],Table1[order_id],Table15[[#This Row],[order_id]],Table1[side],"SELL")</f>
        <v>0</v>
      </c>
      <c r="W90" s="8">
        <f>Table15[[#This Row],[sell]]-Table15[[#This Row],[Buy]]</f>
        <v>-4501031125.1199999</v>
      </c>
      <c r="X90" s="8">
        <f>IF(Table15[[#This Row],[Profit]]&gt;0,1,0)</f>
        <v>0</v>
      </c>
      <c r="Y90" s="5" t="str">
        <f>IF(Table15[[#This Row],[is Profit]]=1,"Profit","Loss")</f>
        <v>Loss</v>
      </c>
      <c r="Z90" s="5">
        <f>SUMIFS(Table1[quantity],Table1[order_id],Table15[[#This Row],[order_id]],Table1[side],"SELL")</f>
        <v>0</v>
      </c>
      <c r="AA90" s="5">
        <f>Table15[[#This Row],[Buy_value]]*Table15[[#This Row],[Buy_Quantity]]</f>
        <v>4501031125.1199999</v>
      </c>
      <c r="AB90" s="5">
        <f>Table15[[#This Row],[Sell_Value]]*Table15[[#This Row],[Sell_Quantity]]</f>
        <v>0</v>
      </c>
      <c r="AC90" s="5">
        <f>SUMIFS(Table1[quantity],Table1[order_id],Table15[[#This Row],[order_id]],Table1[side],"BUY")</f>
        <v>1307</v>
      </c>
      <c r="AE90" s="9" t="s">
        <v>975</v>
      </c>
      <c r="AF90" s="10" t="str">
        <f>IF(Table1[[#This Row],[Sell-Buy]]&gt;0,"Profit","Loss")</f>
        <v>Profit</v>
      </c>
      <c r="AG90">
        <f>Table1[[#This Row],[Column2]]-Table1[[#This Row],[Buy-sell]]</f>
        <v>1187.55</v>
      </c>
    </row>
    <row r="91" spans="1:33" x14ac:dyDescent="0.3">
      <c r="A91" t="s">
        <v>971</v>
      </c>
      <c r="B91" t="s">
        <v>601</v>
      </c>
      <c r="C91" s="1">
        <v>45698.003472222219</v>
      </c>
      <c r="D91" t="s">
        <v>11</v>
      </c>
      <c r="E91" t="s">
        <v>171</v>
      </c>
      <c r="F91">
        <v>635</v>
      </c>
      <c r="G91">
        <v>1217.55</v>
      </c>
      <c r="H91">
        <v>386.57</v>
      </c>
      <c r="I91" t="s">
        <v>150</v>
      </c>
      <c r="J91" t="s">
        <v>61</v>
      </c>
      <c r="L91" s="1">
        <v>45715</v>
      </c>
      <c r="N91">
        <f>IF(Table1[[#This Row],[side]]="BUY", Table1[[#This Row],[quantity]],-Table1[[#This Row],[quantity]])</f>
        <v>-635</v>
      </c>
      <c r="O91" t="s">
        <v>171</v>
      </c>
      <c r="P91">
        <f>IF(Table1[[#This Row],[side]]="Sell",Table1[[#This Row],[price]],"0")</f>
        <v>1217.55</v>
      </c>
      <c r="Q91">
        <f>SUMIFS(Table1[quantity],Table1[company_id],Table8[[#This Row],[COMPANY_ID]],Table1[side],"BUY")-SUMIFS(Table1[quantity],Table1[company_id],Table8[[#This Row],[COMPANY_ID]],Table1[side],"SELL")</f>
        <v>0</v>
      </c>
      <c r="R91">
        <f>Table1[[#This Row],[Column2]]-Table1[[#This Row],[Buy-sell]]</f>
        <v>1217.55</v>
      </c>
      <c r="S91" t="str">
        <f>IF(Table1[[#This Row],[Sell-Buy]]&gt;0,"Profit","Loss")</f>
        <v>Profit</v>
      </c>
      <c r="T91" s="5" t="s">
        <v>306</v>
      </c>
      <c r="U91" s="8">
        <f>SUMIFS(Table1[price],Table1[order_id],Table15[[#This Row],[order_id]],Table1[side],"BUY")*Table15[[#This Row],[Buy_Quantity]]</f>
        <v>1002461.2999999999</v>
      </c>
      <c r="V91" s="8">
        <f>SUMIFS(Table1[price],Table1[order_id],Table15[[#This Row],[order_id]],Table1[side],"SELL")</f>
        <v>0</v>
      </c>
      <c r="W91" s="8">
        <f>Table15[[#This Row],[sell]]-Table15[[#This Row],[Buy]]</f>
        <v>-967375154.49999988</v>
      </c>
      <c r="X91" s="8">
        <f>IF(Table15[[#This Row],[Profit]]&gt;0,1,0)</f>
        <v>0</v>
      </c>
      <c r="Y91" s="5" t="str">
        <f>IF(Table15[[#This Row],[is Profit]]=1,"Profit","Loss")</f>
        <v>Loss</v>
      </c>
      <c r="Z91" s="5">
        <f>SUMIFS(Table1[quantity],Table1[order_id],Table15[[#This Row],[order_id]],Table1[side],"SELL")</f>
        <v>0</v>
      </c>
      <c r="AA91" s="5">
        <f>Table15[[#This Row],[Buy_value]]*Table15[[#This Row],[Buy_Quantity]]</f>
        <v>967375154.49999988</v>
      </c>
      <c r="AB91" s="5">
        <f>Table15[[#This Row],[Sell_Value]]*Table15[[#This Row],[Sell_Quantity]]</f>
        <v>0</v>
      </c>
      <c r="AC91" s="5">
        <f>SUMIFS(Table1[quantity],Table1[order_id],Table15[[#This Row],[order_id]],Table1[side],"BUY")</f>
        <v>965</v>
      </c>
      <c r="AE91" s="10" t="s">
        <v>1009</v>
      </c>
      <c r="AF91" s="10" t="str">
        <f>IF(Table1[[#This Row],[Sell-Buy]]&gt;0,"Profit","Loss")</f>
        <v>Profit</v>
      </c>
      <c r="AG91">
        <f>Table1[[#This Row],[Column2]]-Table1[[#This Row],[Buy-sell]]</f>
        <v>1217.55</v>
      </c>
    </row>
    <row r="92" spans="1:33" x14ac:dyDescent="0.3">
      <c r="A92" t="s">
        <v>991</v>
      </c>
      <c r="B92" t="s">
        <v>543</v>
      </c>
      <c r="C92" s="1">
        <v>45659.015972222223</v>
      </c>
      <c r="D92" t="s">
        <v>11</v>
      </c>
      <c r="E92" t="s">
        <v>166</v>
      </c>
      <c r="F92">
        <v>722</v>
      </c>
      <c r="G92">
        <v>1155.97</v>
      </c>
      <c r="H92">
        <v>417.31</v>
      </c>
      <c r="I92" t="s">
        <v>126</v>
      </c>
      <c r="J92" t="s">
        <v>49</v>
      </c>
      <c r="L92" s="1">
        <v>45707</v>
      </c>
      <c r="M92" t="s">
        <v>166</v>
      </c>
      <c r="N92">
        <f>IF(Table1[[#This Row],[side]]="BUY", Table1[[#This Row],[quantity]],-Table1[[#This Row],[quantity]])</f>
        <v>722</v>
      </c>
      <c r="P92" t="str">
        <f>IF(Table1[[#This Row],[side]]="Sell",Table1[[#This Row],[price]],"0")</f>
        <v>0</v>
      </c>
      <c r="Q92">
        <f>SUMIFS(Table1[quantity],Table1[company_id],Table8[[#This Row],[COMPANY_ID]],Table1[side],"BUY")-SUMIFS(Table1[quantity],Table1[company_id],Table8[[#This Row],[COMPANY_ID]],Table1[side],"SELL")</f>
        <v>0</v>
      </c>
      <c r="R92">
        <f>Table1[[#This Row],[Column2]]-Table1[[#This Row],[Buy-sell]]</f>
        <v>0</v>
      </c>
      <c r="S92" t="str">
        <f>IF(Table1[[#This Row],[Sell-Buy]]&gt;0,"Profit","Loss")</f>
        <v>Loss</v>
      </c>
      <c r="T92" s="5" t="s">
        <v>307</v>
      </c>
      <c r="U92" s="8">
        <f>SUMIFS(Table1[price],Table1[order_id],Table15[[#This Row],[order_id]],Table1[side],"BUY")*Table15[[#This Row],[Buy_Quantity]]</f>
        <v>0</v>
      </c>
      <c r="V92" s="8">
        <f>SUMIFS(Table1[price],Table1[order_id],Table15[[#This Row],[order_id]],Table1[side],"SELL")</f>
        <v>742.82</v>
      </c>
      <c r="W92" s="8">
        <f>Table15[[#This Row],[sell]]-Table15[[#This Row],[Buy]]</f>
        <v>698250.8</v>
      </c>
      <c r="X92" s="8">
        <f>IF(Table15[[#This Row],[Profit]]&gt;0,1,0)</f>
        <v>1</v>
      </c>
      <c r="Y92" s="5" t="str">
        <f>IF(Table15[[#This Row],[is Profit]]=1,"Profit","Loss")</f>
        <v>Profit</v>
      </c>
      <c r="Z92" s="5">
        <f>SUMIFS(Table1[quantity],Table1[order_id],Table15[[#This Row],[order_id]],Table1[side],"SELL")</f>
        <v>940</v>
      </c>
      <c r="AA92" s="5">
        <f>Table15[[#This Row],[Buy_value]]*Table15[[#This Row],[Buy_Quantity]]</f>
        <v>0</v>
      </c>
      <c r="AB92" s="5">
        <f>Table15[[#This Row],[Sell_Value]]*Table15[[#This Row],[Sell_Quantity]]</f>
        <v>698250.8</v>
      </c>
      <c r="AC92" s="5">
        <f>SUMIFS(Table1[quantity],Table1[order_id],Table15[[#This Row],[order_id]],Table1[side],"BUY")</f>
        <v>0</v>
      </c>
      <c r="AE92" s="9" t="s">
        <v>1076</v>
      </c>
      <c r="AF92" s="10" t="str">
        <f>IF(Table1[[#This Row],[Sell-Buy]]&gt;0,"Profit","Loss")</f>
        <v>Loss</v>
      </c>
      <c r="AG92">
        <f>Table1[[#This Row],[Column2]]-Table1[[#This Row],[Buy-sell]]</f>
        <v>0</v>
      </c>
    </row>
    <row r="93" spans="1:33" x14ac:dyDescent="0.3">
      <c r="A93" t="s">
        <v>993</v>
      </c>
      <c r="B93" t="s">
        <v>509</v>
      </c>
      <c r="C93" s="1">
        <v>45702.021527777775</v>
      </c>
      <c r="D93" t="s">
        <v>11</v>
      </c>
      <c r="E93" t="s">
        <v>166</v>
      </c>
      <c r="F93">
        <v>519</v>
      </c>
      <c r="G93">
        <v>1251.47</v>
      </c>
      <c r="H93">
        <v>324.76</v>
      </c>
      <c r="I93" t="s">
        <v>146</v>
      </c>
      <c r="J93" t="s">
        <v>64</v>
      </c>
      <c r="L93" s="1">
        <v>45805</v>
      </c>
      <c r="M93" t="s">
        <v>166</v>
      </c>
      <c r="N93">
        <f>IF(Table1[[#This Row],[side]]="BUY", Table1[[#This Row],[quantity]],-Table1[[#This Row],[quantity]])</f>
        <v>519</v>
      </c>
      <c r="P93" t="str">
        <f>IF(Table1[[#This Row],[side]]="Sell",Table1[[#This Row],[price]],"0")</f>
        <v>0</v>
      </c>
      <c r="Q93">
        <f>SUMIFS(Table1[quantity],Table1[company_id],Table8[[#This Row],[COMPANY_ID]],Table1[side],"BUY")-SUMIFS(Table1[quantity],Table1[company_id],Table8[[#This Row],[COMPANY_ID]],Table1[side],"SELL")</f>
        <v>0</v>
      </c>
      <c r="R93">
        <f>Table1[[#This Row],[Column2]]-Table1[[#This Row],[Buy-sell]]</f>
        <v>0</v>
      </c>
      <c r="S93" t="str">
        <f>IF(Table1[[#This Row],[Sell-Buy]]&gt;0,"Profit","Loss")</f>
        <v>Loss</v>
      </c>
      <c r="T93" s="5" t="s">
        <v>308</v>
      </c>
      <c r="U93" s="8">
        <f>SUMIFS(Table1[price],Table1[order_id],Table15[[#This Row],[order_id]],Table1[side],"BUY")*Table15[[#This Row],[Buy_Quantity]]</f>
        <v>142262.75</v>
      </c>
      <c r="V93" s="8">
        <f>SUMIFS(Table1[price],Table1[order_id],Table15[[#This Row],[order_id]],Table1[side],"SELL")</f>
        <v>0</v>
      </c>
      <c r="W93" s="8">
        <f>Table15[[#This Row],[sell]]-Table15[[#This Row],[Buy]]</f>
        <v>-24895981.25</v>
      </c>
      <c r="X93" s="8">
        <f>IF(Table15[[#This Row],[Profit]]&gt;0,1,0)</f>
        <v>0</v>
      </c>
      <c r="Y93" s="5" t="str">
        <f>IF(Table15[[#This Row],[is Profit]]=1,"Profit","Loss")</f>
        <v>Loss</v>
      </c>
      <c r="Z93" s="5">
        <f>SUMIFS(Table1[quantity],Table1[order_id],Table15[[#This Row],[order_id]],Table1[side],"SELL")</f>
        <v>0</v>
      </c>
      <c r="AA93" s="5">
        <f>Table15[[#This Row],[Buy_value]]*Table15[[#This Row],[Buy_Quantity]]</f>
        <v>24895981.25</v>
      </c>
      <c r="AB93" s="5">
        <f>Table15[[#This Row],[Sell_Value]]*Table15[[#This Row],[Sell_Quantity]]</f>
        <v>0</v>
      </c>
      <c r="AC93" s="5">
        <f>SUMIFS(Table1[quantity],Table1[order_id],Table15[[#This Row],[order_id]],Table1[side],"BUY")</f>
        <v>175</v>
      </c>
      <c r="AE93" s="10" t="s">
        <v>1160</v>
      </c>
      <c r="AF93" s="10" t="str">
        <f>IF(Table1[[#This Row],[Sell-Buy]]&gt;0,"Profit","Loss")</f>
        <v>Loss</v>
      </c>
      <c r="AG93">
        <f>Table1[[#This Row],[Column2]]-Table1[[#This Row],[Buy-sell]]</f>
        <v>0</v>
      </c>
    </row>
    <row r="94" spans="1:33" x14ac:dyDescent="0.3">
      <c r="A94" t="s">
        <v>998</v>
      </c>
      <c r="B94" t="s">
        <v>233</v>
      </c>
      <c r="C94" s="1">
        <v>45776.038888888892</v>
      </c>
      <c r="D94" t="s">
        <v>11</v>
      </c>
      <c r="E94" t="s">
        <v>171</v>
      </c>
      <c r="F94">
        <v>206</v>
      </c>
      <c r="G94">
        <v>1230.1199999999999</v>
      </c>
      <c r="H94">
        <v>126.7</v>
      </c>
      <c r="I94" t="s">
        <v>124</v>
      </c>
      <c r="J94" t="s">
        <v>67</v>
      </c>
      <c r="L94" s="1">
        <v>45706</v>
      </c>
      <c r="N94">
        <f>IF(Table1[[#This Row],[side]]="BUY", Table1[[#This Row],[quantity]],-Table1[[#This Row],[quantity]])</f>
        <v>-206</v>
      </c>
      <c r="O94" t="s">
        <v>171</v>
      </c>
      <c r="P94">
        <f>IF(Table1[[#This Row],[side]]="Sell",Table1[[#This Row],[price]],"0")</f>
        <v>1230.1199999999999</v>
      </c>
      <c r="Q94">
        <f>SUMIFS(Table1[quantity],Table1[company_id],Table8[[#This Row],[COMPANY_ID]],Table1[side],"BUY")-SUMIFS(Table1[quantity],Table1[company_id],Table8[[#This Row],[COMPANY_ID]],Table1[side],"SELL")</f>
        <v>0</v>
      </c>
      <c r="R94">
        <f>Table1[[#This Row],[Column2]]-Table1[[#This Row],[Buy-sell]]</f>
        <v>1230.1199999999999</v>
      </c>
      <c r="S94" t="str">
        <f>IF(Table1[[#This Row],[Sell-Buy]]&gt;0,"Profit","Loss")</f>
        <v>Profit</v>
      </c>
      <c r="T94" s="5" t="s">
        <v>310</v>
      </c>
      <c r="U94" s="8">
        <f>SUMIFS(Table1[price],Table1[order_id],Table15[[#This Row],[order_id]],Table1[side],"BUY")*Table15[[#This Row],[Buy_Quantity]]</f>
        <v>235904.09999999998</v>
      </c>
      <c r="V94" s="8">
        <f>SUMIFS(Table1[price],Table1[order_id],Table15[[#This Row],[order_id]],Table1[side],"SELL")</f>
        <v>0</v>
      </c>
      <c r="W94" s="8">
        <f>Table15[[#This Row],[sell]]-Table15[[#This Row],[Buy]]</f>
        <v>-90115366.199999988</v>
      </c>
      <c r="X94" s="8">
        <f>IF(Table15[[#This Row],[Profit]]&gt;0,1,0)</f>
        <v>0</v>
      </c>
      <c r="Y94" s="5" t="str">
        <f>IF(Table15[[#This Row],[is Profit]]=1,"Profit","Loss")</f>
        <v>Loss</v>
      </c>
      <c r="Z94" s="5">
        <f>SUMIFS(Table1[quantity],Table1[order_id],Table15[[#This Row],[order_id]],Table1[side],"SELL")</f>
        <v>0</v>
      </c>
      <c r="AA94" s="5">
        <f>Table15[[#This Row],[Buy_value]]*Table15[[#This Row],[Buy_Quantity]]</f>
        <v>90115366.199999988</v>
      </c>
      <c r="AB94" s="5">
        <f>Table15[[#This Row],[Sell_Value]]*Table15[[#This Row],[Sell_Quantity]]</f>
        <v>0</v>
      </c>
      <c r="AC94" s="5">
        <f>SUMIFS(Table1[quantity],Table1[order_id],Table15[[#This Row],[order_id]],Table1[side],"BUY")</f>
        <v>382</v>
      </c>
      <c r="AE94" s="9" t="s">
        <v>801</v>
      </c>
      <c r="AF94" s="10" t="str">
        <f>IF(Table1[[#This Row],[Sell-Buy]]&gt;0,"Profit","Loss")</f>
        <v>Profit</v>
      </c>
      <c r="AG94">
        <f>Table1[[#This Row],[Column2]]-Table1[[#This Row],[Buy-sell]]</f>
        <v>1230.1199999999999</v>
      </c>
    </row>
    <row r="95" spans="1:33" x14ac:dyDescent="0.3">
      <c r="A95" t="s">
        <v>1012</v>
      </c>
      <c r="B95" t="s">
        <v>617</v>
      </c>
      <c r="C95" s="1">
        <v>45791.029166666667</v>
      </c>
      <c r="D95" t="s">
        <v>11</v>
      </c>
      <c r="E95" t="s">
        <v>166</v>
      </c>
      <c r="F95">
        <v>866</v>
      </c>
      <c r="G95">
        <v>1231.44</v>
      </c>
      <c r="H95">
        <v>533.21</v>
      </c>
      <c r="I95" t="s">
        <v>150</v>
      </c>
      <c r="J95" t="s">
        <v>64</v>
      </c>
      <c r="L95" s="1">
        <v>45712</v>
      </c>
      <c r="M95" t="s">
        <v>166</v>
      </c>
      <c r="N95">
        <f>IF(Table1[[#This Row],[side]]="BUY", Table1[[#This Row],[quantity]],-Table1[[#This Row],[quantity]])</f>
        <v>866</v>
      </c>
      <c r="P95" t="str">
        <f>IF(Table1[[#This Row],[side]]="Sell",Table1[[#This Row],[price]],"0")</f>
        <v>0</v>
      </c>
      <c r="Q95">
        <f>SUMIFS(Table1[quantity],Table1[company_id],Table8[[#This Row],[COMPANY_ID]],Table1[side],"BUY")-SUMIFS(Table1[quantity],Table1[company_id],Table8[[#This Row],[COMPANY_ID]],Table1[side],"SELL")</f>
        <v>0</v>
      </c>
      <c r="R95">
        <f>Table1[[#This Row],[Column2]]-Table1[[#This Row],[Buy-sell]]</f>
        <v>0</v>
      </c>
      <c r="S95" t="str">
        <f>IF(Table1[[#This Row],[Sell-Buy]]&gt;0,"Profit","Loss")</f>
        <v>Loss</v>
      </c>
      <c r="T95" s="4" t="s">
        <v>312</v>
      </c>
      <c r="U95" s="8">
        <f>SUMIFS(Table1[price],Table1[order_id],Table15[[#This Row],[order_id]],Table1[side],"BUY")*Table15[[#This Row],[Buy_Quantity]]</f>
        <v>0</v>
      </c>
      <c r="V95" s="8">
        <f>SUMIFS(Table1[price],Table1[order_id],Table15[[#This Row],[order_id]],Table1[side],"SELL")</f>
        <v>1233.1099999999999</v>
      </c>
      <c r="W95" s="8">
        <f>Table15[[#This Row],[sell]]-Table15[[#This Row],[Buy]]</f>
        <v>446385.81999999995</v>
      </c>
      <c r="X95" s="8">
        <f>IF(Table15[[#This Row],[Profit]]&gt;0,1,0)</f>
        <v>1</v>
      </c>
      <c r="Y95" s="5" t="str">
        <f>IF(Table15[[#This Row],[is Profit]]=1,"Profit","Loss")</f>
        <v>Profit</v>
      </c>
      <c r="Z95" s="5">
        <f>SUMIFS(Table1[quantity],Table1[order_id],Table15[[#This Row],[order_id]],Table1[side],"SELL")</f>
        <v>362</v>
      </c>
      <c r="AA95" s="5">
        <f>Table15[[#This Row],[Buy_value]]*Table15[[#This Row],[Buy_Quantity]]</f>
        <v>0</v>
      </c>
      <c r="AB95" s="5">
        <f>Table15[[#This Row],[Sell_Value]]*Table15[[#This Row],[Sell_Quantity]]</f>
        <v>446385.81999999995</v>
      </c>
      <c r="AC95" s="5">
        <f>SUMIFS(Table1[quantity],Table1[order_id],Table15[[#This Row],[order_id]],Table1[side],"BUY")</f>
        <v>0</v>
      </c>
      <c r="AE95" s="10" t="s">
        <v>1121</v>
      </c>
      <c r="AF95" s="10" t="str">
        <f>IF(Table1[[#This Row],[Sell-Buy]]&gt;0,"Profit","Loss")</f>
        <v>Loss</v>
      </c>
      <c r="AG95">
        <f>Table1[[#This Row],[Column2]]-Table1[[#This Row],[Buy-sell]]</f>
        <v>0</v>
      </c>
    </row>
    <row r="96" spans="1:33" x14ac:dyDescent="0.3">
      <c r="A96" t="s">
        <v>1018</v>
      </c>
      <c r="B96" t="s">
        <v>181</v>
      </c>
      <c r="C96" s="1">
        <v>45814.020138888889</v>
      </c>
      <c r="D96" t="s">
        <v>11</v>
      </c>
      <c r="E96" t="s">
        <v>171</v>
      </c>
      <c r="F96">
        <v>53</v>
      </c>
      <c r="G96">
        <v>1185.76</v>
      </c>
      <c r="H96">
        <v>31.42</v>
      </c>
      <c r="I96" t="s">
        <v>148</v>
      </c>
      <c r="J96" t="s">
        <v>49</v>
      </c>
      <c r="L96" s="1">
        <v>45714</v>
      </c>
      <c r="N96">
        <f>IF(Table1[[#This Row],[side]]="BUY", Table1[[#This Row],[quantity]],-Table1[[#This Row],[quantity]])</f>
        <v>-53</v>
      </c>
      <c r="O96" t="s">
        <v>171</v>
      </c>
      <c r="P96">
        <f>IF(Table1[[#This Row],[side]]="Sell",Table1[[#This Row],[price]],"0")</f>
        <v>1185.76</v>
      </c>
      <c r="Q96">
        <f>SUMIFS(Table1[quantity],Table1[company_id],Table8[[#This Row],[COMPANY_ID]],Table1[side],"BUY")-SUMIFS(Table1[quantity],Table1[company_id],Table8[[#This Row],[COMPANY_ID]],Table1[side],"SELL")</f>
        <v>0</v>
      </c>
      <c r="R96">
        <f>Table1[[#This Row],[Column2]]-Table1[[#This Row],[Buy-sell]]</f>
        <v>1185.76</v>
      </c>
      <c r="S96" t="str">
        <f>IF(Table1[[#This Row],[Sell-Buy]]&gt;0,"Profit","Loss")</f>
        <v>Profit</v>
      </c>
      <c r="T96" s="4" t="s">
        <v>313</v>
      </c>
      <c r="U96" s="8">
        <f>SUMIFS(Table1[price],Table1[order_id],Table15[[#This Row],[order_id]],Table1[side],"BUY")*Table15[[#This Row],[Buy_Quantity]]</f>
        <v>0</v>
      </c>
      <c r="V96" s="8">
        <f>SUMIFS(Table1[price],Table1[order_id],Table15[[#This Row],[order_id]],Table1[side],"SELL")</f>
        <v>265.17</v>
      </c>
      <c r="W96" s="8">
        <f>Table15[[#This Row],[sell]]-Table15[[#This Row],[Buy]]</f>
        <v>163344.72</v>
      </c>
      <c r="X96" s="8">
        <f>IF(Table15[[#This Row],[Profit]]&gt;0,1,0)</f>
        <v>1</v>
      </c>
      <c r="Y96" s="5" t="str">
        <f>IF(Table15[[#This Row],[is Profit]]=1,"Profit","Loss")</f>
        <v>Profit</v>
      </c>
      <c r="Z96" s="5">
        <f>SUMIFS(Table1[quantity],Table1[order_id],Table15[[#This Row],[order_id]],Table1[side],"SELL")</f>
        <v>616</v>
      </c>
      <c r="AA96" s="5">
        <f>Table15[[#This Row],[Buy_value]]*Table15[[#This Row],[Buy_Quantity]]</f>
        <v>0</v>
      </c>
      <c r="AB96" s="5">
        <f>Table15[[#This Row],[Sell_Value]]*Table15[[#This Row],[Sell_Quantity]]</f>
        <v>163344.72</v>
      </c>
      <c r="AC96" s="5">
        <f>SUMIFS(Table1[quantity],Table1[order_id],Table15[[#This Row],[order_id]],Table1[side],"BUY")</f>
        <v>0</v>
      </c>
      <c r="AE96" s="9" t="s">
        <v>795</v>
      </c>
      <c r="AF96" s="10" t="str">
        <f>IF(Table1[[#This Row],[Sell-Buy]]&gt;0,"Profit","Loss")</f>
        <v>Profit</v>
      </c>
      <c r="AG96">
        <f>Table1[[#This Row],[Column2]]-Table1[[#This Row],[Buy-sell]]</f>
        <v>1185.76</v>
      </c>
    </row>
    <row r="97" spans="1:33" x14ac:dyDescent="0.3">
      <c r="A97" t="s">
        <v>1020</v>
      </c>
      <c r="B97" t="s">
        <v>480</v>
      </c>
      <c r="C97" s="1">
        <v>45672.027777777781</v>
      </c>
      <c r="D97" t="s">
        <v>11</v>
      </c>
      <c r="E97" t="s">
        <v>171</v>
      </c>
      <c r="F97">
        <v>879</v>
      </c>
      <c r="G97">
        <v>1193.78</v>
      </c>
      <c r="H97">
        <v>524.66999999999996</v>
      </c>
      <c r="I97" t="s">
        <v>110</v>
      </c>
      <c r="J97" t="s">
        <v>64</v>
      </c>
      <c r="L97" s="1">
        <v>45825</v>
      </c>
      <c r="N97">
        <f>IF(Table1[[#This Row],[side]]="BUY", Table1[[#This Row],[quantity]],-Table1[[#This Row],[quantity]])</f>
        <v>-879</v>
      </c>
      <c r="O97" t="s">
        <v>171</v>
      </c>
      <c r="P97">
        <f>IF(Table1[[#This Row],[side]]="Sell",Table1[[#This Row],[price]],"0")</f>
        <v>1193.78</v>
      </c>
      <c r="Q97">
        <f>SUMIFS(Table1[quantity],Table1[company_id],Table8[[#This Row],[COMPANY_ID]],Table1[side],"BUY")-SUMIFS(Table1[quantity],Table1[company_id],Table8[[#This Row],[COMPANY_ID]],Table1[side],"SELL")</f>
        <v>0</v>
      </c>
      <c r="R97">
        <f>Table1[[#This Row],[Column2]]-Table1[[#This Row],[Buy-sell]]</f>
        <v>1193.78</v>
      </c>
      <c r="S97" t="str">
        <f>IF(Table1[[#This Row],[Sell-Buy]]&gt;0,"Profit","Loss")</f>
        <v>Profit</v>
      </c>
      <c r="T97" s="4" t="s">
        <v>315</v>
      </c>
      <c r="U97" s="8">
        <f>SUMIFS(Table1[price],Table1[order_id],Table15[[#This Row],[order_id]],Table1[side],"BUY")*Table15[[#This Row],[Buy_Quantity]]</f>
        <v>5321545.9200000009</v>
      </c>
      <c r="V97" s="8">
        <f>SUMIFS(Table1[price],Table1[order_id],Table15[[#This Row],[order_id]],Table1[side],"SELL")</f>
        <v>0</v>
      </c>
      <c r="W97" s="8">
        <f>Table15[[#This Row],[sell]]-Table15[[#This Row],[Buy]]</f>
        <v>-11132674064.640001</v>
      </c>
      <c r="X97" s="8">
        <f>IF(Table15[[#This Row],[Profit]]&gt;0,1,0)</f>
        <v>0</v>
      </c>
      <c r="Y97" s="5" t="str">
        <f>IF(Table15[[#This Row],[is Profit]]=1,"Profit","Loss")</f>
        <v>Loss</v>
      </c>
      <c r="Z97" s="5">
        <f>SUMIFS(Table1[quantity],Table1[order_id],Table15[[#This Row],[order_id]],Table1[side],"SELL")</f>
        <v>0</v>
      </c>
      <c r="AA97" s="5">
        <f>Table15[[#This Row],[Buy_value]]*Table15[[#This Row],[Buy_Quantity]]</f>
        <v>11132674064.640001</v>
      </c>
      <c r="AB97" s="5">
        <f>Table15[[#This Row],[Sell_Value]]*Table15[[#This Row],[Sell_Quantity]]</f>
        <v>0</v>
      </c>
      <c r="AC97" s="5">
        <f>SUMIFS(Table1[quantity],Table1[order_id],Table15[[#This Row],[order_id]],Table1[side],"BUY")</f>
        <v>2092</v>
      </c>
      <c r="AE97" s="10" t="s">
        <v>1133</v>
      </c>
      <c r="AF97" s="10" t="str">
        <f>IF(Table1[[#This Row],[Sell-Buy]]&gt;0,"Profit","Loss")</f>
        <v>Profit</v>
      </c>
      <c r="AG97">
        <f>Table1[[#This Row],[Column2]]-Table1[[#This Row],[Buy-sell]]</f>
        <v>1193.78</v>
      </c>
    </row>
    <row r="98" spans="1:33" x14ac:dyDescent="0.3">
      <c r="A98" t="s">
        <v>1028</v>
      </c>
      <c r="B98" t="s">
        <v>576</v>
      </c>
      <c r="C98" s="1">
        <v>45799.034722222219</v>
      </c>
      <c r="D98" t="s">
        <v>11</v>
      </c>
      <c r="E98" t="s">
        <v>171</v>
      </c>
      <c r="F98">
        <v>913</v>
      </c>
      <c r="G98">
        <v>1254.46</v>
      </c>
      <c r="H98">
        <v>572.66</v>
      </c>
      <c r="I98" t="s">
        <v>106</v>
      </c>
      <c r="J98" t="s">
        <v>70</v>
      </c>
      <c r="L98" s="1">
        <v>45727</v>
      </c>
      <c r="N98">
        <f>IF(Table1[[#This Row],[side]]="BUY", Table1[[#This Row],[quantity]],-Table1[[#This Row],[quantity]])</f>
        <v>-913</v>
      </c>
      <c r="O98" t="s">
        <v>171</v>
      </c>
      <c r="P98">
        <f>IF(Table1[[#This Row],[side]]="Sell",Table1[[#This Row],[price]],"0")</f>
        <v>1254.46</v>
      </c>
      <c r="Q98">
        <f>SUMIFS(Table1[quantity],Table1[company_id],Table8[[#This Row],[COMPANY_ID]],Table1[side],"BUY")-SUMIFS(Table1[quantity],Table1[company_id],Table8[[#This Row],[COMPANY_ID]],Table1[side],"SELL")</f>
        <v>0</v>
      </c>
      <c r="R98">
        <f>Table1[[#This Row],[Column2]]-Table1[[#This Row],[Buy-sell]]</f>
        <v>1254.46</v>
      </c>
      <c r="S98" t="str">
        <f>IF(Table1[[#This Row],[Sell-Buy]]&gt;0,"Profit","Loss")</f>
        <v>Profit</v>
      </c>
      <c r="T98" s="4" t="s">
        <v>318</v>
      </c>
      <c r="U98" s="8">
        <f>SUMIFS(Table1[price],Table1[order_id],Table15[[#This Row],[order_id]],Table1[side],"BUY")*Table15[[#This Row],[Buy_Quantity]]</f>
        <v>0</v>
      </c>
      <c r="V98" s="8">
        <f>SUMIFS(Table1[price],Table1[order_id],Table15[[#This Row],[order_id]],Table1[side],"SELL")</f>
        <v>553.74</v>
      </c>
      <c r="W98" s="8">
        <f>Table15[[#This Row],[sell]]-Table15[[#This Row],[Buy]]</f>
        <v>245860.56</v>
      </c>
      <c r="X98" s="8">
        <f>IF(Table15[[#This Row],[Profit]]&gt;0,1,0)</f>
        <v>1</v>
      </c>
      <c r="Y98" s="5" t="str">
        <f>IF(Table15[[#This Row],[is Profit]]=1,"Profit","Loss")</f>
        <v>Profit</v>
      </c>
      <c r="Z98" s="5">
        <f>SUMIFS(Table1[quantity],Table1[order_id],Table15[[#This Row],[order_id]],Table1[side],"SELL")</f>
        <v>444</v>
      </c>
      <c r="AA98" s="5">
        <f>Table15[[#This Row],[Buy_value]]*Table15[[#This Row],[Buy_Quantity]]</f>
        <v>0</v>
      </c>
      <c r="AB98" s="5">
        <f>Table15[[#This Row],[Sell_Value]]*Table15[[#This Row],[Sell_Quantity]]</f>
        <v>245860.56</v>
      </c>
      <c r="AC98" s="5">
        <f>SUMIFS(Table1[quantity],Table1[order_id],Table15[[#This Row],[order_id]],Table1[side],"BUY")</f>
        <v>0</v>
      </c>
      <c r="AE98" s="9" t="s">
        <v>720</v>
      </c>
      <c r="AF98" s="10" t="str">
        <f>IF(Table1[[#This Row],[Sell-Buy]]&gt;0,"Profit","Loss")</f>
        <v>Profit</v>
      </c>
      <c r="AG98">
        <f>Table1[[#This Row],[Column2]]-Table1[[#This Row],[Buy-sell]]</f>
        <v>1254.46</v>
      </c>
    </row>
    <row r="99" spans="1:33" x14ac:dyDescent="0.3">
      <c r="A99" t="s">
        <v>1031</v>
      </c>
      <c r="B99" t="s">
        <v>375</v>
      </c>
      <c r="C99" s="1">
        <v>45818.022916666669</v>
      </c>
      <c r="D99" t="s">
        <v>11</v>
      </c>
      <c r="E99" t="s">
        <v>171</v>
      </c>
      <c r="F99">
        <v>783</v>
      </c>
      <c r="G99">
        <v>1215.01</v>
      </c>
      <c r="H99">
        <v>475.68</v>
      </c>
      <c r="I99" t="s">
        <v>118</v>
      </c>
      <c r="J99" t="s">
        <v>49</v>
      </c>
      <c r="L99" s="1">
        <v>45747</v>
      </c>
      <c r="N99">
        <f>IF(Table1[[#This Row],[side]]="BUY", Table1[[#This Row],[quantity]],-Table1[[#This Row],[quantity]])</f>
        <v>-783</v>
      </c>
      <c r="O99" t="s">
        <v>171</v>
      </c>
      <c r="P99">
        <f>IF(Table1[[#This Row],[side]]="Sell",Table1[[#This Row],[price]],"0")</f>
        <v>1215.01</v>
      </c>
      <c r="Q99">
        <f>SUMIFS(Table1[quantity],Table1[company_id],Table8[[#This Row],[COMPANY_ID]],Table1[side],"BUY")-SUMIFS(Table1[quantity],Table1[company_id],Table8[[#This Row],[COMPANY_ID]],Table1[side],"SELL")</f>
        <v>0</v>
      </c>
      <c r="R99">
        <f>Table1[[#This Row],[Column2]]-Table1[[#This Row],[Buy-sell]]</f>
        <v>1215.01</v>
      </c>
      <c r="S99" t="str">
        <f>IF(Table1[[#This Row],[Sell-Buy]]&gt;0,"Profit","Loss")</f>
        <v>Profit</v>
      </c>
      <c r="T99" s="4" t="s">
        <v>319</v>
      </c>
      <c r="U99" s="8">
        <f>SUMIFS(Table1[price],Table1[order_id],Table15[[#This Row],[order_id]],Table1[side],"BUY")*Table15[[#This Row],[Buy_Quantity]]</f>
        <v>143764.08000000002</v>
      </c>
      <c r="V99" s="8">
        <f>SUMIFS(Table1[price],Table1[order_id],Table15[[#This Row],[order_id]],Table1[side],"SELL")</f>
        <v>232.48</v>
      </c>
      <c r="W99" s="8">
        <f>Table15[[#This Row],[sell]]-Table15[[#This Row],[Buy]]</f>
        <v>-86644730.560000002</v>
      </c>
      <c r="X99" s="8">
        <f>IF(Table15[[#This Row],[Profit]]&gt;0,1,0)</f>
        <v>0</v>
      </c>
      <c r="Y99" s="5" t="str">
        <f>IF(Table15[[#This Row],[is Profit]]=1,"Profit","Loss")</f>
        <v>Loss</v>
      </c>
      <c r="Z99" s="5">
        <f>SUMIFS(Table1[quantity],Table1[order_id],Table15[[#This Row],[order_id]],Table1[side],"SELL")</f>
        <v>812</v>
      </c>
      <c r="AA99" s="5">
        <f>Table15[[#This Row],[Buy_value]]*Table15[[#This Row],[Buy_Quantity]]</f>
        <v>86833504.320000008</v>
      </c>
      <c r="AB99" s="5">
        <f>Table15[[#This Row],[Sell_Value]]*Table15[[#This Row],[Sell_Quantity]]</f>
        <v>188773.75999999998</v>
      </c>
      <c r="AC99" s="5">
        <f>SUMIFS(Table1[quantity],Table1[order_id],Table15[[#This Row],[order_id]],Table1[side],"BUY")</f>
        <v>604</v>
      </c>
      <c r="AE99" s="10" t="s">
        <v>1109</v>
      </c>
      <c r="AF99" s="10" t="str">
        <f>IF(Table1[[#This Row],[Sell-Buy]]&gt;0,"Profit","Loss")</f>
        <v>Profit</v>
      </c>
      <c r="AG99">
        <f>Table1[[#This Row],[Column2]]-Table1[[#This Row],[Buy-sell]]</f>
        <v>1215.01</v>
      </c>
    </row>
    <row r="100" spans="1:33" x14ac:dyDescent="0.3">
      <c r="A100" t="s">
        <v>1036</v>
      </c>
      <c r="B100" t="s">
        <v>312</v>
      </c>
      <c r="C100" s="1">
        <v>45684.027777777781</v>
      </c>
      <c r="D100" t="s">
        <v>11</v>
      </c>
      <c r="E100" t="s">
        <v>171</v>
      </c>
      <c r="F100">
        <v>362</v>
      </c>
      <c r="G100">
        <v>1233.1099999999999</v>
      </c>
      <c r="H100">
        <v>223.19</v>
      </c>
      <c r="I100" t="s">
        <v>97</v>
      </c>
      <c r="J100" t="s">
        <v>70</v>
      </c>
      <c r="L100" s="1">
        <v>45827</v>
      </c>
      <c r="N100">
        <f>IF(Table1[[#This Row],[side]]="BUY", Table1[[#This Row],[quantity]],-Table1[[#This Row],[quantity]])</f>
        <v>-362</v>
      </c>
      <c r="O100" t="s">
        <v>171</v>
      </c>
      <c r="P100">
        <f>IF(Table1[[#This Row],[side]]="Sell",Table1[[#This Row],[price]],"0")</f>
        <v>1233.1099999999999</v>
      </c>
      <c r="Q100">
        <f>SUMIFS(Table1[quantity],Table1[company_id],Table8[[#This Row],[COMPANY_ID]],Table1[side],"BUY")-SUMIFS(Table1[quantity],Table1[company_id],Table8[[#This Row],[COMPANY_ID]],Table1[side],"SELL")</f>
        <v>0</v>
      </c>
      <c r="R100">
        <f>Table1[[#This Row],[Column2]]-Table1[[#This Row],[Buy-sell]]</f>
        <v>1233.1099999999999</v>
      </c>
      <c r="S100" t="str">
        <f>IF(Table1[[#This Row],[Sell-Buy]]&gt;0,"Profit","Loss")</f>
        <v>Profit</v>
      </c>
      <c r="T100" s="4" t="s">
        <v>322</v>
      </c>
      <c r="U100" s="8">
        <f>SUMIFS(Table1[price],Table1[order_id],Table15[[#This Row],[order_id]],Table1[side],"BUY")*Table15[[#This Row],[Buy_Quantity]]</f>
        <v>0</v>
      </c>
      <c r="V100" s="8">
        <f>SUMIFS(Table1[price],Table1[order_id],Table15[[#This Row],[order_id]],Table1[side],"SELL")</f>
        <v>1028.25</v>
      </c>
      <c r="W100" s="8">
        <f>Table15[[#This Row],[sell]]-Table15[[#This Row],[Buy]]</f>
        <v>891492.75</v>
      </c>
      <c r="X100" s="8">
        <f>IF(Table15[[#This Row],[Profit]]&gt;0,1,0)</f>
        <v>1</v>
      </c>
      <c r="Y100" s="5" t="str">
        <f>IF(Table15[[#This Row],[is Profit]]=1,"Profit","Loss")</f>
        <v>Profit</v>
      </c>
      <c r="Z100" s="5">
        <f>SUMIFS(Table1[quantity],Table1[order_id],Table15[[#This Row],[order_id]],Table1[side],"SELL")</f>
        <v>867</v>
      </c>
      <c r="AA100" s="5">
        <f>Table15[[#This Row],[Buy_value]]*Table15[[#This Row],[Buy_Quantity]]</f>
        <v>0</v>
      </c>
      <c r="AB100" s="5">
        <f>Table15[[#This Row],[Sell_Value]]*Table15[[#This Row],[Sell_Quantity]]</f>
        <v>891492.75</v>
      </c>
      <c r="AC100" s="5">
        <f>SUMIFS(Table1[quantity],Table1[order_id],Table15[[#This Row],[order_id]],Table1[side],"BUY")</f>
        <v>0</v>
      </c>
      <c r="AE100" s="9" t="s">
        <v>1130</v>
      </c>
      <c r="AF100" s="10" t="str">
        <f>IF(Table1[[#This Row],[Sell-Buy]]&gt;0,"Profit","Loss")</f>
        <v>Profit</v>
      </c>
      <c r="AG100">
        <f>Table1[[#This Row],[Column2]]-Table1[[#This Row],[Buy-sell]]</f>
        <v>1233.1099999999999</v>
      </c>
    </row>
    <row r="101" spans="1:33" x14ac:dyDescent="0.3">
      <c r="A101" t="s">
        <v>1039</v>
      </c>
      <c r="B101" t="s">
        <v>664</v>
      </c>
      <c r="C101" s="1">
        <v>45826.018055555556</v>
      </c>
      <c r="D101" t="s">
        <v>11</v>
      </c>
      <c r="E101" t="s">
        <v>166</v>
      </c>
      <c r="F101">
        <v>747</v>
      </c>
      <c r="G101">
        <v>1292.8399999999999</v>
      </c>
      <c r="H101">
        <v>482.88</v>
      </c>
      <c r="I101" t="s">
        <v>148</v>
      </c>
      <c r="J101" t="s">
        <v>70</v>
      </c>
      <c r="L101" s="1">
        <v>45782</v>
      </c>
      <c r="M101" t="s">
        <v>166</v>
      </c>
      <c r="N101">
        <f>IF(Table1[[#This Row],[side]]="BUY", Table1[[#This Row],[quantity]],-Table1[[#This Row],[quantity]])</f>
        <v>747</v>
      </c>
      <c r="P101" t="str">
        <f>IF(Table1[[#This Row],[side]]="Sell",Table1[[#This Row],[price]],"0")</f>
        <v>0</v>
      </c>
      <c r="Q101">
        <f>SUMIFS(Table1[quantity],Table1[company_id],Table8[[#This Row],[COMPANY_ID]],Table1[side],"BUY")-SUMIFS(Table1[quantity],Table1[company_id],Table8[[#This Row],[COMPANY_ID]],Table1[side],"SELL")</f>
        <v>0</v>
      </c>
      <c r="R101">
        <f>Table1[[#This Row],[Column2]]-Table1[[#This Row],[Buy-sell]]</f>
        <v>0</v>
      </c>
      <c r="S101" t="str">
        <f>IF(Table1[[#This Row],[Sell-Buy]]&gt;0,"Profit","Loss")</f>
        <v>Loss</v>
      </c>
      <c r="T101" s="4" t="s">
        <v>323</v>
      </c>
      <c r="U101" s="8">
        <f>SUMIFS(Table1[price],Table1[order_id],Table15[[#This Row],[order_id]],Table1[side],"BUY")*Table15[[#This Row],[Buy_Quantity]]</f>
        <v>106128.75</v>
      </c>
      <c r="V101" s="8">
        <f>SUMIFS(Table1[price],Table1[order_id],Table15[[#This Row],[order_id]],Table1[side],"SELL")</f>
        <v>0</v>
      </c>
      <c r="W101" s="8">
        <f>Table15[[#This Row],[sell]]-Table15[[#This Row],[Buy]]</f>
        <v>-48288581.25</v>
      </c>
      <c r="X101" s="8">
        <f>IF(Table15[[#This Row],[Profit]]&gt;0,1,0)</f>
        <v>0</v>
      </c>
      <c r="Y101" s="5" t="str">
        <f>IF(Table15[[#This Row],[is Profit]]=1,"Profit","Loss")</f>
        <v>Loss</v>
      </c>
      <c r="Z101" s="5">
        <f>SUMIFS(Table1[quantity],Table1[order_id],Table15[[#This Row],[order_id]],Table1[side],"SELL")</f>
        <v>0</v>
      </c>
      <c r="AA101" s="5">
        <f>Table15[[#This Row],[Buy_value]]*Table15[[#This Row],[Buy_Quantity]]</f>
        <v>48288581.25</v>
      </c>
      <c r="AB101" s="5">
        <f>Table15[[#This Row],[Sell_Value]]*Table15[[#This Row],[Sell_Quantity]]</f>
        <v>0</v>
      </c>
      <c r="AC101" s="5">
        <f>SUMIFS(Table1[quantity],Table1[order_id],Table15[[#This Row],[order_id]],Table1[side],"BUY")</f>
        <v>455</v>
      </c>
      <c r="AE101" s="10" t="s">
        <v>732</v>
      </c>
      <c r="AF101" s="10" t="str">
        <f>IF(Table1[[#This Row],[Sell-Buy]]&gt;0,"Profit","Loss")</f>
        <v>Loss</v>
      </c>
      <c r="AG101">
        <f>Table1[[#This Row],[Column2]]-Table1[[#This Row],[Buy-sell]]</f>
        <v>0</v>
      </c>
    </row>
    <row r="102" spans="1:33" x14ac:dyDescent="0.3">
      <c r="A102" t="s">
        <v>1050</v>
      </c>
      <c r="B102" t="s">
        <v>573</v>
      </c>
      <c r="C102" s="1">
        <v>45691.025694444441</v>
      </c>
      <c r="D102" t="s">
        <v>11</v>
      </c>
      <c r="E102" t="s">
        <v>171</v>
      </c>
      <c r="F102">
        <v>726</v>
      </c>
      <c r="G102">
        <v>1196.23</v>
      </c>
      <c r="H102">
        <v>434.23</v>
      </c>
      <c r="I102" t="s">
        <v>128</v>
      </c>
      <c r="J102" t="s">
        <v>73</v>
      </c>
      <c r="L102" s="1">
        <v>45726</v>
      </c>
      <c r="N102">
        <f>IF(Table1[[#This Row],[side]]="BUY", Table1[[#This Row],[quantity]],-Table1[[#This Row],[quantity]])</f>
        <v>-726</v>
      </c>
      <c r="O102" t="s">
        <v>171</v>
      </c>
      <c r="P102">
        <f>IF(Table1[[#This Row],[side]]="Sell",Table1[[#This Row],[price]],"0")</f>
        <v>1196.23</v>
      </c>
      <c r="Q102">
        <f>SUMIFS(Table1[quantity],Table1[company_id],Table8[[#This Row],[COMPANY_ID]],Table1[side],"BUY")-SUMIFS(Table1[quantity],Table1[company_id],Table8[[#This Row],[COMPANY_ID]],Table1[side],"SELL")</f>
        <v>0</v>
      </c>
      <c r="R102">
        <f>Table1[[#This Row],[Column2]]-Table1[[#This Row],[Buy-sell]]</f>
        <v>1196.23</v>
      </c>
      <c r="S102" t="str">
        <f>IF(Table1[[#This Row],[Sell-Buy]]&gt;0,"Profit","Loss")</f>
        <v>Profit</v>
      </c>
      <c r="T102" s="5" t="s">
        <v>324</v>
      </c>
      <c r="U102" s="8">
        <f>SUMIFS(Table1[price],Table1[order_id],Table15[[#This Row],[order_id]],Table1[side],"BUY")*Table15[[#This Row],[Buy_Quantity]]</f>
        <v>0</v>
      </c>
      <c r="V102" s="8">
        <f>SUMIFS(Table1[price],Table1[order_id],Table15[[#This Row],[order_id]],Table1[side],"SELL")</f>
        <v>453.22</v>
      </c>
      <c r="W102" s="8">
        <f>Table15[[#This Row],[sell]]-Table15[[#This Row],[Buy]]</f>
        <v>73421.64</v>
      </c>
      <c r="X102" s="8">
        <f>IF(Table15[[#This Row],[Profit]]&gt;0,1,0)</f>
        <v>1</v>
      </c>
      <c r="Y102" s="5" t="str">
        <f>IF(Table15[[#This Row],[is Profit]]=1,"Profit","Loss")</f>
        <v>Profit</v>
      </c>
      <c r="Z102" s="5">
        <f>SUMIFS(Table1[quantity],Table1[order_id],Table15[[#This Row],[order_id]],Table1[side],"SELL")</f>
        <v>162</v>
      </c>
      <c r="AA102" s="5">
        <f>Table15[[#This Row],[Buy_value]]*Table15[[#This Row],[Buy_Quantity]]</f>
        <v>0</v>
      </c>
      <c r="AB102" s="5">
        <f>Table15[[#This Row],[Sell_Value]]*Table15[[#This Row],[Sell_Quantity]]</f>
        <v>73421.64</v>
      </c>
      <c r="AC102" s="5">
        <f>SUMIFS(Table1[quantity],Table1[order_id],Table15[[#This Row],[order_id]],Table1[side],"BUY")</f>
        <v>0</v>
      </c>
      <c r="AE102" s="9" t="s">
        <v>864</v>
      </c>
      <c r="AF102" s="10" t="str">
        <f>IF(Table1[[#This Row],[Sell-Buy]]&gt;0,"Profit","Loss")</f>
        <v>Profit</v>
      </c>
      <c r="AG102">
        <f>Table1[[#This Row],[Column2]]-Table1[[#This Row],[Buy-sell]]</f>
        <v>1196.23</v>
      </c>
    </row>
    <row r="103" spans="1:33" x14ac:dyDescent="0.3">
      <c r="A103" t="s">
        <v>1051</v>
      </c>
      <c r="B103" t="s">
        <v>286</v>
      </c>
      <c r="C103" s="1">
        <v>45716.013194444444</v>
      </c>
      <c r="D103" t="s">
        <v>11</v>
      </c>
      <c r="E103" t="s">
        <v>171</v>
      </c>
      <c r="F103">
        <v>550</v>
      </c>
      <c r="G103">
        <v>1268.8699999999999</v>
      </c>
      <c r="H103">
        <v>348.94</v>
      </c>
      <c r="I103" t="s">
        <v>106</v>
      </c>
      <c r="J103" t="s">
        <v>64</v>
      </c>
      <c r="L103" s="1">
        <v>45664</v>
      </c>
      <c r="N103">
        <f>IF(Table1[[#This Row],[side]]="BUY", Table1[[#This Row],[quantity]],-Table1[[#This Row],[quantity]])</f>
        <v>-550</v>
      </c>
      <c r="O103" t="s">
        <v>171</v>
      </c>
      <c r="P103">
        <f>IF(Table1[[#This Row],[side]]="Sell",Table1[[#This Row],[price]],"0")</f>
        <v>1268.8699999999999</v>
      </c>
      <c r="Q103">
        <f>SUMIFS(Table1[quantity],Table1[company_id],Table8[[#This Row],[COMPANY_ID]],Table1[side],"BUY")-SUMIFS(Table1[quantity],Table1[company_id],Table8[[#This Row],[COMPANY_ID]],Table1[side],"SELL")</f>
        <v>0</v>
      </c>
      <c r="R103">
        <f>Table1[[#This Row],[Column2]]-Table1[[#This Row],[Buy-sell]]</f>
        <v>1268.8699999999999</v>
      </c>
      <c r="S103" t="str">
        <f>IF(Table1[[#This Row],[Sell-Buy]]&gt;0,"Profit","Loss")</f>
        <v>Profit</v>
      </c>
      <c r="T103" s="5" t="s">
        <v>325</v>
      </c>
      <c r="U103" s="8">
        <f>SUMIFS(Table1[price],Table1[order_id],Table15[[#This Row],[order_id]],Table1[side],"BUY")*Table15[[#This Row],[Buy_Quantity]]</f>
        <v>128194.9</v>
      </c>
      <c r="V103" s="8">
        <f>SUMIFS(Table1[price],Table1[order_id],Table15[[#This Row],[order_id]],Table1[side],"SELL")</f>
        <v>617.54999999999995</v>
      </c>
      <c r="W103" s="8">
        <f>Table15[[#This Row],[sell]]-Table15[[#This Row],[Buy]]</f>
        <v>-69366005</v>
      </c>
      <c r="X103" s="8">
        <f>IF(Table15[[#This Row],[Profit]]&gt;0,1,0)</f>
        <v>0</v>
      </c>
      <c r="Y103" s="5" t="str">
        <f>IF(Table15[[#This Row],[is Profit]]=1,"Profit","Loss")</f>
        <v>Loss</v>
      </c>
      <c r="Z103" s="5">
        <f>SUMIFS(Table1[quantity],Table1[order_id],Table15[[#This Row],[order_id]],Table1[side],"SELL")</f>
        <v>810</v>
      </c>
      <c r="AA103" s="5">
        <f>Table15[[#This Row],[Buy_value]]*Table15[[#This Row],[Buy_Quantity]]</f>
        <v>69866220.5</v>
      </c>
      <c r="AB103" s="5">
        <f>Table15[[#This Row],[Sell_Value]]*Table15[[#This Row],[Sell_Quantity]]</f>
        <v>500215.49999999994</v>
      </c>
      <c r="AC103" s="5">
        <f>SUMIFS(Table1[quantity],Table1[order_id],Table15[[#This Row],[order_id]],Table1[side],"BUY")</f>
        <v>545</v>
      </c>
      <c r="AE103" s="10" t="s">
        <v>1142</v>
      </c>
      <c r="AF103" s="10" t="str">
        <f>IF(Table1[[#This Row],[Sell-Buy]]&gt;0,"Profit","Loss")</f>
        <v>Profit</v>
      </c>
      <c r="AG103">
        <f>Table1[[#This Row],[Column2]]-Table1[[#This Row],[Buy-sell]]</f>
        <v>1268.8699999999999</v>
      </c>
    </row>
    <row r="104" spans="1:33" x14ac:dyDescent="0.3">
      <c r="A104" t="s">
        <v>1055</v>
      </c>
      <c r="B104" t="s">
        <v>174</v>
      </c>
      <c r="C104" s="1">
        <v>45805.023611111108</v>
      </c>
      <c r="D104" t="s">
        <v>11</v>
      </c>
      <c r="E104" t="s">
        <v>166</v>
      </c>
      <c r="F104">
        <v>308</v>
      </c>
      <c r="G104">
        <v>1264.21</v>
      </c>
      <c r="H104">
        <v>194.69</v>
      </c>
      <c r="I104" t="s">
        <v>128</v>
      </c>
      <c r="J104" t="s">
        <v>61</v>
      </c>
      <c r="L104" s="1">
        <v>45733</v>
      </c>
      <c r="M104" t="s">
        <v>166</v>
      </c>
      <c r="N104">
        <f>IF(Table1[[#This Row],[side]]="BUY", Table1[[#This Row],[quantity]],-Table1[[#This Row],[quantity]])</f>
        <v>308</v>
      </c>
      <c r="P104" t="str">
        <f>IF(Table1[[#This Row],[side]]="Sell",Table1[[#This Row],[price]],"0")</f>
        <v>0</v>
      </c>
      <c r="Q104">
        <f>SUMIFS(Table1[quantity],Table1[company_id],Table8[[#This Row],[COMPANY_ID]],Table1[side],"BUY")-SUMIFS(Table1[quantity],Table1[company_id],Table8[[#This Row],[COMPANY_ID]],Table1[side],"SELL")</f>
        <v>0</v>
      </c>
      <c r="R104">
        <f>Table1[[#This Row],[Column2]]-Table1[[#This Row],[Buy-sell]]</f>
        <v>0</v>
      </c>
      <c r="S104" t="str">
        <f>IF(Table1[[#This Row],[Sell-Buy]]&gt;0,"Profit","Loss")</f>
        <v>Loss</v>
      </c>
      <c r="T104" s="5" t="s">
        <v>326</v>
      </c>
      <c r="U104" s="8">
        <f>SUMIFS(Table1[price],Table1[order_id],Table15[[#This Row],[order_id]],Table1[side],"BUY")*Table15[[#This Row],[Buy_Quantity]]</f>
        <v>217971</v>
      </c>
      <c r="V104" s="8">
        <f>SUMIFS(Table1[price],Table1[order_id],Table15[[#This Row],[order_id]],Table1[side],"SELL")</f>
        <v>0</v>
      </c>
      <c r="W104" s="8">
        <f>Table15[[#This Row],[sell]]-Table15[[#This Row],[Buy]]</f>
        <v>-195519987</v>
      </c>
      <c r="X104" s="8">
        <f>IF(Table15[[#This Row],[Profit]]&gt;0,1,0)</f>
        <v>0</v>
      </c>
      <c r="Y104" s="5" t="str">
        <f>IF(Table15[[#This Row],[is Profit]]=1,"Profit","Loss")</f>
        <v>Loss</v>
      </c>
      <c r="Z104" s="5">
        <f>SUMIFS(Table1[quantity],Table1[order_id],Table15[[#This Row],[order_id]],Table1[side],"SELL")</f>
        <v>0</v>
      </c>
      <c r="AA104" s="5">
        <f>Table15[[#This Row],[Buy_value]]*Table15[[#This Row],[Buy_Quantity]]</f>
        <v>195519987</v>
      </c>
      <c r="AB104" s="5">
        <f>Table15[[#This Row],[Sell_Value]]*Table15[[#This Row],[Sell_Quantity]]</f>
        <v>0</v>
      </c>
      <c r="AC104" s="5">
        <f>SUMIFS(Table1[quantity],Table1[order_id],Table15[[#This Row],[order_id]],Table1[side],"BUY")</f>
        <v>897</v>
      </c>
      <c r="AE104" s="9" t="s">
        <v>697</v>
      </c>
      <c r="AF104" s="10" t="str">
        <f>IF(Table1[[#This Row],[Sell-Buy]]&gt;0,"Profit","Loss")</f>
        <v>Loss</v>
      </c>
      <c r="AG104">
        <f>Table1[[#This Row],[Column2]]-Table1[[#This Row],[Buy-sell]]</f>
        <v>0</v>
      </c>
    </row>
    <row r="105" spans="1:33" x14ac:dyDescent="0.3">
      <c r="A105" t="s">
        <v>1062</v>
      </c>
      <c r="B105" t="s">
        <v>597</v>
      </c>
      <c r="C105" s="1">
        <v>45755.018750000003</v>
      </c>
      <c r="D105" t="s">
        <v>11</v>
      </c>
      <c r="E105" t="s">
        <v>166</v>
      </c>
      <c r="F105">
        <v>814</v>
      </c>
      <c r="G105">
        <v>1310.94</v>
      </c>
      <c r="H105">
        <v>533.54999999999995</v>
      </c>
      <c r="I105" t="s">
        <v>97</v>
      </c>
      <c r="J105" t="s">
        <v>64</v>
      </c>
      <c r="L105" s="1">
        <v>45691</v>
      </c>
      <c r="M105" t="s">
        <v>166</v>
      </c>
      <c r="N105">
        <f>IF(Table1[[#This Row],[side]]="BUY", Table1[[#This Row],[quantity]],-Table1[[#This Row],[quantity]])</f>
        <v>814</v>
      </c>
      <c r="P105" t="str">
        <f>IF(Table1[[#This Row],[side]]="Sell",Table1[[#This Row],[price]],"0")</f>
        <v>0</v>
      </c>
      <c r="Q105">
        <f>SUMIFS(Table1[quantity],Table1[company_id],Table8[[#This Row],[COMPANY_ID]],Table1[side],"BUY")-SUMIFS(Table1[quantity],Table1[company_id],Table8[[#This Row],[COMPANY_ID]],Table1[side],"SELL")</f>
        <v>0</v>
      </c>
      <c r="R105">
        <f>Table1[[#This Row],[Column2]]-Table1[[#This Row],[Buy-sell]]</f>
        <v>0</v>
      </c>
      <c r="S105" t="str">
        <f>IF(Table1[[#This Row],[Sell-Buy]]&gt;0,"Profit","Loss")</f>
        <v>Loss</v>
      </c>
      <c r="T105" s="5" t="s">
        <v>327</v>
      </c>
      <c r="U105" s="8">
        <f>SUMIFS(Table1[price],Table1[order_id],Table15[[#This Row],[order_id]],Table1[side],"BUY")*Table15[[#This Row],[Buy_Quantity]]</f>
        <v>460893.3</v>
      </c>
      <c r="V105" s="8">
        <f>SUMIFS(Table1[price],Table1[order_id],Table15[[#This Row],[order_id]],Table1[side],"SELL")</f>
        <v>571.29</v>
      </c>
      <c r="W105" s="8">
        <f>Table15[[#This Row],[sell]]-Table15[[#This Row],[Buy]]</f>
        <v>-325687602.86999995</v>
      </c>
      <c r="X105" s="8">
        <f>IF(Table15[[#This Row],[Profit]]&gt;0,1,0)</f>
        <v>0</v>
      </c>
      <c r="Y105" s="5" t="str">
        <f>IF(Table15[[#This Row],[is Profit]]=1,"Profit","Loss")</f>
        <v>Loss</v>
      </c>
      <c r="Z105" s="5">
        <f>SUMIFS(Table1[quantity],Table1[order_id],Table15[[#This Row],[order_id]],Table1[side],"SELL")</f>
        <v>287</v>
      </c>
      <c r="AA105" s="5">
        <f>Table15[[#This Row],[Buy_value]]*Table15[[#This Row],[Buy_Quantity]]</f>
        <v>325851563.09999996</v>
      </c>
      <c r="AB105" s="5">
        <f>Table15[[#This Row],[Sell_Value]]*Table15[[#This Row],[Sell_Quantity]]</f>
        <v>163960.22999999998</v>
      </c>
      <c r="AC105" s="5">
        <f>SUMIFS(Table1[quantity],Table1[order_id],Table15[[#This Row],[order_id]],Table1[side],"BUY")</f>
        <v>707</v>
      </c>
      <c r="AE105" s="10" t="s">
        <v>1126</v>
      </c>
      <c r="AF105" s="10" t="str">
        <f>IF(Table1[[#This Row],[Sell-Buy]]&gt;0,"Profit","Loss")</f>
        <v>Loss</v>
      </c>
      <c r="AG105">
        <f>Table1[[#This Row],[Column2]]-Table1[[#This Row],[Buy-sell]]</f>
        <v>0</v>
      </c>
    </row>
    <row r="106" spans="1:33" x14ac:dyDescent="0.3">
      <c r="A106" t="s">
        <v>1067</v>
      </c>
      <c r="B106" t="s">
        <v>577</v>
      </c>
      <c r="C106" s="1">
        <v>45695.00277777778</v>
      </c>
      <c r="D106" t="s">
        <v>11</v>
      </c>
      <c r="E106" t="s">
        <v>171</v>
      </c>
      <c r="F106">
        <v>744</v>
      </c>
      <c r="G106">
        <v>1220.47</v>
      </c>
      <c r="H106">
        <v>454.01</v>
      </c>
      <c r="I106" t="s">
        <v>118</v>
      </c>
      <c r="J106" t="s">
        <v>76</v>
      </c>
      <c r="L106" s="1">
        <v>45758</v>
      </c>
      <c r="N106">
        <f>IF(Table1[[#This Row],[side]]="BUY", Table1[[#This Row],[quantity]],-Table1[[#This Row],[quantity]])</f>
        <v>-744</v>
      </c>
      <c r="O106" t="s">
        <v>171</v>
      </c>
      <c r="P106">
        <f>IF(Table1[[#This Row],[side]]="Sell",Table1[[#This Row],[price]],"0")</f>
        <v>1220.47</v>
      </c>
      <c r="Q106">
        <f>SUMIFS(Table1[quantity],Table1[company_id],Table8[[#This Row],[COMPANY_ID]],Table1[side],"BUY")-SUMIFS(Table1[quantity],Table1[company_id],Table8[[#This Row],[COMPANY_ID]],Table1[side],"SELL")</f>
        <v>0</v>
      </c>
      <c r="R106">
        <f>Table1[[#This Row],[Column2]]-Table1[[#This Row],[Buy-sell]]</f>
        <v>1220.47</v>
      </c>
      <c r="S106" t="str">
        <f>IF(Table1[[#This Row],[Sell-Buy]]&gt;0,"Profit","Loss")</f>
        <v>Profit</v>
      </c>
      <c r="T106" s="4" t="s">
        <v>328</v>
      </c>
      <c r="U106" s="8">
        <f>SUMIFS(Table1[price],Table1[order_id],Table15[[#This Row],[order_id]],Table1[side],"BUY")*Table15[[#This Row],[Buy_Quantity]]</f>
        <v>3437373.36</v>
      </c>
      <c r="V106" s="8">
        <f>SUMIFS(Table1[price],Table1[order_id],Table15[[#This Row],[order_id]],Table1[side],"SELL")</f>
        <v>0</v>
      </c>
      <c r="W106" s="8">
        <f>Table15[[#This Row],[sell]]-Table15[[#This Row],[Buy]]</f>
        <v>-4970441878.5599995</v>
      </c>
      <c r="X106" s="8">
        <f>IF(Table15[[#This Row],[Profit]]&gt;0,1,0)</f>
        <v>0</v>
      </c>
      <c r="Y106" s="5" t="str">
        <f>IF(Table15[[#This Row],[is Profit]]=1,"Profit","Loss")</f>
        <v>Loss</v>
      </c>
      <c r="Z106" s="5">
        <f>SUMIFS(Table1[quantity],Table1[order_id],Table15[[#This Row],[order_id]],Table1[side],"SELL")</f>
        <v>0</v>
      </c>
      <c r="AA106" s="5">
        <f>Table15[[#This Row],[Buy_value]]*Table15[[#This Row],[Buy_Quantity]]</f>
        <v>4970441878.5599995</v>
      </c>
      <c r="AB106" s="5">
        <f>Table15[[#This Row],[Sell_Value]]*Table15[[#This Row],[Sell_Quantity]]</f>
        <v>0</v>
      </c>
      <c r="AC106" s="5">
        <f>SUMIFS(Table1[quantity],Table1[order_id],Table15[[#This Row],[order_id]],Table1[side],"BUY")</f>
        <v>1446</v>
      </c>
      <c r="AE106" s="9" t="s">
        <v>1069</v>
      </c>
      <c r="AF106" s="10" t="str">
        <f>IF(Table1[[#This Row],[Sell-Buy]]&gt;0,"Profit","Loss")</f>
        <v>Profit</v>
      </c>
      <c r="AG106">
        <f>Table1[[#This Row],[Column2]]-Table1[[#This Row],[Buy-sell]]</f>
        <v>1220.47</v>
      </c>
    </row>
    <row r="107" spans="1:33" x14ac:dyDescent="0.3">
      <c r="A107" t="s">
        <v>1083</v>
      </c>
      <c r="B107" t="s">
        <v>482</v>
      </c>
      <c r="C107" s="1">
        <v>45777.026388888888</v>
      </c>
      <c r="D107" t="s">
        <v>11</v>
      </c>
      <c r="E107" t="s">
        <v>166</v>
      </c>
      <c r="F107">
        <v>474</v>
      </c>
      <c r="G107">
        <v>1223.29</v>
      </c>
      <c r="H107">
        <v>289.92</v>
      </c>
      <c r="I107" t="s">
        <v>138</v>
      </c>
      <c r="J107" t="s">
        <v>64</v>
      </c>
      <c r="L107" s="1">
        <v>45735</v>
      </c>
      <c r="M107" t="s">
        <v>166</v>
      </c>
      <c r="N107">
        <f>IF(Table1[[#This Row],[side]]="BUY", Table1[[#This Row],[quantity]],-Table1[[#This Row],[quantity]])</f>
        <v>474</v>
      </c>
      <c r="P107" t="str">
        <f>IF(Table1[[#This Row],[side]]="Sell",Table1[[#This Row],[price]],"0")</f>
        <v>0</v>
      </c>
      <c r="Q107">
        <f>SUMIFS(Table1[quantity],Table1[company_id],Table8[[#This Row],[COMPANY_ID]],Table1[side],"BUY")-SUMIFS(Table1[quantity],Table1[company_id],Table8[[#This Row],[COMPANY_ID]],Table1[side],"SELL")</f>
        <v>0</v>
      </c>
      <c r="R107">
        <f>Table1[[#This Row],[Column2]]-Table1[[#This Row],[Buy-sell]]</f>
        <v>0</v>
      </c>
      <c r="S107" t="str">
        <f>IF(Table1[[#This Row],[Sell-Buy]]&gt;0,"Profit","Loss")</f>
        <v>Loss</v>
      </c>
      <c r="T107" s="5" t="s">
        <v>331</v>
      </c>
      <c r="U107" s="8">
        <f>SUMIFS(Table1[price],Table1[order_id],Table15[[#This Row],[order_id]],Table1[side],"BUY")*Table15[[#This Row],[Buy_Quantity]]</f>
        <v>528272.70000000007</v>
      </c>
      <c r="V107" s="8">
        <f>SUMIFS(Table1[price],Table1[order_id],Table15[[#This Row],[order_id]],Table1[side],"SELL")</f>
        <v>0</v>
      </c>
      <c r="W107" s="8">
        <f>Table15[[#This Row],[sell]]-Table15[[#This Row],[Buy]]</f>
        <v>-459597249.00000006</v>
      </c>
      <c r="X107" s="8">
        <f>IF(Table15[[#This Row],[Profit]]&gt;0,1,0)</f>
        <v>0</v>
      </c>
      <c r="Y107" s="5" t="str">
        <f>IF(Table15[[#This Row],[is Profit]]=1,"Profit","Loss")</f>
        <v>Loss</v>
      </c>
      <c r="Z107" s="5">
        <f>SUMIFS(Table1[quantity],Table1[order_id],Table15[[#This Row],[order_id]],Table1[side],"SELL")</f>
        <v>0</v>
      </c>
      <c r="AA107" s="5">
        <f>Table15[[#This Row],[Buy_value]]*Table15[[#This Row],[Buy_Quantity]]</f>
        <v>459597249.00000006</v>
      </c>
      <c r="AB107" s="5">
        <f>Table15[[#This Row],[Sell_Value]]*Table15[[#This Row],[Sell_Quantity]]</f>
        <v>0</v>
      </c>
      <c r="AC107" s="5">
        <f>SUMIFS(Table1[quantity],Table1[order_id],Table15[[#This Row],[order_id]],Table1[side],"BUY")</f>
        <v>870</v>
      </c>
      <c r="AE107" s="10" t="s">
        <v>1010</v>
      </c>
      <c r="AF107" s="10" t="str">
        <f>IF(Table1[[#This Row],[Sell-Buy]]&gt;0,"Profit","Loss")</f>
        <v>Loss</v>
      </c>
      <c r="AG107">
        <f>Table1[[#This Row],[Column2]]-Table1[[#This Row],[Buy-sell]]</f>
        <v>0</v>
      </c>
    </row>
    <row r="108" spans="1:33" x14ac:dyDescent="0.3">
      <c r="A108" t="s">
        <v>1086</v>
      </c>
      <c r="B108" t="s">
        <v>447</v>
      </c>
      <c r="C108" s="1">
        <v>45832.037499999999</v>
      </c>
      <c r="D108" t="s">
        <v>11</v>
      </c>
      <c r="E108" t="s">
        <v>171</v>
      </c>
      <c r="F108">
        <v>82</v>
      </c>
      <c r="G108">
        <v>1285.5</v>
      </c>
      <c r="H108">
        <v>52.71</v>
      </c>
      <c r="I108" t="s">
        <v>136</v>
      </c>
      <c r="J108" t="s">
        <v>61</v>
      </c>
      <c r="L108" s="1">
        <v>45728</v>
      </c>
      <c r="N108">
        <f>IF(Table1[[#This Row],[side]]="BUY", Table1[[#This Row],[quantity]],-Table1[[#This Row],[quantity]])</f>
        <v>-82</v>
      </c>
      <c r="O108" t="s">
        <v>171</v>
      </c>
      <c r="P108">
        <f>IF(Table1[[#This Row],[side]]="Sell",Table1[[#This Row],[price]],"0")</f>
        <v>1285.5</v>
      </c>
      <c r="Q108">
        <f>SUMIFS(Table1[quantity],Table1[company_id],Table8[[#This Row],[COMPANY_ID]],Table1[side],"BUY")-SUMIFS(Table1[quantity],Table1[company_id],Table8[[#This Row],[COMPANY_ID]],Table1[side],"SELL")</f>
        <v>0</v>
      </c>
      <c r="R108">
        <f>Table1[[#This Row],[Column2]]-Table1[[#This Row],[Buy-sell]]</f>
        <v>1285.5</v>
      </c>
      <c r="S108" t="str">
        <f>IF(Table1[[#This Row],[Sell-Buy]]&gt;0,"Profit","Loss")</f>
        <v>Profit</v>
      </c>
      <c r="T108" s="5" t="s">
        <v>333</v>
      </c>
      <c r="U108" s="8">
        <f>SUMIFS(Table1[price],Table1[order_id],Table15[[#This Row],[order_id]],Table1[side],"BUY")*Table15[[#This Row],[Buy_Quantity]]</f>
        <v>0</v>
      </c>
      <c r="V108" s="8">
        <f>SUMIFS(Table1[price],Table1[order_id],Table15[[#This Row],[order_id]],Table1[side],"SELL")</f>
        <v>1421.4499999999998</v>
      </c>
      <c r="W108" s="8">
        <f>Table15[[#This Row],[sell]]-Table15[[#This Row],[Buy]]</f>
        <v>1289255.1499999999</v>
      </c>
      <c r="X108" s="8">
        <f>IF(Table15[[#This Row],[Profit]]&gt;0,1,0)</f>
        <v>1</v>
      </c>
      <c r="Y108" s="5" t="str">
        <f>IF(Table15[[#This Row],[is Profit]]=1,"Profit","Loss")</f>
        <v>Profit</v>
      </c>
      <c r="Z108" s="5">
        <f>SUMIFS(Table1[quantity],Table1[order_id],Table15[[#This Row],[order_id]],Table1[side],"SELL")</f>
        <v>907</v>
      </c>
      <c r="AA108" s="5">
        <f>Table15[[#This Row],[Buy_value]]*Table15[[#This Row],[Buy_Quantity]]</f>
        <v>0</v>
      </c>
      <c r="AB108" s="5">
        <f>Table15[[#This Row],[Sell_Value]]*Table15[[#This Row],[Sell_Quantity]]</f>
        <v>1289255.1499999999</v>
      </c>
      <c r="AC108" s="5">
        <f>SUMIFS(Table1[quantity],Table1[order_id],Table15[[#This Row],[order_id]],Table1[side],"BUY")</f>
        <v>0</v>
      </c>
      <c r="AE108" s="9" t="s">
        <v>1111</v>
      </c>
      <c r="AF108" s="10" t="str">
        <f>IF(Table1[[#This Row],[Sell-Buy]]&gt;0,"Profit","Loss")</f>
        <v>Profit</v>
      </c>
      <c r="AG108">
        <f>Table1[[#This Row],[Column2]]-Table1[[#This Row],[Buy-sell]]</f>
        <v>1285.5</v>
      </c>
    </row>
    <row r="109" spans="1:33" x14ac:dyDescent="0.3">
      <c r="A109" t="s">
        <v>1096</v>
      </c>
      <c r="B109" t="s">
        <v>486</v>
      </c>
      <c r="C109" s="1">
        <v>45799.022222222222</v>
      </c>
      <c r="D109" t="s">
        <v>11</v>
      </c>
      <c r="E109" t="s">
        <v>166</v>
      </c>
      <c r="F109">
        <v>319</v>
      </c>
      <c r="G109">
        <v>1251.2</v>
      </c>
      <c r="H109">
        <v>199.57</v>
      </c>
      <c r="I109" t="s">
        <v>112</v>
      </c>
      <c r="J109" t="s">
        <v>55</v>
      </c>
      <c r="L109" s="1">
        <v>45817</v>
      </c>
      <c r="M109" t="s">
        <v>166</v>
      </c>
      <c r="N109">
        <f>IF(Table1[[#This Row],[side]]="BUY", Table1[[#This Row],[quantity]],-Table1[[#This Row],[quantity]])</f>
        <v>319</v>
      </c>
      <c r="P109" t="str">
        <f>IF(Table1[[#This Row],[side]]="Sell",Table1[[#This Row],[price]],"0")</f>
        <v>0</v>
      </c>
      <c r="Q109">
        <f>SUMIFS(Table1[quantity],Table1[company_id],Table8[[#This Row],[COMPANY_ID]],Table1[side],"BUY")-SUMIFS(Table1[quantity],Table1[company_id],Table8[[#This Row],[COMPANY_ID]],Table1[side],"SELL")</f>
        <v>0</v>
      </c>
      <c r="R109">
        <f>Table1[[#This Row],[Column2]]-Table1[[#This Row],[Buy-sell]]</f>
        <v>0</v>
      </c>
      <c r="S109" t="str">
        <f>IF(Table1[[#This Row],[Sell-Buy]]&gt;0,"Profit","Loss")</f>
        <v>Loss</v>
      </c>
      <c r="T109" s="5" t="s">
        <v>334</v>
      </c>
      <c r="U109" s="8">
        <f>SUMIFS(Table1[price],Table1[order_id],Table15[[#This Row],[order_id]],Table1[side],"BUY")*Table15[[#This Row],[Buy_Quantity]]</f>
        <v>0</v>
      </c>
      <c r="V109" s="8">
        <f>SUMIFS(Table1[price],Table1[order_id],Table15[[#This Row],[order_id]],Table1[side],"SELL")</f>
        <v>644.04</v>
      </c>
      <c r="W109" s="8">
        <f>Table15[[#This Row],[sell]]-Table15[[#This Row],[Buy]]</f>
        <v>592516.79999999993</v>
      </c>
      <c r="X109" s="8">
        <f>IF(Table15[[#This Row],[Profit]]&gt;0,1,0)</f>
        <v>1</v>
      </c>
      <c r="Y109" s="5" t="str">
        <f>IF(Table15[[#This Row],[is Profit]]=1,"Profit","Loss")</f>
        <v>Profit</v>
      </c>
      <c r="Z109" s="5">
        <f>SUMIFS(Table1[quantity],Table1[order_id],Table15[[#This Row],[order_id]],Table1[side],"SELL")</f>
        <v>920</v>
      </c>
      <c r="AA109" s="5">
        <f>Table15[[#This Row],[Buy_value]]*Table15[[#This Row],[Buy_Quantity]]</f>
        <v>0</v>
      </c>
      <c r="AB109" s="5">
        <f>Table15[[#This Row],[Sell_Value]]*Table15[[#This Row],[Sell_Quantity]]</f>
        <v>592516.79999999993</v>
      </c>
      <c r="AC109" s="5">
        <f>SUMIFS(Table1[quantity],Table1[order_id],Table15[[#This Row],[order_id]],Table1[side],"BUY")</f>
        <v>0</v>
      </c>
      <c r="AE109" s="10" t="s">
        <v>708</v>
      </c>
      <c r="AF109" s="10" t="str">
        <f>IF(Table1[[#This Row],[Sell-Buy]]&gt;0,"Profit","Loss")</f>
        <v>Loss</v>
      </c>
      <c r="AG109">
        <f>Table1[[#This Row],[Column2]]-Table1[[#This Row],[Buy-sell]]</f>
        <v>0</v>
      </c>
    </row>
    <row r="110" spans="1:33" x14ac:dyDescent="0.3">
      <c r="A110" t="s">
        <v>1098</v>
      </c>
      <c r="B110" t="s">
        <v>371</v>
      </c>
      <c r="C110" s="1">
        <v>45736.032638888886</v>
      </c>
      <c r="D110" t="s">
        <v>11</v>
      </c>
      <c r="E110" t="s">
        <v>171</v>
      </c>
      <c r="F110">
        <v>385</v>
      </c>
      <c r="G110">
        <v>1298.26</v>
      </c>
      <c r="H110">
        <v>249.92</v>
      </c>
      <c r="I110" t="s">
        <v>134</v>
      </c>
      <c r="J110" t="s">
        <v>64</v>
      </c>
      <c r="L110" s="1">
        <v>45796</v>
      </c>
      <c r="N110">
        <f>IF(Table1[[#This Row],[side]]="BUY", Table1[[#This Row],[quantity]],-Table1[[#This Row],[quantity]])</f>
        <v>-385</v>
      </c>
      <c r="O110" t="s">
        <v>171</v>
      </c>
      <c r="P110">
        <f>IF(Table1[[#This Row],[side]]="Sell",Table1[[#This Row],[price]],"0")</f>
        <v>1298.26</v>
      </c>
      <c r="Q110">
        <f>SUMIFS(Table1[quantity],Table1[company_id],Table8[[#This Row],[COMPANY_ID]],Table1[side],"BUY")-SUMIFS(Table1[quantity],Table1[company_id],Table8[[#This Row],[COMPANY_ID]],Table1[side],"SELL")</f>
        <v>0</v>
      </c>
      <c r="R110">
        <f>Table1[[#This Row],[Column2]]-Table1[[#This Row],[Buy-sell]]</f>
        <v>1298.26</v>
      </c>
      <c r="S110" t="str">
        <f>IF(Table1[[#This Row],[Sell-Buy]]&gt;0,"Profit","Loss")</f>
        <v>Profit</v>
      </c>
      <c r="T110" s="4" t="s">
        <v>335</v>
      </c>
      <c r="U110" s="8">
        <f>SUMIFS(Table1[price],Table1[order_id],Table15[[#This Row],[order_id]],Table1[side],"BUY")*Table15[[#This Row],[Buy_Quantity]]</f>
        <v>189650.5</v>
      </c>
      <c r="V110" s="8">
        <f>SUMIFS(Table1[price],Table1[order_id],Table15[[#This Row],[order_id]],Table1[side],"SELL")</f>
        <v>0</v>
      </c>
      <c r="W110" s="8">
        <f>Table15[[#This Row],[sell]]-Table15[[#This Row],[Buy]]</f>
        <v>-154565157.5</v>
      </c>
      <c r="X110" s="8">
        <f>IF(Table15[[#This Row],[Profit]]&gt;0,1,0)</f>
        <v>0</v>
      </c>
      <c r="Y110" s="5" t="str">
        <f>IF(Table15[[#This Row],[is Profit]]=1,"Profit","Loss")</f>
        <v>Loss</v>
      </c>
      <c r="Z110" s="5">
        <f>SUMIFS(Table1[quantity],Table1[order_id],Table15[[#This Row],[order_id]],Table1[side],"SELL")</f>
        <v>0</v>
      </c>
      <c r="AA110" s="5">
        <f>Table15[[#This Row],[Buy_value]]*Table15[[#This Row],[Buy_Quantity]]</f>
        <v>154565157.5</v>
      </c>
      <c r="AB110" s="5">
        <f>Table15[[#This Row],[Sell_Value]]*Table15[[#This Row],[Sell_Quantity]]</f>
        <v>0</v>
      </c>
      <c r="AC110" s="5">
        <f>SUMIFS(Table1[quantity],Table1[order_id],Table15[[#This Row],[order_id]],Table1[side],"BUY")</f>
        <v>815</v>
      </c>
      <c r="AE110" s="9" t="s">
        <v>1051</v>
      </c>
      <c r="AF110" s="10" t="str">
        <f>IF(Table1[[#This Row],[Sell-Buy]]&gt;0,"Profit","Loss")</f>
        <v>Profit</v>
      </c>
      <c r="AG110">
        <f>Table1[[#This Row],[Column2]]-Table1[[#This Row],[Buy-sell]]</f>
        <v>1298.26</v>
      </c>
    </row>
    <row r="111" spans="1:33" x14ac:dyDescent="0.3">
      <c r="A111" t="s">
        <v>1099</v>
      </c>
      <c r="B111" t="s">
        <v>611</v>
      </c>
      <c r="C111" s="1">
        <v>45827.030555555553</v>
      </c>
      <c r="D111" t="s">
        <v>11</v>
      </c>
      <c r="E111" t="s">
        <v>166</v>
      </c>
      <c r="F111">
        <v>50</v>
      </c>
      <c r="G111">
        <v>1303.21</v>
      </c>
      <c r="H111">
        <v>32.58</v>
      </c>
      <c r="I111" t="s">
        <v>94</v>
      </c>
      <c r="J111" t="s">
        <v>76</v>
      </c>
      <c r="L111" s="1">
        <v>45687</v>
      </c>
      <c r="M111" t="s">
        <v>166</v>
      </c>
      <c r="N111">
        <f>IF(Table1[[#This Row],[side]]="BUY", Table1[[#This Row],[quantity]],-Table1[[#This Row],[quantity]])</f>
        <v>50</v>
      </c>
      <c r="P111" t="str">
        <f>IF(Table1[[#This Row],[side]]="Sell",Table1[[#This Row],[price]],"0")</f>
        <v>0</v>
      </c>
      <c r="Q111">
        <f>SUMIFS(Table1[quantity],Table1[company_id],Table8[[#This Row],[COMPANY_ID]],Table1[side],"BUY")-SUMIFS(Table1[quantity],Table1[company_id],Table8[[#This Row],[COMPANY_ID]],Table1[side],"SELL")</f>
        <v>0</v>
      </c>
      <c r="R111">
        <f>Table1[[#This Row],[Column2]]-Table1[[#This Row],[Buy-sell]]</f>
        <v>0</v>
      </c>
      <c r="S111" t="str">
        <f>IF(Table1[[#This Row],[Sell-Buy]]&gt;0,"Profit","Loss")</f>
        <v>Loss</v>
      </c>
      <c r="T111" s="4" t="s">
        <v>338</v>
      </c>
      <c r="U111" s="8">
        <f>SUMIFS(Table1[price],Table1[order_id],Table15[[#This Row],[order_id]],Table1[side],"BUY")*Table15[[#This Row],[Buy_Quantity]]</f>
        <v>0</v>
      </c>
      <c r="V111" s="8">
        <f>SUMIFS(Table1[price],Table1[order_id],Table15[[#This Row],[order_id]],Table1[side],"SELL")</f>
        <v>608.29</v>
      </c>
      <c r="W111" s="8">
        <f>Table15[[#This Row],[sell]]-Table15[[#This Row],[Buy]]</f>
        <v>549285.87</v>
      </c>
      <c r="X111" s="8">
        <f>IF(Table15[[#This Row],[Profit]]&gt;0,1,0)</f>
        <v>1</v>
      </c>
      <c r="Y111" s="5" t="str">
        <f>IF(Table15[[#This Row],[is Profit]]=1,"Profit","Loss")</f>
        <v>Profit</v>
      </c>
      <c r="Z111" s="5">
        <f>SUMIFS(Table1[quantity],Table1[order_id],Table15[[#This Row],[order_id]],Table1[side],"SELL")</f>
        <v>903</v>
      </c>
      <c r="AA111" s="5">
        <f>Table15[[#This Row],[Buy_value]]*Table15[[#This Row],[Buy_Quantity]]</f>
        <v>0</v>
      </c>
      <c r="AB111" s="5">
        <f>Table15[[#This Row],[Sell_Value]]*Table15[[#This Row],[Sell_Quantity]]</f>
        <v>549285.87</v>
      </c>
      <c r="AC111" s="5">
        <f>SUMIFS(Table1[quantity],Table1[order_id],Table15[[#This Row],[order_id]],Table1[side],"BUY")</f>
        <v>0</v>
      </c>
      <c r="AE111" s="10" t="s">
        <v>792</v>
      </c>
      <c r="AF111" s="10" t="str">
        <f>IF(Table1[[#This Row],[Sell-Buy]]&gt;0,"Profit","Loss")</f>
        <v>Loss</v>
      </c>
      <c r="AG111">
        <f>Table1[[#This Row],[Column2]]-Table1[[#This Row],[Buy-sell]]</f>
        <v>0</v>
      </c>
    </row>
    <row r="112" spans="1:33" x14ac:dyDescent="0.3">
      <c r="A112" t="s">
        <v>1105</v>
      </c>
      <c r="B112" t="s">
        <v>606</v>
      </c>
      <c r="C112" s="1">
        <v>45757.004861111112</v>
      </c>
      <c r="D112" t="s">
        <v>11</v>
      </c>
      <c r="E112" t="s">
        <v>171</v>
      </c>
      <c r="F112">
        <v>846</v>
      </c>
      <c r="G112">
        <v>1332.2</v>
      </c>
      <c r="H112">
        <v>563.52</v>
      </c>
      <c r="I112" t="s">
        <v>108</v>
      </c>
      <c r="J112" t="s">
        <v>64</v>
      </c>
      <c r="L112" s="1">
        <v>45686</v>
      </c>
      <c r="N112">
        <f>IF(Table1[[#This Row],[side]]="BUY", Table1[[#This Row],[quantity]],-Table1[[#This Row],[quantity]])</f>
        <v>-846</v>
      </c>
      <c r="O112" t="s">
        <v>171</v>
      </c>
      <c r="P112">
        <f>IF(Table1[[#This Row],[side]]="Sell",Table1[[#This Row],[price]],"0")</f>
        <v>1332.2</v>
      </c>
      <c r="Q112">
        <f>SUMIFS(Table1[quantity],Table1[company_id],Table8[[#This Row],[COMPANY_ID]],Table1[side],"BUY")-SUMIFS(Table1[quantity],Table1[company_id],Table8[[#This Row],[COMPANY_ID]],Table1[side],"SELL")</f>
        <v>0</v>
      </c>
      <c r="R112">
        <f>Table1[[#This Row],[Column2]]-Table1[[#This Row],[Buy-sell]]</f>
        <v>1332.2</v>
      </c>
      <c r="S112" t="str">
        <f>IF(Table1[[#This Row],[Sell-Buy]]&gt;0,"Profit","Loss")</f>
        <v>Profit</v>
      </c>
      <c r="T112" s="4" t="s">
        <v>339</v>
      </c>
      <c r="U112" s="8">
        <f>SUMIFS(Table1[price],Table1[order_id],Table15[[#This Row],[order_id]],Table1[side],"BUY")*Table15[[#This Row],[Buy_Quantity]]</f>
        <v>292539.39999999997</v>
      </c>
      <c r="V112" s="8">
        <f>SUMIFS(Table1[price],Table1[order_id],Table15[[#This Row],[order_id]],Table1[side],"SELL")</f>
        <v>0</v>
      </c>
      <c r="W112" s="8">
        <f>Table15[[#This Row],[sell]]-Table15[[#This Row],[Buy]]</f>
        <v>-99463395.999999985</v>
      </c>
      <c r="X112" s="8">
        <f>IF(Table15[[#This Row],[Profit]]&gt;0,1,0)</f>
        <v>0</v>
      </c>
      <c r="Y112" s="5" t="str">
        <f>IF(Table15[[#This Row],[is Profit]]=1,"Profit","Loss")</f>
        <v>Loss</v>
      </c>
      <c r="Z112" s="5">
        <f>SUMIFS(Table1[quantity],Table1[order_id],Table15[[#This Row],[order_id]],Table1[side],"SELL")</f>
        <v>0</v>
      </c>
      <c r="AA112" s="5">
        <f>Table15[[#This Row],[Buy_value]]*Table15[[#This Row],[Buy_Quantity]]</f>
        <v>99463395.999999985</v>
      </c>
      <c r="AB112" s="5">
        <f>Table15[[#This Row],[Sell_Value]]*Table15[[#This Row],[Sell_Quantity]]</f>
        <v>0</v>
      </c>
      <c r="AC112" s="5">
        <f>SUMIFS(Table1[quantity],Table1[order_id],Table15[[#This Row],[order_id]],Table1[side],"BUY")</f>
        <v>340</v>
      </c>
      <c r="AE112" s="9" t="s">
        <v>1143</v>
      </c>
      <c r="AF112" s="10" t="str">
        <f>IF(Table1[[#This Row],[Sell-Buy]]&gt;0,"Profit","Loss")</f>
        <v>Profit</v>
      </c>
      <c r="AG112">
        <f>Table1[[#This Row],[Column2]]-Table1[[#This Row],[Buy-sell]]</f>
        <v>1332.2</v>
      </c>
    </row>
    <row r="113" spans="1:33" x14ac:dyDescent="0.3">
      <c r="A113" t="s">
        <v>1112</v>
      </c>
      <c r="B113" t="s">
        <v>169</v>
      </c>
      <c r="C113" s="1">
        <v>45744.000694444447</v>
      </c>
      <c r="D113" t="s">
        <v>11</v>
      </c>
      <c r="E113" t="s">
        <v>166</v>
      </c>
      <c r="F113">
        <v>238</v>
      </c>
      <c r="G113">
        <v>1278.1400000000001</v>
      </c>
      <c r="H113">
        <v>152.1</v>
      </c>
      <c r="I113" t="s">
        <v>124</v>
      </c>
      <c r="J113" t="s">
        <v>52</v>
      </c>
      <c r="L113" s="1">
        <v>45720</v>
      </c>
      <c r="M113" t="s">
        <v>166</v>
      </c>
      <c r="N113">
        <f>IF(Table1[[#This Row],[side]]="BUY", Table1[[#This Row],[quantity]],-Table1[[#This Row],[quantity]])</f>
        <v>238</v>
      </c>
      <c r="P113" t="str">
        <f>IF(Table1[[#This Row],[side]]="Sell",Table1[[#This Row],[price]],"0")</f>
        <v>0</v>
      </c>
      <c r="Q113">
        <f>SUMIFS(Table1[quantity],Table1[company_id],Table8[[#This Row],[COMPANY_ID]],Table1[side],"BUY")-SUMIFS(Table1[quantity],Table1[company_id],Table8[[#This Row],[COMPANY_ID]],Table1[side],"SELL")</f>
        <v>0</v>
      </c>
      <c r="R113">
        <f>Table1[[#This Row],[Column2]]-Table1[[#This Row],[Buy-sell]]</f>
        <v>0</v>
      </c>
      <c r="S113" t="str">
        <f>IF(Table1[[#This Row],[Sell-Buy]]&gt;0,"Profit","Loss")</f>
        <v>Loss</v>
      </c>
      <c r="T113" s="4" t="s">
        <v>344</v>
      </c>
      <c r="U113" s="8">
        <f>SUMIFS(Table1[price],Table1[order_id],Table15[[#This Row],[order_id]],Table1[side],"BUY")*Table15[[#This Row],[Buy_Quantity]]</f>
        <v>0</v>
      </c>
      <c r="V113" s="8">
        <f>SUMIFS(Table1[price],Table1[order_id],Table15[[#This Row],[order_id]],Table1[side],"SELL")</f>
        <v>806.08</v>
      </c>
      <c r="W113" s="8">
        <f>Table15[[#This Row],[sell]]-Table15[[#This Row],[Buy]]</f>
        <v>412712.96000000002</v>
      </c>
      <c r="X113" s="8">
        <f>IF(Table15[[#This Row],[Profit]]&gt;0,1,0)</f>
        <v>1</v>
      </c>
      <c r="Y113" s="5" t="str">
        <f>IF(Table15[[#This Row],[is Profit]]=1,"Profit","Loss")</f>
        <v>Profit</v>
      </c>
      <c r="Z113" s="5">
        <f>SUMIFS(Table1[quantity],Table1[order_id],Table15[[#This Row],[order_id]],Table1[side],"SELL")</f>
        <v>512</v>
      </c>
      <c r="AA113" s="5">
        <f>Table15[[#This Row],[Buy_value]]*Table15[[#This Row],[Buy_Quantity]]</f>
        <v>0</v>
      </c>
      <c r="AB113" s="5">
        <f>Table15[[#This Row],[Sell_Value]]*Table15[[#This Row],[Sell_Quantity]]</f>
        <v>412712.96000000002</v>
      </c>
      <c r="AC113" s="5">
        <f>SUMIFS(Table1[quantity],Table1[order_id],Table15[[#This Row],[order_id]],Table1[side],"BUY")</f>
        <v>0</v>
      </c>
      <c r="AE113" s="10" t="s">
        <v>1054</v>
      </c>
      <c r="AF113" s="10" t="str">
        <f>IF(Table1[[#This Row],[Sell-Buy]]&gt;0,"Profit","Loss")</f>
        <v>Loss</v>
      </c>
      <c r="AG113">
        <f>Table1[[#This Row],[Column2]]-Table1[[#This Row],[Buy-sell]]</f>
        <v>0</v>
      </c>
    </row>
    <row r="114" spans="1:33" x14ac:dyDescent="0.3">
      <c r="A114" t="s">
        <v>1125</v>
      </c>
      <c r="B114" t="s">
        <v>301</v>
      </c>
      <c r="C114" s="1">
        <v>45761.039583333331</v>
      </c>
      <c r="D114" t="s">
        <v>11</v>
      </c>
      <c r="E114" t="s">
        <v>171</v>
      </c>
      <c r="F114">
        <v>418</v>
      </c>
      <c r="G114">
        <v>1300.2</v>
      </c>
      <c r="H114">
        <v>271.74</v>
      </c>
      <c r="I114" t="s">
        <v>100</v>
      </c>
      <c r="J114" t="s">
        <v>70</v>
      </c>
      <c r="L114" s="1">
        <v>45824</v>
      </c>
      <c r="N114">
        <f>IF(Table1[[#This Row],[side]]="BUY", Table1[[#This Row],[quantity]],-Table1[[#This Row],[quantity]])</f>
        <v>-418</v>
      </c>
      <c r="O114" t="s">
        <v>171</v>
      </c>
      <c r="P114">
        <f>IF(Table1[[#This Row],[side]]="Sell",Table1[[#This Row],[price]],"0")</f>
        <v>1300.2</v>
      </c>
      <c r="Q114">
        <f>SUMIFS(Table1[quantity],Table1[company_id],Table8[[#This Row],[COMPANY_ID]],Table1[side],"BUY")-SUMIFS(Table1[quantity],Table1[company_id],Table8[[#This Row],[COMPANY_ID]],Table1[side],"SELL")</f>
        <v>0</v>
      </c>
      <c r="R114">
        <f>Table1[[#This Row],[Column2]]-Table1[[#This Row],[Buy-sell]]</f>
        <v>1300.2</v>
      </c>
      <c r="S114" t="str">
        <f>IF(Table1[[#This Row],[Sell-Buy]]&gt;0,"Profit","Loss")</f>
        <v>Profit</v>
      </c>
      <c r="T114" s="4" t="s">
        <v>345</v>
      </c>
      <c r="U114" s="8">
        <f>SUMIFS(Table1[price],Table1[order_id],Table15[[#This Row],[order_id]],Table1[side],"BUY")*Table15[[#This Row],[Buy_Quantity]]</f>
        <v>0</v>
      </c>
      <c r="V114" s="8">
        <f>SUMIFS(Table1[price],Table1[order_id],Table15[[#This Row],[order_id]],Table1[side],"SELL")</f>
        <v>258.60000000000002</v>
      </c>
      <c r="W114" s="8">
        <f>Table15[[#This Row],[sell]]-Table15[[#This Row],[Buy]]</f>
        <v>77838.600000000006</v>
      </c>
      <c r="X114" s="8">
        <f>IF(Table15[[#This Row],[Profit]]&gt;0,1,0)</f>
        <v>1</v>
      </c>
      <c r="Y114" s="5" t="str">
        <f>IF(Table15[[#This Row],[is Profit]]=1,"Profit","Loss")</f>
        <v>Profit</v>
      </c>
      <c r="Z114" s="5">
        <f>SUMIFS(Table1[quantity],Table1[order_id],Table15[[#This Row],[order_id]],Table1[side],"SELL")</f>
        <v>301</v>
      </c>
      <c r="AA114" s="5">
        <f>Table15[[#This Row],[Buy_value]]*Table15[[#This Row],[Buy_Quantity]]</f>
        <v>0</v>
      </c>
      <c r="AB114" s="5">
        <f>Table15[[#This Row],[Sell_Value]]*Table15[[#This Row],[Sell_Quantity]]</f>
        <v>77838.600000000006</v>
      </c>
      <c r="AC114" s="5">
        <f>SUMIFS(Table1[quantity],Table1[order_id],Table15[[#This Row],[order_id]],Table1[side],"BUY")</f>
        <v>0</v>
      </c>
      <c r="AE114" s="9" t="s">
        <v>1002</v>
      </c>
      <c r="AF114" s="10" t="str">
        <f>IF(Table1[[#This Row],[Sell-Buy]]&gt;0,"Profit","Loss")</f>
        <v>Profit</v>
      </c>
      <c r="AG114">
        <f>Table1[[#This Row],[Column2]]-Table1[[#This Row],[Buy-sell]]</f>
        <v>1300.2</v>
      </c>
    </row>
    <row r="115" spans="1:33" x14ac:dyDescent="0.3">
      <c r="A115" t="s">
        <v>1127</v>
      </c>
      <c r="B115" t="s">
        <v>202</v>
      </c>
      <c r="C115" s="1">
        <v>45728.009027777778</v>
      </c>
      <c r="D115" t="s">
        <v>11</v>
      </c>
      <c r="E115" t="s">
        <v>171</v>
      </c>
      <c r="F115">
        <v>280</v>
      </c>
      <c r="G115">
        <v>1317.94</v>
      </c>
      <c r="H115">
        <v>184.51</v>
      </c>
      <c r="I115" t="s">
        <v>128</v>
      </c>
      <c r="J115" t="s">
        <v>49</v>
      </c>
      <c r="L115" s="1">
        <v>45824</v>
      </c>
      <c r="N115">
        <f>IF(Table1[[#This Row],[side]]="BUY", Table1[[#This Row],[quantity]],-Table1[[#This Row],[quantity]])</f>
        <v>-280</v>
      </c>
      <c r="O115" t="s">
        <v>171</v>
      </c>
      <c r="P115">
        <f>IF(Table1[[#This Row],[side]]="Sell",Table1[[#This Row],[price]],"0")</f>
        <v>1317.94</v>
      </c>
      <c r="Q115">
        <f>SUMIFS(Table1[quantity],Table1[company_id],Table8[[#This Row],[COMPANY_ID]],Table1[side],"BUY")-SUMIFS(Table1[quantity],Table1[company_id],Table8[[#This Row],[COMPANY_ID]],Table1[side],"SELL")</f>
        <v>0</v>
      </c>
      <c r="R115">
        <f>Table1[[#This Row],[Column2]]-Table1[[#This Row],[Buy-sell]]</f>
        <v>1317.94</v>
      </c>
      <c r="S115" t="str">
        <f>IF(Table1[[#This Row],[Sell-Buy]]&gt;0,"Profit","Loss")</f>
        <v>Profit</v>
      </c>
      <c r="T115" s="5" t="s">
        <v>346</v>
      </c>
      <c r="U115" s="8">
        <f>SUMIFS(Table1[price],Table1[order_id],Table15[[#This Row],[order_id]],Table1[side],"BUY")*Table15[[#This Row],[Buy_Quantity]]</f>
        <v>0</v>
      </c>
      <c r="V115" s="8">
        <f>SUMIFS(Table1[price],Table1[order_id],Table15[[#This Row],[order_id]],Table1[side],"SELL")</f>
        <v>801.23</v>
      </c>
      <c r="W115" s="8">
        <f>Table15[[#This Row],[sell]]-Table15[[#This Row],[Buy]]</f>
        <v>743541.44000000006</v>
      </c>
      <c r="X115" s="8">
        <f>IF(Table15[[#This Row],[Profit]]&gt;0,1,0)</f>
        <v>1</v>
      </c>
      <c r="Y115" s="5" t="str">
        <f>IF(Table15[[#This Row],[is Profit]]=1,"Profit","Loss")</f>
        <v>Profit</v>
      </c>
      <c r="Z115" s="5">
        <f>SUMIFS(Table1[quantity],Table1[order_id],Table15[[#This Row],[order_id]],Table1[side],"SELL")</f>
        <v>928</v>
      </c>
      <c r="AA115" s="5">
        <f>Table15[[#This Row],[Buy_value]]*Table15[[#This Row],[Buy_Quantity]]</f>
        <v>0</v>
      </c>
      <c r="AB115" s="5">
        <f>Table15[[#This Row],[Sell_Value]]*Table15[[#This Row],[Sell_Quantity]]</f>
        <v>743541.44000000006</v>
      </c>
      <c r="AC115" s="5">
        <f>SUMIFS(Table1[quantity],Table1[order_id],Table15[[#This Row],[order_id]],Table1[side],"BUY")</f>
        <v>0</v>
      </c>
      <c r="AE115" s="10" t="s">
        <v>986</v>
      </c>
      <c r="AF115" s="10" t="str">
        <f>IF(Table1[[#This Row],[Sell-Buy]]&gt;0,"Profit","Loss")</f>
        <v>Profit</v>
      </c>
      <c r="AG115">
        <f>Table1[[#This Row],[Column2]]-Table1[[#This Row],[Buy-sell]]</f>
        <v>1317.94</v>
      </c>
    </row>
    <row r="116" spans="1:33" x14ac:dyDescent="0.3">
      <c r="A116" t="s">
        <v>1130</v>
      </c>
      <c r="B116" t="s">
        <v>274</v>
      </c>
      <c r="C116" s="1">
        <v>45754.001388888886</v>
      </c>
      <c r="D116" t="s">
        <v>11</v>
      </c>
      <c r="E116" t="s">
        <v>166</v>
      </c>
      <c r="F116">
        <v>834</v>
      </c>
      <c r="G116">
        <v>1312.35</v>
      </c>
      <c r="H116">
        <v>547.25</v>
      </c>
      <c r="I116" t="s">
        <v>100</v>
      </c>
      <c r="J116" t="s">
        <v>58</v>
      </c>
      <c r="L116" s="1">
        <v>45779</v>
      </c>
      <c r="M116" t="s">
        <v>166</v>
      </c>
      <c r="N116">
        <f>IF(Table1[[#This Row],[side]]="BUY", Table1[[#This Row],[quantity]],-Table1[[#This Row],[quantity]])</f>
        <v>834</v>
      </c>
      <c r="P116" t="str">
        <f>IF(Table1[[#This Row],[side]]="Sell",Table1[[#This Row],[price]],"0")</f>
        <v>0</v>
      </c>
      <c r="Q116">
        <f>SUMIFS(Table1[quantity],Table1[company_id],Table8[[#This Row],[COMPANY_ID]],Table1[side],"BUY")-SUMIFS(Table1[quantity],Table1[company_id],Table8[[#This Row],[COMPANY_ID]],Table1[side],"SELL")</f>
        <v>0</v>
      </c>
      <c r="R116">
        <f>Table1[[#This Row],[Column2]]-Table1[[#This Row],[Buy-sell]]</f>
        <v>0</v>
      </c>
      <c r="S116" t="str">
        <f>IF(Table1[[#This Row],[Sell-Buy]]&gt;0,"Profit","Loss")</f>
        <v>Loss</v>
      </c>
      <c r="T116" s="5" t="s">
        <v>347</v>
      </c>
      <c r="U116" s="8">
        <f>SUMIFS(Table1[price],Table1[order_id],Table15[[#This Row],[order_id]],Table1[side],"BUY")*Table15[[#This Row],[Buy_Quantity]]</f>
        <v>0</v>
      </c>
      <c r="V116" s="8">
        <f>SUMIFS(Table1[price],Table1[order_id],Table15[[#This Row],[order_id]],Table1[side],"SELL")</f>
        <v>1248.3900000000001</v>
      </c>
      <c r="W116" s="8">
        <f>Table15[[#This Row],[sell]]-Table15[[#This Row],[Buy]]</f>
        <v>146061.63</v>
      </c>
      <c r="X116" s="8">
        <f>IF(Table15[[#This Row],[Profit]]&gt;0,1,0)</f>
        <v>1</v>
      </c>
      <c r="Y116" s="5" t="str">
        <f>IF(Table15[[#This Row],[is Profit]]=1,"Profit","Loss")</f>
        <v>Profit</v>
      </c>
      <c r="Z116" s="5">
        <f>SUMIFS(Table1[quantity],Table1[order_id],Table15[[#This Row],[order_id]],Table1[side],"SELL")</f>
        <v>117</v>
      </c>
      <c r="AA116" s="5">
        <f>Table15[[#This Row],[Buy_value]]*Table15[[#This Row],[Buy_Quantity]]</f>
        <v>0</v>
      </c>
      <c r="AB116" s="5">
        <f>Table15[[#This Row],[Sell_Value]]*Table15[[#This Row],[Sell_Quantity]]</f>
        <v>146061.63</v>
      </c>
      <c r="AC116" s="5">
        <f>SUMIFS(Table1[quantity],Table1[order_id],Table15[[#This Row],[order_id]],Table1[side],"BUY")</f>
        <v>0</v>
      </c>
      <c r="AE116" s="9" t="s">
        <v>1166</v>
      </c>
      <c r="AF116" s="10" t="str">
        <f>IF(Table1[[#This Row],[Sell-Buy]]&gt;0,"Profit","Loss")</f>
        <v>Loss</v>
      </c>
      <c r="AG116">
        <f>Table1[[#This Row],[Column2]]-Table1[[#This Row],[Buy-sell]]</f>
        <v>0</v>
      </c>
    </row>
    <row r="117" spans="1:33" x14ac:dyDescent="0.3">
      <c r="A117" t="s">
        <v>1139</v>
      </c>
      <c r="B117" t="s">
        <v>446</v>
      </c>
      <c r="C117" s="1">
        <v>45709.017361111109</v>
      </c>
      <c r="D117" t="s">
        <v>11</v>
      </c>
      <c r="E117" t="s">
        <v>171</v>
      </c>
      <c r="F117">
        <v>34</v>
      </c>
      <c r="G117">
        <v>1231.9000000000001</v>
      </c>
      <c r="H117">
        <v>20.94</v>
      </c>
      <c r="I117" t="s">
        <v>94</v>
      </c>
      <c r="J117" t="s">
        <v>67</v>
      </c>
      <c r="L117" s="1">
        <v>45820</v>
      </c>
      <c r="N117">
        <f>IF(Table1[[#This Row],[side]]="BUY", Table1[[#This Row],[quantity]],-Table1[[#This Row],[quantity]])</f>
        <v>-34</v>
      </c>
      <c r="O117" t="s">
        <v>171</v>
      </c>
      <c r="P117">
        <f>IF(Table1[[#This Row],[side]]="Sell",Table1[[#This Row],[price]],"0")</f>
        <v>1231.9000000000001</v>
      </c>
      <c r="Q117">
        <f>SUMIFS(Table1[quantity],Table1[company_id],Table8[[#This Row],[COMPANY_ID]],Table1[side],"BUY")-SUMIFS(Table1[quantity],Table1[company_id],Table8[[#This Row],[COMPANY_ID]],Table1[side],"SELL")</f>
        <v>0</v>
      </c>
      <c r="R117">
        <f>Table1[[#This Row],[Column2]]-Table1[[#This Row],[Buy-sell]]</f>
        <v>1231.9000000000001</v>
      </c>
      <c r="S117" t="str">
        <f>IF(Table1[[#This Row],[Sell-Buy]]&gt;0,"Profit","Loss")</f>
        <v>Profit</v>
      </c>
      <c r="T117" s="4" t="s">
        <v>348</v>
      </c>
      <c r="U117" s="8">
        <f>SUMIFS(Table1[price],Table1[order_id],Table15[[#This Row],[order_id]],Table1[side],"BUY")*Table15[[#This Row],[Buy_Quantity]]</f>
        <v>124918.43000000001</v>
      </c>
      <c r="V117" s="8">
        <f>SUMIFS(Table1[price],Table1[order_id],Table15[[#This Row],[order_id]],Table1[side],"SELL")</f>
        <v>0</v>
      </c>
      <c r="W117" s="8">
        <f>Table15[[#This Row],[sell]]-Table15[[#This Row],[Buy]]</f>
        <v>-11367577.130000001</v>
      </c>
      <c r="X117" s="8">
        <f>IF(Table15[[#This Row],[Profit]]&gt;0,1,0)</f>
        <v>0</v>
      </c>
      <c r="Y117" s="5" t="str">
        <f>IF(Table15[[#This Row],[is Profit]]=1,"Profit","Loss")</f>
        <v>Loss</v>
      </c>
      <c r="Z117" s="5">
        <f>SUMIFS(Table1[quantity],Table1[order_id],Table15[[#This Row],[order_id]],Table1[side],"SELL")</f>
        <v>0</v>
      </c>
      <c r="AA117" s="5">
        <f>Table15[[#This Row],[Buy_value]]*Table15[[#This Row],[Buy_Quantity]]</f>
        <v>11367577.130000001</v>
      </c>
      <c r="AB117" s="5">
        <f>Table15[[#This Row],[Sell_Value]]*Table15[[#This Row],[Sell_Quantity]]</f>
        <v>0</v>
      </c>
      <c r="AC117" s="5">
        <f>SUMIFS(Table1[quantity],Table1[order_id],Table15[[#This Row],[order_id]],Table1[side],"BUY")</f>
        <v>91</v>
      </c>
      <c r="AE117" s="10" t="s">
        <v>1073</v>
      </c>
      <c r="AF117" s="10" t="str">
        <f>IF(Table1[[#This Row],[Sell-Buy]]&gt;0,"Profit","Loss")</f>
        <v>Profit</v>
      </c>
      <c r="AG117">
        <f>Table1[[#This Row],[Column2]]-Table1[[#This Row],[Buy-sell]]</f>
        <v>1231.9000000000001</v>
      </c>
    </row>
    <row r="118" spans="1:33" x14ac:dyDescent="0.3">
      <c r="A118" t="s">
        <v>1141</v>
      </c>
      <c r="B118" t="s">
        <v>652</v>
      </c>
      <c r="C118" s="1">
        <v>45726.009722222225</v>
      </c>
      <c r="D118" t="s">
        <v>11</v>
      </c>
      <c r="E118" t="s">
        <v>166</v>
      </c>
      <c r="F118">
        <v>668</v>
      </c>
      <c r="G118">
        <v>1290.5899999999999</v>
      </c>
      <c r="H118">
        <v>431.06</v>
      </c>
      <c r="I118" t="s">
        <v>142</v>
      </c>
      <c r="J118" t="s">
        <v>55</v>
      </c>
      <c r="L118" s="1">
        <v>45793</v>
      </c>
      <c r="M118" t="s">
        <v>166</v>
      </c>
      <c r="N118">
        <f>IF(Table1[[#This Row],[side]]="BUY", Table1[[#This Row],[quantity]],-Table1[[#This Row],[quantity]])</f>
        <v>668</v>
      </c>
      <c r="P118" t="str">
        <f>IF(Table1[[#This Row],[side]]="Sell",Table1[[#This Row],[price]],"0")</f>
        <v>0</v>
      </c>
      <c r="Q118">
        <f>SUMIFS(Table1[quantity],Table1[company_id],Table8[[#This Row],[COMPANY_ID]],Table1[side],"BUY")-SUMIFS(Table1[quantity],Table1[company_id],Table8[[#This Row],[COMPANY_ID]],Table1[side],"SELL")</f>
        <v>0</v>
      </c>
      <c r="R118">
        <f>Table1[[#This Row],[Column2]]-Table1[[#This Row],[Buy-sell]]</f>
        <v>0</v>
      </c>
      <c r="S118" t="str">
        <f>IF(Table1[[#This Row],[Sell-Buy]]&gt;0,"Profit","Loss")</f>
        <v>Loss</v>
      </c>
      <c r="T118" s="5" t="s">
        <v>349</v>
      </c>
      <c r="U118" s="8">
        <f>SUMIFS(Table1[price],Table1[order_id],Table15[[#This Row],[order_id]],Table1[side],"BUY")*Table15[[#This Row],[Buy_Quantity]]</f>
        <v>243750.39</v>
      </c>
      <c r="V118" s="8">
        <f>SUMIFS(Table1[price],Table1[order_id],Table15[[#This Row],[order_id]],Table1[side],"SELL")</f>
        <v>601.14</v>
      </c>
      <c r="W118" s="8">
        <f>Table15[[#This Row],[sell]]-Table15[[#This Row],[Buy]]</f>
        <v>-95231236.230000004</v>
      </c>
      <c r="X118" s="8">
        <f>IF(Table15[[#This Row],[Profit]]&gt;0,1,0)</f>
        <v>0</v>
      </c>
      <c r="Y118" s="5" t="str">
        <f>IF(Table15[[#This Row],[is Profit]]=1,"Profit","Loss")</f>
        <v>Loss</v>
      </c>
      <c r="Z118" s="5">
        <f>SUMIFS(Table1[quantity],Table1[order_id],Table15[[#This Row],[order_id]],Table1[side],"SELL")</f>
        <v>936</v>
      </c>
      <c r="AA118" s="5">
        <f>Table15[[#This Row],[Buy_value]]*Table15[[#This Row],[Buy_Quantity]]</f>
        <v>95793903.270000011</v>
      </c>
      <c r="AB118" s="5">
        <f>Table15[[#This Row],[Sell_Value]]*Table15[[#This Row],[Sell_Quantity]]</f>
        <v>562667.04</v>
      </c>
      <c r="AC118" s="5">
        <f>SUMIFS(Table1[quantity],Table1[order_id],Table15[[#This Row],[order_id]],Table1[side],"BUY")</f>
        <v>393</v>
      </c>
      <c r="AE118" s="9" t="s">
        <v>895</v>
      </c>
      <c r="AF118" s="10" t="str">
        <f>IF(Table1[[#This Row],[Sell-Buy]]&gt;0,"Profit","Loss")</f>
        <v>Loss</v>
      </c>
      <c r="AG118">
        <f>Table1[[#This Row],[Column2]]-Table1[[#This Row],[Buy-sell]]</f>
        <v>0</v>
      </c>
    </row>
    <row r="119" spans="1:33" x14ac:dyDescent="0.3">
      <c r="A119" t="s">
        <v>1152</v>
      </c>
      <c r="B119" t="s">
        <v>578</v>
      </c>
      <c r="C119" s="1">
        <v>45828.005555555559</v>
      </c>
      <c r="D119" t="s">
        <v>11</v>
      </c>
      <c r="E119" t="s">
        <v>171</v>
      </c>
      <c r="F119">
        <v>11</v>
      </c>
      <c r="G119">
        <v>1301.26</v>
      </c>
      <c r="H119">
        <v>7.16</v>
      </c>
      <c r="I119" t="s">
        <v>108</v>
      </c>
      <c r="J119" t="s">
        <v>70</v>
      </c>
      <c r="L119" s="1">
        <v>45692</v>
      </c>
      <c r="N119">
        <f>IF(Table1[[#This Row],[side]]="BUY", Table1[[#This Row],[quantity]],-Table1[[#This Row],[quantity]])</f>
        <v>-11</v>
      </c>
      <c r="O119" t="s">
        <v>171</v>
      </c>
      <c r="P119">
        <f>IF(Table1[[#This Row],[side]]="Sell",Table1[[#This Row],[price]],"0")</f>
        <v>1301.26</v>
      </c>
      <c r="Q119">
        <f>SUMIFS(Table1[quantity],Table1[company_id],Table8[[#This Row],[COMPANY_ID]],Table1[side],"BUY")-SUMIFS(Table1[quantity],Table1[company_id],Table8[[#This Row],[COMPANY_ID]],Table1[side],"SELL")</f>
        <v>0</v>
      </c>
      <c r="R119">
        <f>Table1[[#This Row],[Column2]]-Table1[[#This Row],[Buy-sell]]</f>
        <v>1301.26</v>
      </c>
      <c r="S119" t="str">
        <f>IF(Table1[[#This Row],[Sell-Buy]]&gt;0,"Profit","Loss")</f>
        <v>Profit</v>
      </c>
      <c r="T119" s="4" t="s">
        <v>350</v>
      </c>
      <c r="U119" s="8">
        <f>SUMIFS(Table1[price],Table1[order_id],Table15[[#This Row],[order_id]],Table1[side],"BUY")*Table15[[#This Row],[Buy_Quantity]]</f>
        <v>30460.22</v>
      </c>
      <c r="V119" s="8">
        <f>SUMIFS(Table1[price],Table1[order_id],Table15[[#This Row],[order_id]],Table1[side],"SELL")</f>
        <v>1399.8400000000001</v>
      </c>
      <c r="W119" s="8">
        <f>Table15[[#This Row],[sell]]-Table15[[#This Row],[Buy]]</f>
        <v>666831.96</v>
      </c>
      <c r="X119" s="8">
        <f>IF(Table15[[#This Row],[Profit]]&gt;0,1,0)</f>
        <v>1</v>
      </c>
      <c r="Y119" s="5" t="str">
        <f>IF(Table15[[#This Row],[is Profit]]=1,"Profit","Loss")</f>
        <v>Profit</v>
      </c>
      <c r="Z119" s="5">
        <f>SUMIFS(Table1[quantity],Table1[order_id],Table15[[#This Row],[order_id]],Table1[side],"SELL")</f>
        <v>781</v>
      </c>
      <c r="AA119" s="5">
        <f>Table15[[#This Row],[Buy_value]]*Table15[[#This Row],[Buy_Quantity]]</f>
        <v>426443.08</v>
      </c>
      <c r="AB119" s="5">
        <f>Table15[[#This Row],[Sell_Value]]*Table15[[#This Row],[Sell_Quantity]]</f>
        <v>1093275.04</v>
      </c>
      <c r="AC119" s="5">
        <f>SUMIFS(Table1[quantity],Table1[order_id],Table15[[#This Row],[order_id]],Table1[side],"BUY")</f>
        <v>14</v>
      </c>
      <c r="AE119" s="10" t="s">
        <v>997</v>
      </c>
      <c r="AF119" s="10" t="str">
        <f>IF(Table1[[#This Row],[Sell-Buy]]&gt;0,"Profit","Loss")</f>
        <v>Profit</v>
      </c>
      <c r="AG119">
        <f>Table1[[#This Row],[Column2]]-Table1[[#This Row],[Buy-sell]]</f>
        <v>1301.26</v>
      </c>
    </row>
    <row r="120" spans="1:33" x14ac:dyDescent="0.3">
      <c r="A120" t="s">
        <v>1160</v>
      </c>
      <c r="B120" t="s">
        <v>270</v>
      </c>
      <c r="C120" s="1">
        <v>45807.004861111112</v>
      </c>
      <c r="D120" t="s">
        <v>11</v>
      </c>
      <c r="E120" t="s">
        <v>171</v>
      </c>
      <c r="F120">
        <v>972</v>
      </c>
      <c r="G120">
        <v>1271.2</v>
      </c>
      <c r="H120">
        <v>617.79999999999995</v>
      </c>
      <c r="I120" t="s">
        <v>122</v>
      </c>
      <c r="J120" t="s">
        <v>64</v>
      </c>
      <c r="L120" s="1">
        <v>45713</v>
      </c>
      <c r="N120">
        <f>IF(Table1[[#This Row],[side]]="BUY", Table1[[#This Row],[quantity]],-Table1[[#This Row],[quantity]])</f>
        <v>-972</v>
      </c>
      <c r="O120" t="s">
        <v>171</v>
      </c>
      <c r="P120">
        <f>IF(Table1[[#This Row],[side]]="Sell",Table1[[#This Row],[price]],"0")</f>
        <v>1271.2</v>
      </c>
      <c r="Q120">
        <f>SUMIFS(Table1[quantity],Table1[company_id],Table8[[#This Row],[COMPANY_ID]],Table1[side],"BUY")-SUMIFS(Table1[quantity],Table1[company_id],Table8[[#This Row],[COMPANY_ID]],Table1[side],"SELL")</f>
        <v>0</v>
      </c>
      <c r="R120">
        <f>Table1[[#This Row],[Column2]]-Table1[[#This Row],[Buy-sell]]</f>
        <v>1271.2</v>
      </c>
      <c r="S120" t="str">
        <f>IF(Table1[[#This Row],[Sell-Buy]]&gt;0,"Profit","Loss")</f>
        <v>Profit</v>
      </c>
      <c r="T120" s="4" t="s">
        <v>351</v>
      </c>
      <c r="U120" s="8">
        <f>SUMIFS(Table1[price],Table1[order_id],Table15[[#This Row],[order_id]],Table1[side],"BUY")*Table15[[#This Row],[Buy_Quantity]]</f>
        <v>0</v>
      </c>
      <c r="V120" s="8">
        <f>SUMIFS(Table1[price],Table1[order_id],Table15[[#This Row],[order_id]],Table1[side],"SELL")</f>
        <v>756.15</v>
      </c>
      <c r="W120" s="8">
        <f>Table15[[#This Row],[sell]]-Table15[[#This Row],[Buy]]</f>
        <v>530817.29999999993</v>
      </c>
      <c r="X120" s="8">
        <f>IF(Table15[[#This Row],[Profit]]&gt;0,1,0)</f>
        <v>1</v>
      </c>
      <c r="Y120" s="5" t="str">
        <f>IF(Table15[[#This Row],[is Profit]]=1,"Profit","Loss")</f>
        <v>Profit</v>
      </c>
      <c r="Z120" s="5">
        <f>SUMIFS(Table1[quantity],Table1[order_id],Table15[[#This Row],[order_id]],Table1[side],"SELL")</f>
        <v>702</v>
      </c>
      <c r="AA120" s="5">
        <f>Table15[[#This Row],[Buy_value]]*Table15[[#This Row],[Buy_Quantity]]</f>
        <v>0</v>
      </c>
      <c r="AB120" s="5">
        <f>Table15[[#This Row],[Sell_Value]]*Table15[[#This Row],[Sell_Quantity]]</f>
        <v>530817.29999999993</v>
      </c>
      <c r="AC120" s="5">
        <f>SUMIFS(Table1[quantity],Table1[order_id],Table15[[#This Row],[order_id]],Table1[side],"BUY")</f>
        <v>0</v>
      </c>
      <c r="AE120" s="9" t="s">
        <v>810</v>
      </c>
      <c r="AF120" s="10" t="str">
        <f>IF(Table1[[#This Row],[Sell-Buy]]&gt;0,"Profit","Loss")</f>
        <v>Profit</v>
      </c>
      <c r="AG120">
        <f>Table1[[#This Row],[Column2]]-Table1[[#This Row],[Buy-sell]]</f>
        <v>1271.2</v>
      </c>
    </row>
    <row r="121" spans="1:33" x14ac:dyDescent="0.3">
      <c r="A121" t="s">
        <v>1162</v>
      </c>
      <c r="B121" t="s">
        <v>628</v>
      </c>
      <c r="C121" s="1">
        <v>45827.036111111112</v>
      </c>
      <c r="D121" t="s">
        <v>11</v>
      </c>
      <c r="E121" t="s">
        <v>171</v>
      </c>
      <c r="F121">
        <v>867</v>
      </c>
      <c r="G121">
        <v>1306.9000000000001</v>
      </c>
      <c r="H121">
        <v>566.54</v>
      </c>
      <c r="I121" t="s">
        <v>144</v>
      </c>
      <c r="J121" t="s">
        <v>49</v>
      </c>
      <c r="L121" s="1">
        <v>45695</v>
      </c>
      <c r="N121">
        <f>IF(Table1[[#This Row],[side]]="BUY", Table1[[#This Row],[quantity]],-Table1[[#This Row],[quantity]])</f>
        <v>-867</v>
      </c>
      <c r="O121" t="s">
        <v>171</v>
      </c>
      <c r="P121">
        <f>IF(Table1[[#This Row],[side]]="Sell",Table1[[#This Row],[price]],"0")</f>
        <v>1306.9000000000001</v>
      </c>
      <c r="Q121">
        <f>SUMIFS(Table1[quantity],Table1[company_id],Table8[[#This Row],[COMPANY_ID]],Table1[side],"BUY")-SUMIFS(Table1[quantity],Table1[company_id],Table8[[#This Row],[COMPANY_ID]],Table1[side],"SELL")</f>
        <v>0</v>
      </c>
      <c r="R121">
        <f>Table1[[#This Row],[Column2]]-Table1[[#This Row],[Buy-sell]]</f>
        <v>1306.9000000000001</v>
      </c>
      <c r="S121" t="str">
        <f>IF(Table1[[#This Row],[Sell-Buy]]&gt;0,"Profit","Loss")</f>
        <v>Profit</v>
      </c>
      <c r="T121" s="5" t="s">
        <v>354</v>
      </c>
      <c r="U121" s="8">
        <f>SUMIFS(Table1[price],Table1[order_id],Table15[[#This Row],[order_id]],Table1[side],"BUY")*Table15[[#This Row],[Buy_Quantity]]</f>
        <v>106744.96000000001</v>
      </c>
      <c r="V121" s="8">
        <f>SUMIFS(Table1[price],Table1[order_id],Table15[[#This Row],[order_id]],Table1[side],"SELL")</f>
        <v>540.29999999999995</v>
      </c>
      <c r="W121" s="8">
        <f>Table15[[#This Row],[sell]]-Table15[[#This Row],[Buy]]</f>
        <v>-47363567.680000007</v>
      </c>
      <c r="X121" s="8">
        <f>IF(Table15[[#This Row],[Profit]]&gt;0,1,0)</f>
        <v>0</v>
      </c>
      <c r="Y121" s="5" t="str">
        <f>IF(Table15[[#This Row],[is Profit]]=1,"Profit","Loss")</f>
        <v>Loss</v>
      </c>
      <c r="Z121" s="5">
        <f>SUMIFS(Table1[quantity],Table1[order_id],Table15[[#This Row],[order_id]],Table1[side],"SELL")</f>
        <v>848</v>
      </c>
      <c r="AA121" s="5">
        <f>Table15[[#This Row],[Buy_value]]*Table15[[#This Row],[Buy_Quantity]]</f>
        <v>47821742.080000006</v>
      </c>
      <c r="AB121" s="5">
        <f>Table15[[#This Row],[Sell_Value]]*Table15[[#This Row],[Sell_Quantity]]</f>
        <v>458174.39999999997</v>
      </c>
      <c r="AC121" s="5">
        <f>SUMIFS(Table1[quantity],Table1[order_id],Table15[[#This Row],[order_id]],Table1[side],"BUY")</f>
        <v>448</v>
      </c>
      <c r="AE121" s="10" t="s">
        <v>1041</v>
      </c>
      <c r="AF121" s="10" t="str">
        <f>IF(Table1[[#This Row],[Sell-Buy]]&gt;0,"Profit","Loss")</f>
        <v>Profit</v>
      </c>
      <c r="AG121">
        <f>Table1[[#This Row],[Column2]]-Table1[[#This Row],[Buy-sell]]</f>
        <v>1306.9000000000001</v>
      </c>
    </row>
    <row r="122" spans="1:33" x14ac:dyDescent="0.3">
      <c r="A122" t="s">
        <v>1163</v>
      </c>
      <c r="B122" t="s">
        <v>453</v>
      </c>
      <c r="C122" s="1">
        <v>45693.011111111111</v>
      </c>
      <c r="D122" t="s">
        <v>11</v>
      </c>
      <c r="E122" t="s">
        <v>166</v>
      </c>
      <c r="F122">
        <v>50</v>
      </c>
      <c r="G122">
        <v>1203.05</v>
      </c>
      <c r="H122">
        <v>30.08</v>
      </c>
      <c r="I122" t="s">
        <v>126</v>
      </c>
      <c r="J122" t="s">
        <v>70</v>
      </c>
      <c r="L122" s="1">
        <v>45800</v>
      </c>
      <c r="M122" t="s">
        <v>166</v>
      </c>
      <c r="N122">
        <f>IF(Table1[[#This Row],[side]]="BUY", Table1[[#This Row],[quantity]],-Table1[[#This Row],[quantity]])</f>
        <v>50</v>
      </c>
      <c r="P122" t="str">
        <f>IF(Table1[[#This Row],[side]]="Sell",Table1[[#This Row],[price]],"0")</f>
        <v>0</v>
      </c>
      <c r="Q122">
        <f>SUMIFS(Table1[quantity],Table1[company_id],Table8[[#This Row],[COMPANY_ID]],Table1[side],"BUY")-SUMIFS(Table1[quantity],Table1[company_id],Table8[[#This Row],[COMPANY_ID]],Table1[side],"SELL")</f>
        <v>0</v>
      </c>
      <c r="R122">
        <f>Table1[[#This Row],[Column2]]-Table1[[#This Row],[Buy-sell]]</f>
        <v>0</v>
      </c>
      <c r="S122" t="str">
        <f>IF(Table1[[#This Row],[Sell-Buy]]&gt;0,"Profit","Loss")</f>
        <v>Loss</v>
      </c>
      <c r="T122" s="5" t="s">
        <v>355</v>
      </c>
      <c r="U122" s="8">
        <f>SUMIFS(Table1[price],Table1[order_id],Table15[[#This Row],[order_id]],Table1[side],"BUY")*Table15[[#This Row],[Buy_Quantity]]</f>
        <v>159068.44</v>
      </c>
      <c r="V122" s="8">
        <f>SUMIFS(Table1[price],Table1[order_id],Table15[[#This Row],[order_id]],Table1[side],"SELL")</f>
        <v>0</v>
      </c>
      <c r="W122" s="8">
        <f>Table15[[#This Row],[sell]]-Table15[[#This Row],[Buy]]</f>
        <v>-103712622.88</v>
      </c>
      <c r="X122" s="8">
        <f>IF(Table15[[#This Row],[Profit]]&gt;0,1,0)</f>
        <v>0</v>
      </c>
      <c r="Y122" s="5" t="str">
        <f>IF(Table15[[#This Row],[is Profit]]=1,"Profit","Loss")</f>
        <v>Loss</v>
      </c>
      <c r="Z122" s="5">
        <f>SUMIFS(Table1[quantity],Table1[order_id],Table15[[#This Row],[order_id]],Table1[side],"SELL")</f>
        <v>0</v>
      </c>
      <c r="AA122" s="5">
        <f>Table15[[#This Row],[Buy_value]]*Table15[[#This Row],[Buy_Quantity]]</f>
        <v>103712622.88</v>
      </c>
      <c r="AB122" s="5">
        <f>Table15[[#This Row],[Sell_Value]]*Table15[[#This Row],[Sell_Quantity]]</f>
        <v>0</v>
      </c>
      <c r="AC122" s="5">
        <f>SUMIFS(Table1[quantity],Table1[order_id],Table15[[#This Row],[order_id]],Table1[side],"BUY")</f>
        <v>652</v>
      </c>
      <c r="AE122" s="9" t="s">
        <v>1005</v>
      </c>
      <c r="AF122" s="10" t="str">
        <f>IF(Table1[[#This Row],[Sell-Buy]]&gt;0,"Profit","Loss")</f>
        <v>Loss</v>
      </c>
      <c r="AG122">
        <f>Table1[[#This Row],[Column2]]-Table1[[#This Row],[Buy-sell]]</f>
        <v>0</v>
      </c>
    </row>
    <row r="123" spans="1:33" x14ac:dyDescent="0.3">
      <c r="A123" t="s">
        <v>1166</v>
      </c>
      <c r="B123" t="s">
        <v>293</v>
      </c>
      <c r="C123" s="1">
        <v>45799.022916666669</v>
      </c>
      <c r="D123" t="s">
        <v>11</v>
      </c>
      <c r="E123" t="s">
        <v>166</v>
      </c>
      <c r="F123">
        <v>432</v>
      </c>
      <c r="G123">
        <v>1252.3900000000001</v>
      </c>
      <c r="H123">
        <v>270.52</v>
      </c>
      <c r="I123" t="s">
        <v>106</v>
      </c>
      <c r="J123" t="s">
        <v>73</v>
      </c>
      <c r="L123" s="1">
        <v>45664</v>
      </c>
      <c r="M123" t="s">
        <v>166</v>
      </c>
      <c r="N123">
        <f>IF(Table1[[#This Row],[side]]="BUY", Table1[[#This Row],[quantity]],-Table1[[#This Row],[quantity]])</f>
        <v>432</v>
      </c>
      <c r="P123" t="str">
        <f>IF(Table1[[#This Row],[side]]="Sell",Table1[[#This Row],[price]],"0")</f>
        <v>0</v>
      </c>
      <c r="Q123">
        <f>SUMIFS(Table1[quantity],Table1[company_id],Table8[[#This Row],[COMPANY_ID]],Table1[side],"BUY")-SUMIFS(Table1[quantity],Table1[company_id],Table8[[#This Row],[COMPANY_ID]],Table1[side],"SELL")</f>
        <v>0</v>
      </c>
      <c r="R123">
        <f>Table1[[#This Row],[Column2]]-Table1[[#This Row],[Buy-sell]]</f>
        <v>0</v>
      </c>
      <c r="S123" t="str">
        <f>IF(Table1[[#This Row],[Sell-Buy]]&gt;0,"Profit","Loss")</f>
        <v>Loss</v>
      </c>
      <c r="T123" s="4" t="s">
        <v>356</v>
      </c>
      <c r="U123" s="8">
        <f>SUMIFS(Table1[price],Table1[order_id],Table15[[#This Row],[order_id]],Table1[side],"BUY")*Table15[[#This Row],[Buy_Quantity]]</f>
        <v>79351.460000000006</v>
      </c>
      <c r="V123" s="8">
        <f>SUMIFS(Table1[price],Table1[order_id],Table15[[#This Row],[order_id]],Table1[side],"SELL")</f>
        <v>0</v>
      </c>
      <c r="W123" s="8">
        <f>Table15[[#This Row],[sell]]-Table15[[#This Row],[Buy]]</f>
        <v>-9363472.2800000012</v>
      </c>
      <c r="X123" s="8">
        <f>IF(Table15[[#This Row],[Profit]]&gt;0,1,0)</f>
        <v>0</v>
      </c>
      <c r="Y123" s="5" t="str">
        <f>IF(Table15[[#This Row],[is Profit]]=1,"Profit","Loss")</f>
        <v>Loss</v>
      </c>
      <c r="Z123" s="5">
        <f>SUMIFS(Table1[quantity],Table1[order_id],Table15[[#This Row],[order_id]],Table1[side],"SELL")</f>
        <v>0</v>
      </c>
      <c r="AA123" s="5">
        <f>Table15[[#This Row],[Buy_value]]*Table15[[#This Row],[Buy_Quantity]]</f>
        <v>9363472.2800000012</v>
      </c>
      <c r="AB123" s="5">
        <f>Table15[[#This Row],[Sell_Value]]*Table15[[#This Row],[Sell_Quantity]]</f>
        <v>0</v>
      </c>
      <c r="AC123" s="5">
        <f>SUMIFS(Table1[quantity],Table1[order_id],Table15[[#This Row],[order_id]],Table1[side],"BUY")</f>
        <v>118</v>
      </c>
      <c r="AE123" s="10" t="s">
        <v>1034</v>
      </c>
      <c r="AF123" s="10" t="str">
        <f>IF(Table1[[#This Row],[Sell-Buy]]&gt;0,"Profit","Loss")</f>
        <v>Loss</v>
      </c>
      <c r="AG123">
        <f>Table1[[#This Row],[Column2]]-Table1[[#This Row],[Buy-sell]]</f>
        <v>0</v>
      </c>
    </row>
    <row r="124" spans="1:33" x14ac:dyDescent="0.3">
      <c r="A124" t="s">
        <v>676</v>
      </c>
      <c r="B124" t="s">
        <v>449</v>
      </c>
      <c r="C124" s="1">
        <v>45832.040972222225</v>
      </c>
      <c r="D124" t="s">
        <v>14</v>
      </c>
      <c r="E124" t="s">
        <v>171</v>
      </c>
      <c r="F124">
        <v>787</v>
      </c>
      <c r="G124">
        <v>2156.16</v>
      </c>
      <c r="H124">
        <v>848.45</v>
      </c>
      <c r="I124" t="s">
        <v>114</v>
      </c>
      <c r="J124" t="s">
        <v>67</v>
      </c>
      <c r="L124" s="1">
        <v>45714</v>
      </c>
      <c r="N124">
        <f>IF(Table1[[#This Row],[side]]="BUY", Table1[[#This Row],[quantity]],-Table1[[#This Row],[quantity]])</f>
        <v>-787</v>
      </c>
      <c r="O124" t="s">
        <v>171</v>
      </c>
      <c r="P124">
        <f>IF(Table1[[#This Row],[side]]="Sell",Table1[[#This Row],[price]],"0")</f>
        <v>2156.16</v>
      </c>
      <c r="Q124">
        <f>SUMIFS(Table1[quantity],Table1[company_id],Table8[[#This Row],[COMPANY_ID]],Table1[side],"BUY")-SUMIFS(Table1[quantity],Table1[company_id],Table8[[#This Row],[COMPANY_ID]],Table1[side],"SELL")</f>
        <v>0</v>
      </c>
      <c r="R124">
        <f>Table1[[#This Row],[Column2]]-Table1[[#This Row],[Buy-sell]]</f>
        <v>2156.16</v>
      </c>
      <c r="S124" t="str">
        <f>IF(Table1[[#This Row],[Sell-Buy]]&gt;0,"Profit","Loss")</f>
        <v>Profit</v>
      </c>
      <c r="T124" s="4" t="s">
        <v>357</v>
      </c>
      <c r="U124" s="8">
        <f>SUMIFS(Table1[price],Table1[order_id],Table15[[#This Row],[order_id]],Table1[side],"BUY")*Table15[[#This Row],[Buy_Quantity]]</f>
        <v>446488.05</v>
      </c>
      <c r="V124" s="8">
        <f>SUMIFS(Table1[price],Table1[order_id],Table15[[#This Row],[order_id]],Table1[side],"SELL")</f>
        <v>0</v>
      </c>
      <c r="W124" s="8">
        <f>Table15[[#This Row],[sell]]-Table15[[#This Row],[Buy]]</f>
        <v>-392462995.94999999</v>
      </c>
      <c r="X124" s="8">
        <f>IF(Table15[[#This Row],[Profit]]&gt;0,1,0)</f>
        <v>0</v>
      </c>
      <c r="Y124" s="5" t="str">
        <f>IF(Table15[[#This Row],[is Profit]]=1,"Profit","Loss")</f>
        <v>Loss</v>
      </c>
      <c r="Z124" s="5">
        <f>SUMIFS(Table1[quantity],Table1[order_id],Table15[[#This Row],[order_id]],Table1[side],"SELL")</f>
        <v>0</v>
      </c>
      <c r="AA124" s="5">
        <f>Table15[[#This Row],[Buy_value]]*Table15[[#This Row],[Buy_Quantity]]</f>
        <v>392462995.94999999</v>
      </c>
      <c r="AB124" s="5">
        <f>Table15[[#This Row],[Sell_Value]]*Table15[[#This Row],[Sell_Quantity]]</f>
        <v>0</v>
      </c>
      <c r="AC124" s="5">
        <f>SUMIFS(Table1[quantity],Table1[order_id],Table15[[#This Row],[order_id]],Table1[side],"BUY")</f>
        <v>879</v>
      </c>
      <c r="AE124" s="9" t="s">
        <v>1044</v>
      </c>
      <c r="AF124" s="10" t="str">
        <f>IF(Table1[[#This Row],[Sell-Buy]]&gt;0,"Profit","Loss")</f>
        <v>Profit</v>
      </c>
      <c r="AG124">
        <f>Table1[[#This Row],[Column2]]-Table1[[#This Row],[Buy-sell]]</f>
        <v>2156.16</v>
      </c>
    </row>
    <row r="125" spans="1:33" x14ac:dyDescent="0.3">
      <c r="A125" t="s">
        <v>690</v>
      </c>
      <c r="B125" t="s">
        <v>218</v>
      </c>
      <c r="C125" s="1">
        <v>45807.027777777781</v>
      </c>
      <c r="D125" t="s">
        <v>14</v>
      </c>
      <c r="E125" t="s">
        <v>171</v>
      </c>
      <c r="F125">
        <v>213</v>
      </c>
      <c r="G125">
        <v>2239.9899999999998</v>
      </c>
      <c r="H125">
        <v>238.56</v>
      </c>
      <c r="I125" t="s">
        <v>146</v>
      </c>
      <c r="J125" t="s">
        <v>49</v>
      </c>
      <c r="L125" s="1">
        <v>45734</v>
      </c>
      <c r="N125">
        <f>IF(Table1[[#This Row],[side]]="BUY", Table1[[#This Row],[quantity]],-Table1[[#This Row],[quantity]])</f>
        <v>-213</v>
      </c>
      <c r="O125" t="s">
        <v>171</v>
      </c>
      <c r="P125">
        <f>IF(Table1[[#This Row],[side]]="Sell",Table1[[#This Row],[price]],"0")</f>
        <v>2239.9899999999998</v>
      </c>
      <c r="Q125">
        <f>SUMIFS(Table1[quantity],Table1[company_id],Table8[[#This Row],[COMPANY_ID]],Table1[side],"BUY")-SUMIFS(Table1[quantity],Table1[company_id],Table8[[#This Row],[COMPANY_ID]],Table1[side],"SELL")</f>
        <v>0</v>
      </c>
      <c r="R125">
        <f>Table1[[#This Row],[Column2]]-Table1[[#This Row],[Buy-sell]]</f>
        <v>2239.9899999999998</v>
      </c>
      <c r="S125" t="str">
        <f>IF(Table1[[#This Row],[Sell-Buy]]&gt;0,"Profit","Loss")</f>
        <v>Profit</v>
      </c>
      <c r="T125" s="4" t="s">
        <v>358</v>
      </c>
      <c r="U125" s="8">
        <f>SUMIFS(Table1[price],Table1[order_id],Table15[[#This Row],[order_id]],Table1[side],"BUY")*Table15[[#This Row],[Buy_Quantity]]</f>
        <v>1567710.21</v>
      </c>
      <c r="V125" s="8">
        <f>SUMIFS(Table1[price],Table1[order_id],Table15[[#This Row],[order_id]],Table1[side],"SELL")</f>
        <v>0</v>
      </c>
      <c r="W125" s="8">
        <f>Table15[[#This Row],[sell]]-Table15[[#This Row],[Buy]]</f>
        <v>-1095829436.79</v>
      </c>
      <c r="X125" s="8">
        <f>IF(Table15[[#This Row],[Profit]]&gt;0,1,0)</f>
        <v>0</v>
      </c>
      <c r="Y125" s="5" t="str">
        <f>IF(Table15[[#This Row],[is Profit]]=1,"Profit","Loss")</f>
        <v>Loss</v>
      </c>
      <c r="Z125" s="5">
        <f>SUMIFS(Table1[quantity],Table1[order_id],Table15[[#This Row],[order_id]],Table1[side],"SELL")</f>
        <v>0</v>
      </c>
      <c r="AA125" s="5">
        <f>Table15[[#This Row],[Buy_value]]*Table15[[#This Row],[Buy_Quantity]]</f>
        <v>1095829436.79</v>
      </c>
      <c r="AB125" s="5">
        <f>Table15[[#This Row],[Sell_Value]]*Table15[[#This Row],[Sell_Quantity]]</f>
        <v>0</v>
      </c>
      <c r="AC125" s="5">
        <f>SUMIFS(Table1[quantity],Table1[order_id],Table15[[#This Row],[order_id]],Table1[side],"BUY")</f>
        <v>699</v>
      </c>
      <c r="AE125" s="10" t="s">
        <v>1125</v>
      </c>
      <c r="AF125" s="10" t="str">
        <f>IF(Table1[[#This Row],[Sell-Buy]]&gt;0,"Profit","Loss")</f>
        <v>Profit</v>
      </c>
      <c r="AG125">
        <f>Table1[[#This Row],[Column2]]-Table1[[#This Row],[Buy-sell]]</f>
        <v>2239.9899999999998</v>
      </c>
    </row>
    <row r="126" spans="1:33" x14ac:dyDescent="0.3">
      <c r="A126" t="s">
        <v>687</v>
      </c>
      <c r="B126" t="s">
        <v>658</v>
      </c>
      <c r="C126" s="1">
        <v>45782.019444444442</v>
      </c>
      <c r="D126" t="s">
        <v>14</v>
      </c>
      <c r="E126" t="s">
        <v>166</v>
      </c>
      <c r="F126">
        <v>81</v>
      </c>
      <c r="G126">
        <v>2159.5</v>
      </c>
      <c r="H126">
        <v>87.46</v>
      </c>
      <c r="I126" t="s">
        <v>150</v>
      </c>
      <c r="J126" t="s">
        <v>52</v>
      </c>
      <c r="L126" s="1">
        <v>45812</v>
      </c>
      <c r="M126" t="s">
        <v>166</v>
      </c>
      <c r="N126">
        <f>IF(Table1[[#This Row],[side]]="BUY", Table1[[#This Row],[quantity]],-Table1[[#This Row],[quantity]])</f>
        <v>81</v>
      </c>
      <c r="P126" t="str">
        <f>IF(Table1[[#This Row],[side]]="Sell",Table1[[#This Row],[price]],"0")</f>
        <v>0</v>
      </c>
      <c r="Q126">
        <f>SUMIFS(Table1[quantity],Table1[company_id],Table8[[#This Row],[COMPANY_ID]],Table1[side],"BUY")-SUMIFS(Table1[quantity],Table1[company_id],Table8[[#This Row],[COMPANY_ID]],Table1[side],"SELL")</f>
        <v>0</v>
      </c>
      <c r="R126">
        <f>Table1[[#This Row],[Column2]]-Table1[[#This Row],[Buy-sell]]</f>
        <v>0</v>
      </c>
      <c r="S126" t="str">
        <f>IF(Table1[[#This Row],[Sell-Buy]]&gt;0,"Profit","Loss")</f>
        <v>Loss</v>
      </c>
      <c r="T126" s="5" t="s">
        <v>359</v>
      </c>
      <c r="U126" s="8">
        <f>SUMIFS(Table1[price],Table1[order_id],Table15[[#This Row],[order_id]],Table1[side],"BUY")*Table15[[#This Row],[Buy_Quantity]]</f>
        <v>0</v>
      </c>
      <c r="V126" s="8">
        <f>SUMIFS(Table1[price],Table1[order_id],Table15[[#This Row],[order_id]],Table1[side],"SELL")</f>
        <v>766.69</v>
      </c>
      <c r="W126" s="8">
        <f>Table15[[#This Row],[sell]]-Table15[[#This Row],[Buy]]</f>
        <v>510615.54000000004</v>
      </c>
      <c r="X126" s="8">
        <f>IF(Table15[[#This Row],[Profit]]&gt;0,1,0)</f>
        <v>1</v>
      </c>
      <c r="Y126" s="5" t="str">
        <f>IF(Table15[[#This Row],[is Profit]]=1,"Profit","Loss")</f>
        <v>Profit</v>
      </c>
      <c r="Z126" s="5">
        <f>SUMIFS(Table1[quantity],Table1[order_id],Table15[[#This Row],[order_id]],Table1[side],"SELL")</f>
        <v>666</v>
      </c>
      <c r="AA126" s="5">
        <f>Table15[[#This Row],[Buy_value]]*Table15[[#This Row],[Buy_Quantity]]</f>
        <v>0</v>
      </c>
      <c r="AB126" s="5">
        <f>Table15[[#This Row],[Sell_Value]]*Table15[[#This Row],[Sell_Quantity]]</f>
        <v>510615.54000000004</v>
      </c>
      <c r="AC126" s="5">
        <f>SUMIFS(Table1[quantity],Table1[order_id],Table15[[#This Row],[order_id]],Table1[side],"BUY")</f>
        <v>0</v>
      </c>
      <c r="AE126" s="9" t="s">
        <v>715</v>
      </c>
      <c r="AF126" s="10" t="str">
        <f>IF(Table1[[#This Row],[Sell-Buy]]&gt;0,"Profit","Loss")</f>
        <v>Loss</v>
      </c>
      <c r="AG126">
        <f>Table1[[#This Row],[Column2]]-Table1[[#This Row],[Buy-sell]]</f>
        <v>0</v>
      </c>
    </row>
    <row r="127" spans="1:33" x14ac:dyDescent="0.3">
      <c r="A127" t="s">
        <v>710</v>
      </c>
      <c r="B127" t="s">
        <v>539</v>
      </c>
      <c r="C127" s="1">
        <v>45798.017361111109</v>
      </c>
      <c r="D127" t="s">
        <v>14</v>
      </c>
      <c r="E127" t="s">
        <v>171</v>
      </c>
      <c r="F127">
        <v>923</v>
      </c>
      <c r="G127">
        <v>2194.71</v>
      </c>
      <c r="H127">
        <v>1012.86</v>
      </c>
      <c r="I127" t="s">
        <v>88</v>
      </c>
      <c r="J127" t="s">
        <v>61</v>
      </c>
      <c r="L127" s="1">
        <v>45694</v>
      </c>
      <c r="N127">
        <f>IF(Table1[[#This Row],[side]]="BUY", Table1[[#This Row],[quantity]],-Table1[[#This Row],[quantity]])</f>
        <v>-923</v>
      </c>
      <c r="O127" t="s">
        <v>171</v>
      </c>
      <c r="P127">
        <f>IF(Table1[[#This Row],[side]]="Sell",Table1[[#This Row],[price]],"0")</f>
        <v>2194.71</v>
      </c>
      <c r="Q127">
        <f>SUMIFS(Table1[quantity],Table1[company_id],Table8[[#This Row],[COMPANY_ID]],Table1[side],"BUY")-SUMIFS(Table1[quantity],Table1[company_id],Table8[[#This Row],[COMPANY_ID]],Table1[side],"SELL")</f>
        <v>0</v>
      </c>
      <c r="R127">
        <f>Table1[[#This Row],[Column2]]-Table1[[#This Row],[Buy-sell]]</f>
        <v>2194.71</v>
      </c>
      <c r="S127" t="str">
        <f>IF(Table1[[#This Row],[Sell-Buy]]&gt;0,"Profit","Loss")</f>
        <v>Profit</v>
      </c>
      <c r="T127" s="5" t="s">
        <v>360</v>
      </c>
      <c r="U127" s="8">
        <f>SUMIFS(Table1[price],Table1[order_id],Table15[[#This Row],[order_id]],Table1[side],"BUY")*Table15[[#This Row],[Buy_Quantity]]</f>
        <v>0</v>
      </c>
      <c r="V127" s="8">
        <f>SUMIFS(Table1[price],Table1[order_id],Table15[[#This Row],[order_id]],Table1[side],"SELL")</f>
        <v>897.61</v>
      </c>
      <c r="W127" s="8">
        <f>Table15[[#This Row],[sell]]-Table15[[#This Row],[Buy]]</f>
        <v>832982.08</v>
      </c>
      <c r="X127" s="8">
        <f>IF(Table15[[#This Row],[Profit]]&gt;0,1,0)</f>
        <v>1</v>
      </c>
      <c r="Y127" s="5" t="str">
        <f>IF(Table15[[#This Row],[is Profit]]=1,"Profit","Loss")</f>
        <v>Profit</v>
      </c>
      <c r="Z127" s="5">
        <f>SUMIFS(Table1[quantity],Table1[order_id],Table15[[#This Row],[order_id]],Table1[side],"SELL")</f>
        <v>928</v>
      </c>
      <c r="AA127" s="5">
        <f>Table15[[#This Row],[Buy_value]]*Table15[[#This Row],[Buy_Quantity]]</f>
        <v>0</v>
      </c>
      <c r="AB127" s="5">
        <f>Table15[[#This Row],[Sell_Value]]*Table15[[#This Row],[Sell_Quantity]]</f>
        <v>832982.08</v>
      </c>
      <c r="AC127" s="5">
        <f>SUMIFS(Table1[quantity],Table1[order_id],Table15[[#This Row],[order_id]],Table1[side],"BUY")</f>
        <v>0</v>
      </c>
      <c r="AE127" s="10" t="s">
        <v>800</v>
      </c>
      <c r="AF127" s="10" t="str">
        <f>IF(Table1[[#This Row],[Sell-Buy]]&gt;0,"Profit","Loss")</f>
        <v>Profit</v>
      </c>
      <c r="AG127">
        <f>Table1[[#This Row],[Column2]]-Table1[[#This Row],[Buy-sell]]</f>
        <v>2194.71</v>
      </c>
    </row>
    <row r="128" spans="1:33" x14ac:dyDescent="0.3">
      <c r="A128" t="s">
        <v>725</v>
      </c>
      <c r="B128" t="s">
        <v>165</v>
      </c>
      <c r="C128" s="1">
        <v>45750.03402777778</v>
      </c>
      <c r="D128" t="s">
        <v>14</v>
      </c>
      <c r="E128" t="s">
        <v>171</v>
      </c>
      <c r="F128">
        <v>931</v>
      </c>
      <c r="G128">
        <v>2226.41</v>
      </c>
      <c r="H128">
        <v>1036.3900000000001</v>
      </c>
      <c r="I128" t="s">
        <v>97</v>
      </c>
      <c r="J128" t="s">
        <v>70</v>
      </c>
      <c r="L128" s="1">
        <v>45743</v>
      </c>
      <c r="N128">
        <f>IF(Table1[[#This Row],[side]]="BUY", Table1[[#This Row],[quantity]],-Table1[[#This Row],[quantity]])</f>
        <v>-931</v>
      </c>
      <c r="O128" t="s">
        <v>171</v>
      </c>
      <c r="P128">
        <f>IF(Table1[[#This Row],[side]]="Sell",Table1[[#This Row],[price]],"0")</f>
        <v>2226.41</v>
      </c>
      <c r="Q128">
        <f>SUMIFS(Table1[quantity],Table1[company_id],Table8[[#This Row],[COMPANY_ID]],Table1[side],"BUY")-SUMIFS(Table1[quantity],Table1[company_id],Table8[[#This Row],[COMPANY_ID]],Table1[side],"SELL")</f>
        <v>0</v>
      </c>
      <c r="R128">
        <f>Table1[[#This Row],[Column2]]-Table1[[#This Row],[Buy-sell]]</f>
        <v>2226.41</v>
      </c>
      <c r="S128" t="str">
        <f>IF(Table1[[#This Row],[Sell-Buy]]&gt;0,"Profit","Loss")</f>
        <v>Profit</v>
      </c>
      <c r="T128" s="4" t="s">
        <v>361</v>
      </c>
      <c r="U128" s="8">
        <f>SUMIFS(Table1[price],Table1[order_id],Table15[[#This Row],[order_id]],Table1[side],"BUY")*Table15[[#This Row],[Buy_Quantity]]</f>
        <v>2509476</v>
      </c>
      <c r="V128" s="8">
        <f>SUMIFS(Table1[price],Table1[order_id],Table15[[#This Row],[order_id]],Table1[side],"SELL")</f>
        <v>0</v>
      </c>
      <c r="W128" s="8">
        <f>Table15[[#This Row],[sell]]-Table15[[#This Row],[Buy]]</f>
        <v>-3011371200</v>
      </c>
      <c r="X128" s="8">
        <f>IF(Table15[[#This Row],[Profit]]&gt;0,1,0)</f>
        <v>0</v>
      </c>
      <c r="Y128" s="5" t="str">
        <f>IF(Table15[[#This Row],[is Profit]]=1,"Profit","Loss")</f>
        <v>Loss</v>
      </c>
      <c r="Z128" s="5">
        <f>SUMIFS(Table1[quantity],Table1[order_id],Table15[[#This Row],[order_id]],Table1[side],"SELL")</f>
        <v>0</v>
      </c>
      <c r="AA128" s="5">
        <f>Table15[[#This Row],[Buy_value]]*Table15[[#This Row],[Buy_Quantity]]</f>
        <v>3011371200</v>
      </c>
      <c r="AB128" s="5">
        <f>Table15[[#This Row],[Sell_Value]]*Table15[[#This Row],[Sell_Quantity]]</f>
        <v>0</v>
      </c>
      <c r="AC128" s="5">
        <f>SUMIFS(Table1[quantity],Table1[order_id],Table15[[#This Row],[order_id]],Table1[side],"BUY")</f>
        <v>1200</v>
      </c>
      <c r="AE128" s="9" t="s">
        <v>1161</v>
      </c>
      <c r="AF128" s="10" t="str">
        <f>IF(Table1[[#This Row],[Sell-Buy]]&gt;0,"Profit","Loss")</f>
        <v>Profit</v>
      </c>
      <c r="AG128">
        <f>Table1[[#This Row],[Column2]]-Table1[[#This Row],[Buy-sell]]</f>
        <v>2226.41</v>
      </c>
    </row>
    <row r="129" spans="1:33" x14ac:dyDescent="0.3">
      <c r="A129" t="s">
        <v>737</v>
      </c>
      <c r="B129" t="s">
        <v>649</v>
      </c>
      <c r="C129" s="1">
        <v>45762.009027777778</v>
      </c>
      <c r="D129" t="s">
        <v>14</v>
      </c>
      <c r="E129" t="s">
        <v>171</v>
      </c>
      <c r="F129">
        <v>258</v>
      </c>
      <c r="G129">
        <v>2218.42</v>
      </c>
      <c r="H129">
        <v>286.18</v>
      </c>
      <c r="I129" t="s">
        <v>106</v>
      </c>
      <c r="J129" t="s">
        <v>76</v>
      </c>
      <c r="L129" s="1">
        <v>45715</v>
      </c>
      <c r="N129">
        <f>IF(Table1[[#This Row],[side]]="BUY", Table1[[#This Row],[quantity]],-Table1[[#This Row],[quantity]])</f>
        <v>-258</v>
      </c>
      <c r="O129" t="s">
        <v>171</v>
      </c>
      <c r="P129">
        <f>IF(Table1[[#This Row],[side]]="Sell",Table1[[#This Row],[price]],"0")</f>
        <v>2218.42</v>
      </c>
      <c r="Q129">
        <f>SUMIFS(Table1[quantity],Table1[company_id],Table8[[#This Row],[COMPANY_ID]],Table1[side],"BUY")-SUMIFS(Table1[quantity],Table1[company_id],Table8[[#This Row],[COMPANY_ID]],Table1[side],"SELL")</f>
        <v>0</v>
      </c>
      <c r="R129">
        <f>Table1[[#This Row],[Column2]]-Table1[[#This Row],[Buy-sell]]</f>
        <v>2218.42</v>
      </c>
      <c r="S129" t="str">
        <f>IF(Table1[[#This Row],[Sell-Buy]]&gt;0,"Profit","Loss")</f>
        <v>Profit</v>
      </c>
      <c r="T129" s="5" t="s">
        <v>362</v>
      </c>
      <c r="U129" s="8">
        <f>SUMIFS(Table1[price],Table1[order_id],Table15[[#This Row],[order_id]],Table1[side],"BUY")*Table15[[#This Row],[Buy_Quantity]]</f>
        <v>1594462.66</v>
      </c>
      <c r="V129" s="8">
        <f>SUMIFS(Table1[price],Table1[order_id],Table15[[#This Row],[order_id]],Table1[side],"SELL")</f>
        <v>1989.4</v>
      </c>
      <c r="W129" s="8">
        <f>Table15[[#This Row],[sell]]-Table15[[#This Row],[Buy]]</f>
        <v>-1148332372.4599998</v>
      </c>
      <c r="X129" s="8">
        <f>IF(Table15[[#This Row],[Profit]]&gt;0,1,0)</f>
        <v>0</v>
      </c>
      <c r="Y129" s="5" t="str">
        <f>IF(Table15[[#This Row],[is Profit]]=1,"Profit","Loss")</f>
        <v>Loss</v>
      </c>
      <c r="Z129" s="5">
        <f>SUMIFS(Table1[quantity],Table1[order_id],Table15[[#This Row],[order_id]],Table1[side],"SELL")</f>
        <v>641</v>
      </c>
      <c r="AA129" s="5">
        <f>Table15[[#This Row],[Buy_value]]*Table15[[#This Row],[Buy_Quantity]]</f>
        <v>1149607577.8599999</v>
      </c>
      <c r="AB129" s="5">
        <f>Table15[[#This Row],[Sell_Value]]*Table15[[#This Row],[Sell_Quantity]]</f>
        <v>1275205.4000000001</v>
      </c>
      <c r="AC129" s="5">
        <f>SUMIFS(Table1[quantity],Table1[order_id],Table15[[#This Row],[order_id]],Table1[side],"BUY")</f>
        <v>721</v>
      </c>
      <c r="AE129" s="10" t="s">
        <v>774</v>
      </c>
      <c r="AF129" s="10" t="str">
        <f>IF(Table1[[#This Row],[Sell-Buy]]&gt;0,"Profit","Loss")</f>
        <v>Profit</v>
      </c>
      <c r="AG129">
        <f>Table1[[#This Row],[Column2]]-Table1[[#This Row],[Buy-sell]]</f>
        <v>2218.42</v>
      </c>
    </row>
    <row r="130" spans="1:33" x14ac:dyDescent="0.3">
      <c r="A130" t="s">
        <v>745</v>
      </c>
      <c r="B130" t="s">
        <v>569</v>
      </c>
      <c r="C130" s="1">
        <v>45810.038888888892</v>
      </c>
      <c r="D130" t="s">
        <v>14</v>
      </c>
      <c r="E130" t="s">
        <v>171</v>
      </c>
      <c r="F130">
        <v>339</v>
      </c>
      <c r="G130">
        <v>2256.92</v>
      </c>
      <c r="H130">
        <v>382.55</v>
      </c>
      <c r="I130" t="s">
        <v>110</v>
      </c>
      <c r="J130" t="s">
        <v>64</v>
      </c>
      <c r="L130" s="1">
        <v>45707</v>
      </c>
      <c r="N130">
        <f>IF(Table1[[#This Row],[side]]="BUY", Table1[[#This Row],[quantity]],-Table1[[#This Row],[quantity]])</f>
        <v>-339</v>
      </c>
      <c r="O130" t="s">
        <v>171</v>
      </c>
      <c r="P130">
        <f>IF(Table1[[#This Row],[side]]="Sell",Table1[[#This Row],[price]],"0")</f>
        <v>2256.92</v>
      </c>
      <c r="Q130">
        <f>SUMIFS(Table1[quantity],Table1[company_id],Table8[[#This Row],[COMPANY_ID]],Table1[side],"BUY")-SUMIFS(Table1[quantity],Table1[company_id],Table8[[#This Row],[COMPANY_ID]],Table1[side],"SELL")</f>
        <v>0</v>
      </c>
      <c r="R130">
        <f>Table1[[#This Row],[Column2]]-Table1[[#This Row],[Buy-sell]]</f>
        <v>2256.92</v>
      </c>
      <c r="S130" t="str">
        <f>IF(Table1[[#This Row],[Sell-Buy]]&gt;0,"Profit","Loss")</f>
        <v>Profit</v>
      </c>
      <c r="T130" s="4" t="s">
        <v>371</v>
      </c>
      <c r="U130" s="8">
        <f>SUMIFS(Table1[price],Table1[order_id],Table15[[#This Row],[order_id]],Table1[side],"BUY")*Table15[[#This Row],[Buy_Quantity]]</f>
        <v>0</v>
      </c>
      <c r="V130" s="8">
        <f>SUMIFS(Table1[price],Table1[order_id],Table15[[#This Row],[order_id]],Table1[side],"SELL")</f>
        <v>1298.26</v>
      </c>
      <c r="W130" s="8">
        <f>Table15[[#This Row],[sell]]-Table15[[#This Row],[Buy]]</f>
        <v>499830.1</v>
      </c>
      <c r="X130" s="8">
        <f>IF(Table15[[#This Row],[Profit]]&gt;0,1,0)</f>
        <v>1</v>
      </c>
      <c r="Y130" s="5" t="str">
        <f>IF(Table15[[#This Row],[is Profit]]=1,"Profit","Loss")</f>
        <v>Profit</v>
      </c>
      <c r="Z130" s="5">
        <f>SUMIFS(Table1[quantity],Table1[order_id],Table15[[#This Row],[order_id]],Table1[side],"SELL")</f>
        <v>385</v>
      </c>
      <c r="AA130" s="5">
        <f>Table15[[#This Row],[Buy_value]]*Table15[[#This Row],[Buy_Quantity]]</f>
        <v>0</v>
      </c>
      <c r="AB130" s="5">
        <f>Table15[[#This Row],[Sell_Value]]*Table15[[#This Row],[Sell_Quantity]]</f>
        <v>499830.1</v>
      </c>
      <c r="AC130" s="5">
        <f>SUMIFS(Table1[quantity],Table1[order_id],Table15[[#This Row],[order_id]],Table1[side],"BUY")</f>
        <v>0</v>
      </c>
      <c r="AE130" s="9" t="s">
        <v>828</v>
      </c>
      <c r="AF130" s="10" t="str">
        <f>IF(Table1[[#This Row],[Sell-Buy]]&gt;0,"Profit","Loss")</f>
        <v>Profit</v>
      </c>
      <c r="AG130">
        <f>Table1[[#This Row],[Column2]]-Table1[[#This Row],[Buy-sell]]</f>
        <v>2256.92</v>
      </c>
    </row>
    <row r="131" spans="1:33" x14ac:dyDescent="0.3">
      <c r="A131" t="s">
        <v>747</v>
      </c>
      <c r="B131" t="s">
        <v>483</v>
      </c>
      <c r="C131" s="1">
        <v>45708.01666666667</v>
      </c>
      <c r="D131" t="s">
        <v>14</v>
      </c>
      <c r="E131" t="s">
        <v>171</v>
      </c>
      <c r="F131">
        <v>83</v>
      </c>
      <c r="G131">
        <v>2148.98</v>
      </c>
      <c r="H131">
        <v>89.18</v>
      </c>
      <c r="I131" t="s">
        <v>112</v>
      </c>
      <c r="J131" t="s">
        <v>73</v>
      </c>
      <c r="L131" s="1">
        <v>45782</v>
      </c>
      <c r="N131">
        <f>IF(Table1[[#This Row],[side]]="BUY", Table1[[#This Row],[quantity]],-Table1[[#This Row],[quantity]])</f>
        <v>-83</v>
      </c>
      <c r="O131" t="s">
        <v>171</v>
      </c>
      <c r="P131">
        <f>IF(Table1[[#This Row],[side]]="Sell",Table1[[#This Row],[price]],"0")</f>
        <v>2148.98</v>
      </c>
      <c r="Q131">
        <f>SUMIFS(Table1[quantity],Table1[company_id],Table8[[#This Row],[COMPANY_ID]],Table1[side],"BUY")-SUMIFS(Table1[quantity],Table1[company_id],Table8[[#This Row],[COMPANY_ID]],Table1[side],"SELL")</f>
        <v>0</v>
      </c>
      <c r="R131">
        <f>Table1[[#This Row],[Column2]]-Table1[[#This Row],[Buy-sell]]</f>
        <v>2148.98</v>
      </c>
      <c r="S131" t="str">
        <f>IF(Table1[[#This Row],[Sell-Buy]]&gt;0,"Profit","Loss")</f>
        <v>Profit</v>
      </c>
      <c r="T131" s="5" t="s">
        <v>372</v>
      </c>
      <c r="U131" s="8">
        <f>SUMIFS(Table1[price],Table1[order_id],Table15[[#This Row],[order_id]],Table1[side],"BUY")*Table15[[#This Row],[Buy_Quantity]]</f>
        <v>1194981.5999999999</v>
      </c>
      <c r="V131" s="8">
        <f>SUMIFS(Table1[price],Table1[order_id],Table15[[#This Row],[order_id]],Table1[side],"SELL")</f>
        <v>0</v>
      </c>
      <c r="W131" s="8">
        <f>Table15[[#This Row],[sell]]-Table15[[#This Row],[Buy]]</f>
        <v>-707429107.19999993</v>
      </c>
      <c r="X131" s="8">
        <f>IF(Table15[[#This Row],[Profit]]&gt;0,1,0)</f>
        <v>0</v>
      </c>
      <c r="Y131" s="5" t="str">
        <f>IF(Table15[[#This Row],[is Profit]]=1,"Profit","Loss")</f>
        <v>Loss</v>
      </c>
      <c r="Z131" s="5">
        <f>SUMIFS(Table1[quantity],Table1[order_id],Table15[[#This Row],[order_id]],Table1[side],"SELL")</f>
        <v>0</v>
      </c>
      <c r="AA131" s="5">
        <f>Table15[[#This Row],[Buy_value]]*Table15[[#This Row],[Buy_Quantity]]</f>
        <v>707429107.19999993</v>
      </c>
      <c r="AB131" s="5">
        <f>Table15[[#This Row],[Sell_Value]]*Table15[[#This Row],[Sell_Quantity]]</f>
        <v>0</v>
      </c>
      <c r="AC131" s="5">
        <f>SUMIFS(Table1[quantity],Table1[order_id],Table15[[#This Row],[order_id]],Table1[side],"BUY")</f>
        <v>592</v>
      </c>
      <c r="AE131" s="10" t="s">
        <v>1113</v>
      </c>
      <c r="AF131" s="10" t="str">
        <f>IF(Table1[[#This Row],[Sell-Buy]]&gt;0,"Profit","Loss")</f>
        <v>Profit</v>
      </c>
      <c r="AG131">
        <f>Table1[[#This Row],[Column2]]-Table1[[#This Row],[Buy-sell]]</f>
        <v>2148.98</v>
      </c>
    </row>
    <row r="132" spans="1:33" x14ac:dyDescent="0.3">
      <c r="A132" t="s">
        <v>721</v>
      </c>
      <c r="B132" t="s">
        <v>362</v>
      </c>
      <c r="C132" s="1">
        <v>45811.03125</v>
      </c>
      <c r="D132" t="s">
        <v>14</v>
      </c>
      <c r="E132" t="s">
        <v>166</v>
      </c>
      <c r="F132">
        <v>721</v>
      </c>
      <c r="G132">
        <v>2211.46</v>
      </c>
      <c r="H132">
        <v>797.23</v>
      </c>
      <c r="I132" t="s">
        <v>94</v>
      </c>
      <c r="J132" t="s">
        <v>49</v>
      </c>
      <c r="L132" s="1">
        <v>45758</v>
      </c>
      <c r="M132" t="s">
        <v>166</v>
      </c>
      <c r="N132">
        <f>IF(Table1[[#This Row],[side]]="BUY", Table1[[#This Row],[quantity]],-Table1[[#This Row],[quantity]])</f>
        <v>721</v>
      </c>
      <c r="P132" t="str">
        <f>IF(Table1[[#This Row],[side]]="Sell",Table1[[#This Row],[price]],"0")</f>
        <v>0</v>
      </c>
      <c r="Q132">
        <f>SUMIFS(Table1[quantity],Table1[company_id],Table8[[#This Row],[COMPANY_ID]],Table1[side],"BUY")-SUMIFS(Table1[quantity],Table1[company_id],Table8[[#This Row],[COMPANY_ID]],Table1[side],"SELL")</f>
        <v>0</v>
      </c>
      <c r="R132">
        <f>Table1[[#This Row],[Column2]]-Table1[[#This Row],[Buy-sell]]</f>
        <v>0</v>
      </c>
      <c r="S132" t="str">
        <f>IF(Table1[[#This Row],[Sell-Buy]]&gt;0,"Profit","Loss")</f>
        <v>Loss</v>
      </c>
      <c r="T132" s="4" t="s">
        <v>374</v>
      </c>
      <c r="U132" s="8">
        <f>SUMIFS(Table1[price],Table1[order_id],Table15[[#This Row],[order_id]],Table1[side],"BUY")*Table15[[#This Row],[Buy_Quantity]]</f>
        <v>959692.80000000005</v>
      </c>
      <c r="V132" s="8">
        <f>SUMIFS(Table1[price],Table1[order_id],Table15[[#This Row],[order_id]],Table1[side],"SELL")</f>
        <v>0</v>
      </c>
      <c r="W132" s="8">
        <f>Table15[[#This Row],[sell]]-Table15[[#This Row],[Buy]]</f>
        <v>-681381888</v>
      </c>
      <c r="X132" s="8">
        <f>IF(Table15[[#This Row],[Profit]]&gt;0,1,0)</f>
        <v>0</v>
      </c>
      <c r="Y132" s="5" t="str">
        <f>IF(Table15[[#This Row],[is Profit]]=1,"Profit","Loss")</f>
        <v>Loss</v>
      </c>
      <c r="Z132" s="5">
        <f>SUMIFS(Table1[quantity],Table1[order_id],Table15[[#This Row],[order_id]],Table1[side],"SELL")</f>
        <v>0</v>
      </c>
      <c r="AA132" s="5">
        <f>Table15[[#This Row],[Buy_value]]*Table15[[#This Row],[Buy_Quantity]]</f>
        <v>681381888</v>
      </c>
      <c r="AB132" s="5">
        <f>Table15[[#This Row],[Sell_Value]]*Table15[[#This Row],[Sell_Quantity]]</f>
        <v>0</v>
      </c>
      <c r="AC132" s="5">
        <f>SUMIFS(Table1[quantity],Table1[order_id],Table15[[#This Row],[order_id]],Table1[side],"BUY")</f>
        <v>710</v>
      </c>
      <c r="AE132" s="9" t="s">
        <v>859</v>
      </c>
      <c r="AF132" s="10" t="str">
        <f>IF(Table1[[#This Row],[Sell-Buy]]&gt;0,"Profit","Loss")</f>
        <v>Loss</v>
      </c>
      <c r="AG132">
        <f>Table1[[#This Row],[Column2]]-Table1[[#This Row],[Buy-sell]]</f>
        <v>0</v>
      </c>
    </row>
    <row r="133" spans="1:33" x14ac:dyDescent="0.3">
      <c r="A133" t="s">
        <v>775</v>
      </c>
      <c r="B133" t="s">
        <v>186</v>
      </c>
      <c r="C133" s="1">
        <v>45729.000694444447</v>
      </c>
      <c r="D133" t="s">
        <v>14</v>
      </c>
      <c r="E133" t="s">
        <v>171</v>
      </c>
      <c r="F133">
        <v>891</v>
      </c>
      <c r="G133">
        <v>2172.1799999999998</v>
      </c>
      <c r="H133">
        <v>967.71</v>
      </c>
      <c r="I133" t="s">
        <v>136</v>
      </c>
      <c r="J133" t="s">
        <v>58</v>
      </c>
      <c r="L133" s="1">
        <v>45797</v>
      </c>
      <c r="N133">
        <f>IF(Table1[[#This Row],[side]]="BUY", Table1[[#This Row],[quantity]],-Table1[[#This Row],[quantity]])</f>
        <v>-891</v>
      </c>
      <c r="O133" t="s">
        <v>171</v>
      </c>
      <c r="P133">
        <f>IF(Table1[[#This Row],[side]]="Sell",Table1[[#This Row],[price]],"0")</f>
        <v>2172.1799999999998</v>
      </c>
      <c r="Q133">
        <f>SUMIFS(Table1[quantity],Table1[company_id],Table8[[#This Row],[COMPANY_ID]],Table1[side],"BUY")-SUMIFS(Table1[quantity],Table1[company_id],Table8[[#This Row],[COMPANY_ID]],Table1[side],"SELL")</f>
        <v>0</v>
      </c>
      <c r="R133">
        <f>Table1[[#This Row],[Column2]]-Table1[[#This Row],[Buy-sell]]</f>
        <v>2172.1799999999998</v>
      </c>
      <c r="S133" t="str">
        <f>IF(Table1[[#This Row],[Sell-Buy]]&gt;0,"Profit","Loss")</f>
        <v>Profit</v>
      </c>
      <c r="T133" s="5" t="s">
        <v>375</v>
      </c>
      <c r="U133" s="8">
        <f>SUMIFS(Table1[price],Table1[order_id],Table15[[#This Row],[order_id]],Table1[side],"BUY")*Table15[[#This Row],[Buy_Quantity]]</f>
        <v>0</v>
      </c>
      <c r="V133" s="8">
        <f>SUMIFS(Table1[price],Table1[order_id],Table15[[#This Row],[order_id]],Table1[side],"SELL")</f>
        <v>3581.4900000000002</v>
      </c>
      <c r="W133" s="8">
        <f>Table15[[#This Row],[sell]]-Table15[[#This Row],[Buy]]</f>
        <v>5515494.6000000006</v>
      </c>
      <c r="X133" s="8">
        <f>IF(Table15[[#This Row],[Profit]]&gt;0,1,0)</f>
        <v>1</v>
      </c>
      <c r="Y133" s="5" t="str">
        <f>IF(Table15[[#This Row],[is Profit]]=1,"Profit","Loss")</f>
        <v>Profit</v>
      </c>
      <c r="Z133" s="5">
        <f>SUMIFS(Table1[quantity],Table1[order_id],Table15[[#This Row],[order_id]],Table1[side],"SELL")</f>
        <v>1540</v>
      </c>
      <c r="AA133" s="5">
        <f>Table15[[#This Row],[Buy_value]]*Table15[[#This Row],[Buy_Quantity]]</f>
        <v>0</v>
      </c>
      <c r="AB133" s="5">
        <f>Table15[[#This Row],[Sell_Value]]*Table15[[#This Row],[Sell_Quantity]]</f>
        <v>5515494.6000000006</v>
      </c>
      <c r="AC133" s="5">
        <f>SUMIFS(Table1[quantity],Table1[order_id],Table15[[#This Row],[order_id]],Table1[side],"BUY")</f>
        <v>0</v>
      </c>
      <c r="AE133" s="10" t="s">
        <v>908</v>
      </c>
      <c r="AF133" s="10" t="str">
        <f>IF(Table1[[#This Row],[Sell-Buy]]&gt;0,"Profit","Loss")</f>
        <v>Profit</v>
      </c>
      <c r="AG133">
        <f>Table1[[#This Row],[Column2]]-Table1[[#This Row],[Buy-sell]]</f>
        <v>2172.1799999999998</v>
      </c>
    </row>
    <row r="134" spans="1:33" x14ac:dyDescent="0.3">
      <c r="A134" t="s">
        <v>744</v>
      </c>
      <c r="B134" t="s">
        <v>195</v>
      </c>
      <c r="C134" s="1">
        <v>45796.009722222225</v>
      </c>
      <c r="D134" t="s">
        <v>14</v>
      </c>
      <c r="E134" t="s">
        <v>166</v>
      </c>
      <c r="F134">
        <v>898</v>
      </c>
      <c r="G134">
        <v>2234.12</v>
      </c>
      <c r="H134">
        <v>1003.12</v>
      </c>
      <c r="I134" t="s">
        <v>136</v>
      </c>
      <c r="J134" t="s">
        <v>73</v>
      </c>
      <c r="L134" s="1">
        <v>45684</v>
      </c>
      <c r="M134" t="s">
        <v>166</v>
      </c>
      <c r="N134">
        <f>IF(Table1[[#This Row],[side]]="BUY", Table1[[#This Row],[quantity]],-Table1[[#This Row],[quantity]])</f>
        <v>898</v>
      </c>
      <c r="P134" t="str">
        <f>IF(Table1[[#This Row],[side]]="Sell",Table1[[#This Row],[price]],"0")</f>
        <v>0</v>
      </c>
      <c r="Q134">
        <f>SUMIFS(Table1[quantity],Table1[company_id],Table8[[#This Row],[COMPANY_ID]],Table1[side],"BUY")-SUMIFS(Table1[quantity],Table1[company_id],Table8[[#This Row],[COMPANY_ID]],Table1[side],"SELL")</f>
        <v>0</v>
      </c>
      <c r="R134">
        <f>Table1[[#This Row],[Column2]]-Table1[[#This Row],[Buy-sell]]</f>
        <v>0</v>
      </c>
      <c r="S134" t="str">
        <f>IF(Table1[[#This Row],[Sell-Buy]]&gt;0,"Profit","Loss")</f>
        <v>Loss</v>
      </c>
      <c r="T134" s="5" t="s">
        <v>376</v>
      </c>
      <c r="U134" s="8">
        <f>SUMIFS(Table1[price],Table1[order_id],Table15[[#This Row],[order_id]],Table1[side],"BUY")*Table15[[#This Row],[Buy_Quantity]]</f>
        <v>953720.57000000007</v>
      </c>
      <c r="V134" s="8">
        <f>SUMIFS(Table1[price],Table1[order_id],Table15[[#This Row],[order_id]],Table1[side],"SELL")</f>
        <v>0</v>
      </c>
      <c r="W134" s="8">
        <f>Table15[[#This Row],[sell]]-Table15[[#This Row],[Buy]]</f>
        <v>-1143510963.4300001</v>
      </c>
      <c r="X134" s="8">
        <f>IF(Table15[[#This Row],[Profit]]&gt;0,1,0)</f>
        <v>0</v>
      </c>
      <c r="Y134" s="5" t="str">
        <f>IF(Table15[[#This Row],[is Profit]]=1,"Profit","Loss")</f>
        <v>Loss</v>
      </c>
      <c r="Z134" s="5">
        <f>SUMIFS(Table1[quantity],Table1[order_id],Table15[[#This Row],[order_id]],Table1[side],"SELL")</f>
        <v>0</v>
      </c>
      <c r="AA134" s="5">
        <f>Table15[[#This Row],[Buy_value]]*Table15[[#This Row],[Buy_Quantity]]</f>
        <v>1143510963.4300001</v>
      </c>
      <c r="AB134" s="5">
        <f>Table15[[#This Row],[Sell_Value]]*Table15[[#This Row],[Sell_Quantity]]</f>
        <v>0</v>
      </c>
      <c r="AC134" s="5">
        <f>SUMIFS(Table1[quantity],Table1[order_id],Table15[[#This Row],[order_id]],Table1[side],"BUY")</f>
        <v>1199</v>
      </c>
      <c r="AE134" s="9" t="s">
        <v>1171</v>
      </c>
      <c r="AF134" s="10" t="str">
        <f>IF(Table1[[#This Row],[Sell-Buy]]&gt;0,"Profit","Loss")</f>
        <v>Loss</v>
      </c>
      <c r="AG134">
        <f>Table1[[#This Row],[Column2]]-Table1[[#This Row],[Buy-sell]]</f>
        <v>0</v>
      </c>
    </row>
    <row r="135" spans="1:33" x14ac:dyDescent="0.3">
      <c r="A135" t="s">
        <v>801</v>
      </c>
      <c r="B135" t="s">
        <v>271</v>
      </c>
      <c r="C135" s="1">
        <v>45821.022916666669</v>
      </c>
      <c r="D135" t="s">
        <v>14</v>
      </c>
      <c r="E135" t="s">
        <v>171</v>
      </c>
      <c r="F135">
        <v>473</v>
      </c>
      <c r="G135">
        <v>2159.0500000000002</v>
      </c>
      <c r="H135">
        <v>510.62</v>
      </c>
      <c r="I135" t="s">
        <v>120</v>
      </c>
      <c r="J135" t="s">
        <v>52</v>
      </c>
      <c r="L135" s="1">
        <v>45797</v>
      </c>
      <c r="N135">
        <f>IF(Table1[[#This Row],[side]]="BUY", Table1[[#This Row],[quantity]],-Table1[[#This Row],[quantity]])</f>
        <v>-473</v>
      </c>
      <c r="O135" t="s">
        <v>171</v>
      </c>
      <c r="P135">
        <f>IF(Table1[[#This Row],[side]]="Sell",Table1[[#This Row],[price]],"0")</f>
        <v>2159.0500000000002</v>
      </c>
      <c r="Q135">
        <f>SUMIFS(Table1[quantity],Table1[company_id],Table8[[#This Row],[COMPANY_ID]],Table1[side],"BUY")-SUMIFS(Table1[quantity],Table1[company_id],Table8[[#This Row],[COMPANY_ID]],Table1[side],"SELL")</f>
        <v>0</v>
      </c>
      <c r="R135">
        <f>Table1[[#This Row],[Column2]]-Table1[[#This Row],[Buy-sell]]</f>
        <v>2159.0500000000002</v>
      </c>
      <c r="S135" t="str">
        <f>IF(Table1[[#This Row],[Sell-Buy]]&gt;0,"Profit","Loss")</f>
        <v>Profit</v>
      </c>
      <c r="T135" s="4" t="s">
        <v>377</v>
      </c>
      <c r="U135" s="8">
        <f>SUMIFS(Table1[price],Table1[order_id],Table15[[#This Row],[order_id]],Table1[side],"BUY")*Table15[[#This Row],[Buy_Quantity]]</f>
        <v>0</v>
      </c>
      <c r="V135" s="8">
        <f>SUMIFS(Table1[price],Table1[order_id],Table15[[#This Row],[order_id]],Table1[side],"SELL")</f>
        <v>4625.1400000000003</v>
      </c>
      <c r="W135" s="8">
        <f>Table15[[#This Row],[sell]]-Table15[[#This Row],[Buy]]</f>
        <v>9384409.0600000005</v>
      </c>
      <c r="X135" s="8">
        <f>IF(Table15[[#This Row],[Profit]]&gt;0,1,0)</f>
        <v>1</v>
      </c>
      <c r="Y135" s="5" t="str">
        <f>IF(Table15[[#This Row],[is Profit]]=1,"Profit","Loss")</f>
        <v>Profit</v>
      </c>
      <c r="Z135" s="5">
        <f>SUMIFS(Table1[quantity],Table1[order_id],Table15[[#This Row],[order_id]],Table1[side],"SELL")</f>
        <v>2029</v>
      </c>
      <c r="AA135" s="5">
        <f>Table15[[#This Row],[Buy_value]]*Table15[[#This Row],[Buy_Quantity]]</f>
        <v>0</v>
      </c>
      <c r="AB135" s="5">
        <f>Table15[[#This Row],[Sell_Value]]*Table15[[#This Row],[Sell_Quantity]]</f>
        <v>9384409.0600000005</v>
      </c>
      <c r="AC135" s="5">
        <f>SUMIFS(Table1[quantity],Table1[order_id],Table15[[#This Row],[order_id]],Table1[side],"BUY")</f>
        <v>0</v>
      </c>
      <c r="AE135" s="10" t="s">
        <v>1169</v>
      </c>
      <c r="AF135" s="10" t="str">
        <f>IF(Table1[[#This Row],[Sell-Buy]]&gt;0,"Profit","Loss")</f>
        <v>Profit</v>
      </c>
      <c r="AG135">
        <f>Table1[[#This Row],[Column2]]-Table1[[#This Row],[Buy-sell]]</f>
        <v>2159.0500000000002</v>
      </c>
    </row>
    <row r="136" spans="1:33" x14ac:dyDescent="0.3">
      <c r="A136" t="s">
        <v>813</v>
      </c>
      <c r="B136" t="s">
        <v>499</v>
      </c>
      <c r="C136" s="1">
        <v>45771.011805555558</v>
      </c>
      <c r="D136" t="s">
        <v>14</v>
      </c>
      <c r="E136" t="s">
        <v>171</v>
      </c>
      <c r="F136">
        <v>206</v>
      </c>
      <c r="G136">
        <v>2151.77</v>
      </c>
      <c r="H136">
        <v>221.63</v>
      </c>
      <c r="I136" t="s">
        <v>132</v>
      </c>
      <c r="J136" t="s">
        <v>76</v>
      </c>
      <c r="L136" s="1">
        <v>45814</v>
      </c>
      <c r="N136">
        <f>IF(Table1[[#This Row],[side]]="BUY", Table1[[#This Row],[quantity]],-Table1[[#This Row],[quantity]])</f>
        <v>-206</v>
      </c>
      <c r="O136" t="s">
        <v>171</v>
      </c>
      <c r="P136">
        <f>IF(Table1[[#This Row],[side]]="Sell",Table1[[#This Row],[price]],"0")</f>
        <v>2151.77</v>
      </c>
      <c r="Q136">
        <f>SUMIFS(Table1[quantity],Table1[company_id],Table8[[#This Row],[COMPANY_ID]],Table1[side],"BUY")-SUMIFS(Table1[quantity],Table1[company_id],Table8[[#This Row],[COMPANY_ID]],Table1[side],"SELL")</f>
        <v>0</v>
      </c>
      <c r="R136">
        <f>Table1[[#This Row],[Column2]]-Table1[[#This Row],[Buy-sell]]</f>
        <v>2151.77</v>
      </c>
      <c r="S136" t="str">
        <f>IF(Table1[[#This Row],[Sell-Buy]]&gt;0,"Profit","Loss")</f>
        <v>Profit</v>
      </c>
      <c r="T136" s="4" t="s">
        <v>378</v>
      </c>
      <c r="U136" s="8">
        <f>SUMIFS(Table1[price],Table1[order_id],Table15[[#This Row],[order_id]],Table1[side],"BUY")*Table15[[#This Row],[Buy_Quantity]]</f>
        <v>0</v>
      </c>
      <c r="V136" s="8">
        <f>SUMIFS(Table1[price],Table1[order_id],Table15[[#This Row],[order_id]],Table1[side],"SELL")</f>
        <v>584.11</v>
      </c>
      <c r="W136" s="8">
        <f>Table15[[#This Row],[sell]]-Table15[[#This Row],[Buy]]</f>
        <v>494157.06</v>
      </c>
      <c r="X136" s="8">
        <f>IF(Table15[[#This Row],[Profit]]&gt;0,1,0)</f>
        <v>1</v>
      </c>
      <c r="Y136" s="5" t="str">
        <f>IF(Table15[[#This Row],[is Profit]]=1,"Profit","Loss")</f>
        <v>Profit</v>
      </c>
      <c r="Z136" s="5">
        <f>SUMIFS(Table1[quantity],Table1[order_id],Table15[[#This Row],[order_id]],Table1[side],"SELL")</f>
        <v>846</v>
      </c>
      <c r="AA136" s="5">
        <f>Table15[[#This Row],[Buy_value]]*Table15[[#This Row],[Buy_Quantity]]</f>
        <v>0</v>
      </c>
      <c r="AB136" s="5">
        <f>Table15[[#This Row],[Sell_Value]]*Table15[[#This Row],[Sell_Quantity]]</f>
        <v>494157.06</v>
      </c>
      <c r="AC136" s="5">
        <f>SUMIFS(Table1[quantity],Table1[order_id],Table15[[#This Row],[order_id]],Table1[side],"BUY")</f>
        <v>0</v>
      </c>
      <c r="AE136" s="9" t="s">
        <v>943</v>
      </c>
      <c r="AF136" s="10" t="str">
        <f>IF(Table1[[#This Row],[Sell-Buy]]&gt;0,"Profit","Loss")</f>
        <v>Profit</v>
      </c>
      <c r="AG136">
        <f>Table1[[#This Row],[Column2]]-Table1[[#This Row],[Buy-sell]]</f>
        <v>2151.77</v>
      </c>
    </row>
    <row r="137" spans="1:33" x14ac:dyDescent="0.3">
      <c r="A137" t="s">
        <v>764</v>
      </c>
      <c r="B137" t="s">
        <v>610</v>
      </c>
      <c r="C137" s="1">
        <v>45768.006249999999</v>
      </c>
      <c r="D137" t="s">
        <v>14</v>
      </c>
      <c r="E137" t="s">
        <v>166</v>
      </c>
      <c r="F137">
        <v>245</v>
      </c>
      <c r="G137">
        <v>2150.21</v>
      </c>
      <c r="H137">
        <v>263.39999999999998</v>
      </c>
      <c r="I137" t="s">
        <v>88</v>
      </c>
      <c r="J137" t="s">
        <v>64</v>
      </c>
      <c r="L137" s="1">
        <v>45777</v>
      </c>
      <c r="M137" t="s">
        <v>166</v>
      </c>
      <c r="N137">
        <f>IF(Table1[[#This Row],[side]]="BUY", Table1[[#This Row],[quantity]],-Table1[[#This Row],[quantity]])</f>
        <v>245</v>
      </c>
      <c r="P137" t="str">
        <f>IF(Table1[[#This Row],[side]]="Sell",Table1[[#This Row],[price]],"0")</f>
        <v>0</v>
      </c>
      <c r="Q137">
        <f>SUMIFS(Table1[quantity],Table1[company_id],Table8[[#This Row],[COMPANY_ID]],Table1[side],"BUY")-SUMIFS(Table1[quantity],Table1[company_id],Table8[[#This Row],[COMPANY_ID]],Table1[side],"SELL")</f>
        <v>0</v>
      </c>
      <c r="R137">
        <f>Table1[[#This Row],[Column2]]-Table1[[#This Row],[Buy-sell]]</f>
        <v>0</v>
      </c>
      <c r="S137" t="str">
        <f>IF(Table1[[#This Row],[Sell-Buy]]&gt;0,"Profit","Loss")</f>
        <v>Loss</v>
      </c>
      <c r="T137" s="5" t="s">
        <v>380</v>
      </c>
      <c r="U137" s="8">
        <f>SUMIFS(Table1[price],Table1[order_id],Table15[[#This Row],[order_id]],Table1[side],"BUY")*Table15[[#This Row],[Buy_Quantity]]</f>
        <v>0</v>
      </c>
      <c r="V137" s="8">
        <f>SUMIFS(Table1[price],Table1[order_id],Table15[[#This Row],[order_id]],Table1[side],"SELL")</f>
        <v>1316.23</v>
      </c>
      <c r="W137" s="8">
        <f>Table15[[#This Row],[sell]]-Table15[[#This Row],[Buy]]</f>
        <v>1024026.9400000001</v>
      </c>
      <c r="X137" s="8">
        <f>IF(Table15[[#This Row],[Profit]]&gt;0,1,0)</f>
        <v>1</v>
      </c>
      <c r="Y137" s="5" t="str">
        <f>IF(Table15[[#This Row],[is Profit]]=1,"Profit","Loss")</f>
        <v>Profit</v>
      </c>
      <c r="Z137" s="5">
        <f>SUMIFS(Table1[quantity],Table1[order_id],Table15[[#This Row],[order_id]],Table1[side],"SELL")</f>
        <v>778</v>
      </c>
      <c r="AA137" s="5">
        <f>Table15[[#This Row],[Buy_value]]*Table15[[#This Row],[Buy_Quantity]]</f>
        <v>0</v>
      </c>
      <c r="AB137" s="5">
        <f>Table15[[#This Row],[Sell_Value]]*Table15[[#This Row],[Sell_Quantity]]</f>
        <v>1024026.9400000001</v>
      </c>
      <c r="AC137" s="5">
        <f>SUMIFS(Table1[quantity],Table1[order_id],Table15[[#This Row],[order_id]],Table1[side],"BUY")</f>
        <v>0</v>
      </c>
      <c r="AE137" s="10" t="s">
        <v>882</v>
      </c>
      <c r="AF137" s="10" t="str">
        <f>IF(Table1[[#This Row],[Sell-Buy]]&gt;0,"Profit","Loss")</f>
        <v>Loss</v>
      </c>
      <c r="AG137">
        <f>Table1[[#This Row],[Column2]]-Table1[[#This Row],[Buy-sell]]</f>
        <v>0</v>
      </c>
    </row>
    <row r="138" spans="1:33" x14ac:dyDescent="0.3">
      <c r="A138" t="s">
        <v>766</v>
      </c>
      <c r="B138" t="s">
        <v>203</v>
      </c>
      <c r="C138" s="1">
        <v>45775.025000000001</v>
      </c>
      <c r="D138" t="s">
        <v>14</v>
      </c>
      <c r="E138" t="s">
        <v>166</v>
      </c>
      <c r="F138">
        <v>606</v>
      </c>
      <c r="G138">
        <v>2103.54</v>
      </c>
      <c r="H138">
        <v>637.37</v>
      </c>
      <c r="I138" t="s">
        <v>132</v>
      </c>
      <c r="J138" t="s">
        <v>76</v>
      </c>
      <c r="L138" s="1">
        <v>45769</v>
      </c>
      <c r="M138" t="s">
        <v>166</v>
      </c>
      <c r="N138">
        <f>IF(Table1[[#This Row],[side]]="BUY", Table1[[#This Row],[quantity]],-Table1[[#This Row],[quantity]])</f>
        <v>606</v>
      </c>
      <c r="P138" t="str">
        <f>IF(Table1[[#This Row],[side]]="Sell",Table1[[#This Row],[price]],"0")</f>
        <v>0</v>
      </c>
      <c r="Q138">
        <f>SUMIFS(Table1[quantity],Table1[company_id],Table8[[#This Row],[COMPANY_ID]],Table1[side],"BUY")-SUMIFS(Table1[quantity],Table1[company_id],Table8[[#This Row],[COMPANY_ID]],Table1[side],"SELL")</f>
        <v>0</v>
      </c>
      <c r="R138">
        <f>Table1[[#This Row],[Column2]]-Table1[[#This Row],[Buy-sell]]</f>
        <v>0</v>
      </c>
      <c r="S138" t="str">
        <f>IF(Table1[[#This Row],[Sell-Buy]]&gt;0,"Profit","Loss")</f>
        <v>Loss</v>
      </c>
      <c r="T138" s="4" t="s">
        <v>381</v>
      </c>
      <c r="U138" s="8">
        <f>SUMIFS(Table1[price],Table1[order_id],Table15[[#This Row],[order_id]],Table1[side],"BUY")*Table15[[#This Row],[Buy_Quantity]]</f>
        <v>3502674.5599999996</v>
      </c>
      <c r="V138" s="8">
        <f>SUMIFS(Table1[price],Table1[order_id],Table15[[#This Row],[order_id]],Table1[side],"SELL")</f>
        <v>0</v>
      </c>
      <c r="W138" s="8">
        <f>Table15[[#This Row],[sell]]-Table15[[#This Row],[Buy]]</f>
        <v>-5240001141.7599993</v>
      </c>
      <c r="X138" s="8">
        <f>IF(Table15[[#This Row],[Profit]]&gt;0,1,0)</f>
        <v>0</v>
      </c>
      <c r="Y138" s="5" t="str">
        <f>IF(Table15[[#This Row],[is Profit]]=1,"Profit","Loss")</f>
        <v>Loss</v>
      </c>
      <c r="Z138" s="5">
        <f>SUMIFS(Table1[quantity],Table1[order_id],Table15[[#This Row],[order_id]],Table1[side],"SELL")</f>
        <v>0</v>
      </c>
      <c r="AA138" s="5">
        <f>Table15[[#This Row],[Buy_value]]*Table15[[#This Row],[Buy_Quantity]]</f>
        <v>5240001141.7599993</v>
      </c>
      <c r="AB138" s="5">
        <f>Table15[[#This Row],[Sell_Value]]*Table15[[#This Row],[Sell_Quantity]]</f>
        <v>0</v>
      </c>
      <c r="AC138" s="5">
        <f>SUMIFS(Table1[quantity],Table1[order_id],Table15[[#This Row],[order_id]],Table1[side],"BUY")</f>
        <v>1496</v>
      </c>
      <c r="AE138" s="9" t="s">
        <v>856</v>
      </c>
      <c r="AF138" s="10" t="str">
        <f>IF(Table1[[#This Row],[Sell-Buy]]&gt;0,"Profit","Loss")</f>
        <v>Loss</v>
      </c>
      <c r="AG138">
        <f>Table1[[#This Row],[Column2]]-Table1[[#This Row],[Buy-sell]]</f>
        <v>0</v>
      </c>
    </row>
    <row r="139" spans="1:33" x14ac:dyDescent="0.3">
      <c r="A139" t="s">
        <v>839</v>
      </c>
      <c r="B139" t="s">
        <v>488</v>
      </c>
      <c r="C139" s="1">
        <v>45658</v>
      </c>
      <c r="D139" t="s">
        <v>14</v>
      </c>
      <c r="E139" t="s">
        <v>171</v>
      </c>
      <c r="F139">
        <v>176</v>
      </c>
      <c r="G139">
        <v>1961.49</v>
      </c>
      <c r="H139">
        <v>172.61</v>
      </c>
      <c r="I139" t="s">
        <v>110</v>
      </c>
      <c r="J139" t="s">
        <v>52</v>
      </c>
      <c r="L139" s="1">
        <v>45692</v>
      </c>
      <c r="N139">
        <f>IF(Table1[[#This Row],[side]]="BUY", Table1[[#This Row],[quantity]],-Table1[[#This Row],[quantity]])</f>
        <v>-176</v>
      </c>
      <c r="O139" t="s">
        <v>171</v>
      </c>
      <c r="P139">
        <f>IF(Table1[[#This Row],[side]]="Sell",Table1[[#This Row],[price]],"0")</f>
        <v>1961.49</v>
      </c>
      <c r="Q139">
        <f>SUMIFS(Table1[quantity],Table1[company_id],Table8[[#This Row],[COMPANY_ID]],Table1[side],"BUY")-SUMIFS(Table1[quantity],Table1[company_id],Table8[[#This Row],[COMPANY_ID]],Table1[side],"SELL")</f>
        <v>0</v>
      </c>
      <c r="R139">
        <f>Table1[[#This Row],[Column2]]-Table1[[#This Row],[Buy-sell]]</f>
        <v>1961.49</v>
      </c>
      <c r="S139" t="str">
        <f>IF(Table1[[#This Row],[Sell-Buy]]&gt;0,"Profit","Loss")</f>
        <v>Profit</v>
      </c>
      <c r="T139" s="5" t="s">
        <v>382</v>
      </c>
      <c r="U139" s="8">
        <f>SUMIFS(Table1[price],Table1[order_id],Table15[[#This Row],[order_id]],Table1[side],"BUY")*Table15[[#This Row],[Buy_Quantity]]</f>
        <v>211119.30000000002</v>
      </c>
      <c r="V139" s="8">
        <f>SUMIFS(Table1[price],Table1[order_id],Table15[[#This Row],[order_id]],Table1[side],"SELL")</f>
        <v>0</v>
      </c>
      <c r="W139" s="8">
        <f>Table15[[#This Row],[sell]]-Table15[[#This Row],[Buy]]</f>
        <v>-66502579.500000007</v>
      </c>
      <c r="X139" s="8">
        <f>IF(Table15[[#This Row],[Profit]]&gt;0,1,0)</f>
        <v>0</v>
      </c>
      <c r="Y139" s="5" t="str">
        <f>IF(Table15[[#This Row],[is Profit]]=1,"Profit","Loss")</f>
        <v>Loss</v>
      </c>
      <c r="Z139" s="5">
        <f>SUMIFS(Table1[quantity],Table1[order_id],Table15[[#This Row],[order_id]],Table1[side],"SELL")</f>
        <v>0</v>
      </c>
      <c r="AA139" s="5">
        <f>Table15[[#This Row],[Buy_value]]*Table15[[#This Row],[Buy_Quantity]]</f>
        <v>66502579.500000007</v>
      </c>
      <c r="AB139" s="5">
        <f>Table15[[#This Row],[Sell_Value]]*Table15[[#This Row],[Sell_Quantity]]</f>
        <v>0</v>
      </c>
      <c r="AC139" s="5">
        <f>SUMIFS(Table1[quantity],Table1[order_id],Table15[[#This Row],[order_id]],Table1[side],"BUY")</f>
        <v>315</v>
      </c>
      <c r="AE139" s="10" t="s">
        <v>1036</v>
      </c>
      <c r="AF139" s="10" t="str">
        <f>IF(Table1[[#This Row],[Sell-Buy]]&gt;0,"Profit","Loss")</f>
        <v>Profit</v>
      </c>
      <c r="AG139">
        <f>Table1[[#This Row],[Column2]]-Table1[[#This Row],[Buy-sell]]</f>
        <v>1961.49</v>
      </c>
    </row>
    <row r="140" spans="1:33" x14ac:dyDescent="0.3">
      <c r="A140" t="s">
        <v>850</v>
      </c>
      <c r="B140" t="s">
        <v>423</v>
      </c>
      <c r="C140" s="1">
        <v>45743.001388888886</v>
      </c>
      <c r="D140" t="s">
        <v>14</v>
      </c>
      <c r="E140" t="s">
        <v>171</v>
      </c>
      <c r="F140">
        <v>488</v>
      </c>
      <c r="G140">
        <v>2148.14</v>
      </c>
      <c r="H140">
        <v>524.15</v>
      </c>
      <c r="I140" t="s">
        <v>106</v>
      </c>
      <c r="J140" t="s">
        <v>67</v>
      </c>
      <c r="L140" s="1">
        <v>45708</v>
      </c>
      <c r="N140">
        <f>IF(Table1[[#This Row],[side]]="BUY", Table1[[#This Row],[quantity]],-Table1[[#This Row],[quantity]])</f>
        <v>-488</v>
      </c>
      <c r="O140" t="s">
        <v>171</v>
      </c>
      <c r="P140">
        <f>IF(Table1[[#This Row],[side]]="Sell",Table1[[#This Row],[price]],"0")</f>
        <v>2148.14</v>
      </c>
      <c r="Q140">
        <f>SUMIFS(Table1[quantity],Table1[company_id],Table8[[#This Row],[COMPANY_ID]],Table1[side],"BUY")-SUMIFS(Table1[quantity],Table1[company_id],Table8[[#This Row],[COMPANY_ID]],Table1[side],"SELL")</f>
        <v>0</v>
      </c>
      <c r="R140">
        <f>Table1[[#This Row],[Column2]]-Table1[[#This Row],[Buy-sell]]</f>
        <v>2148.14</v>
      </c>
      <c r="S140" t="str">
        <f>IF(Table1[[#This Row],[Sell-Buy]]&gt;0,"Profit","Loss")</f>
        <v>Profit</v>
      </c>
      <c r="T140" s="5" t="s">
        <v>386</v>
      </c>
      <c r="U140" s="8">
        <f>SUMIFS(Table1[price],Table1[order_id],Table15[[#This Row],[order_id]],Table1[side],"BUY")*Table15[[#This Row],[Buy_Quantity]]</f>
        <v>0</v>
      </c>
      <c r="V140" s="8">
        <f>SUMIFS(Table1[price],Table1[order_id],Table15[[#This Row],[order_id]],Table1[side],"SELL")</f>
        <v>783.15000000000009</v>
      </c>
      <c r="W140" s="8">
        <f>Table15[[#This Row],[sell]]-Table15[[#This Row],[Buy]]</f>
        <v>746341.95000000007</v>
      </c>
      <c r="X140" s="8">
        <f>IF(Table15[[#This Row],[Profit]]&gt;0,1,0)</f>
        <v>1</v>
      </c>
      <c r="Y140" s="5" t="str">
        <f>IF(Table15[[#This Row],[is Profit]]=1,"Profit","Loss")</f>
        <v>Profit</v>
      </c>
      <c r="Z140" s="5">
        <f>SUMIFS(Table1[quantity],Table1[order_id],Table15[[#This Row],[order_id]],Table1[side],"SELL")</f>
        <v>953</v>
      </c>
      <c r="AA140" s="5">
        <f>Table15[[#This Row],[Buy_value]]*Table15[[#This Row],[Buy_Quantity]]</f>
        <v>0</v>
      </c>
      <c r="AB140" s="5">
        <f>Table15[[#This Row],[Sell_Value]]*Table15[[#This Row],[Sell_Quantity]]</f>
        <v>746341.95000000007</v>
      </c>
      <c r="AC140" s="5">
        <f>SUMIFS(Table1[quantity],Table1[order_id],Table15[[#This Row],[order_id]],Table1[side],"BUY")</f>
        <v>0</v>
      </c>
      <c r="AE140" s="9" t="s">
        <v>1156</v>
      </c>
      <c r="AF140" s="10" t="str">
        <f>IF(Table1[[#This Row],[Sell-Buy]]&gt;0,"Profit","Loss")</f>
        <v>Profit</v>
      </c>
      <c r="AG140">
        <f>Table1[[#This Row],[Column2]]-Table1[[#This Row],[Buy-sell]]</f>
        <v>2148.14</v>
      </c>
    </row>
    <row r="141" spans="1:33" x14ac:dyDescent="0.3">
      <c r="A141" t="s">
        <v>853</v>
      </c>
      <c r="B141" t="s">
        <v>362</v>
      </c>
      <c r="C141" s="1">
        <v>45664.005555555559</v>
      </c>
      <c r="D141" t="s">
        <v>14</v>
      </c>
      <c r="E141" t="s">
        <v>171</v>
      </c>
      <c r="F141">
        <v>641</v>
      </c>
      <c r="G141">
        <v>1989.4</v>
      </c>
      <c r="H141">
        <v>637.6</v>
      </c>
      <c r="I141" t="s">
        <v>142</v>
      </c>
      <c r="J141" t="s">
        <v>76</v>
      </c>
      <c r="L141" s="1">
        <v>45751</v>
      </c>
      <c r="N141">
        <f>IF(Table1[[#This Row],[side]]="BUY", Table1[[#This Row],[quantity]],-Table1[[#This Row],[quantity]])</f>
        <v>-641</v>
      </c>
      <c r="O141" t="s">
        <v>171</v>
      </c>
      <c r="P141">
        <f>IF(Table1[[#This Row],[side]]="Sell",Table1[[#This Row],[price]],"0")</f>
        <v>1989.4</v>
      </c>
      <c r="Q141">
        <f>SUMIFS(Table1[quantity],Table1[company_id],Table8[[#This Row],[COMPANY_ID]],Table1[side],"BUY")-SUMIFS(Table1[quantity],Table1[company_id],Table8[[#This Row],[COMPANY_ID]],Table1[side],"SELL")</f>
        <v>0</v>
      </c>
      <c r="R141">
        <f>Table1[[#This Row],[Column2]]-Table1[[#This Row],[Buy-sell]]</f>
        <v>1989.4</v>
      </c>
      <c r="S141" t="str">
        <f>IF(Table1[[#This Row],[Sell-Buy]]&gt;0,"Profit","Loss")</f>
        <v>Profit</v>
      </c>
      <c r="T141" s="4" t="s">
        <v>388</v>
      </c>
      <c r="U141" s="8">
        <f>SUMIFS(Table1[price],Table1[order_id],Table15[[#This Row],[order_id]],Table1[side],"BUY")*Table15[[#This Row],[Buy_Quantity]]</f>
        <v>848162.47000000009</v>
      </c>
      <c r="V141" s="8">
        <f>SUMIFS(Table1[price],Table1[order_id],Table15[[#This Row],[order_id]],Table1[side],"SELL")</f>
        <v>0</v>
      </c>
      <c r="W141" s="8">
        <f>Table15[[#This Row],[sell]]-Table15[[#This Row],[Buy]]</f>
        <v>-533494193.63000005</v>
      </c>
      <c r="X141" s="8">
        <f>IF(Table15[[#This Row],[Profit]]&gt;0,1,0)</f>
        <v>0</v>
      </c>
      <c r="Y141" s="5" t="str">
        <f>IF(Table15[[#This Row],[is Profit]]=1,"Profit","Loss")</f>
        <v>Loss</v>
      </c>
      <c r="Z141" s="5">
        <f>SUMIFS(Table1[quantity],Table1[order_id],Table15[[#This Row],[order_id]],Table1[side],"SELL")</f>
        <v>0</v>
      </c>
      <c r="AA141" s="5">
        <f>Table15[[#This Row],[Buy_value]]*Table15[[#This Row],[Buy_Quantity]]</f>
        <v>533494193.63000005</v>
      </c>
      <c r="AB141" s="5">
        <f>Table15[[#This Row],[Sell_Value]]*Table15[[#This Row],[Sell_Quantity]]</f>
        <v>0</v>
      </c>
      <c r="AC141" s="5">
        <f>SUMIFS(Table1[quantity],Table1[order_id],Table15[[#This Row],[order_id]],Table1[side],"BUY")</f>
        <v>629</v>
      </c>
      <c r="AE141" s="10" t="s">
        <v>675</v>
      </c>
      <c r="AF141" s="10" t="str">
        <f>IF(Table1[[#This Row],[Sell-Buy]]&gt;0,"Profit","Loss")</f>
        <v>Profit</v>
      </c>
      <c r="AG141">
        <f>Table1[[#This Row],[Column2]]-Table1[[#This Row],[Buy-sell]]</f>
        <v>1989.4</v>
      </c>
    </row>
    <row r="142" spans="1:33" x14ac:dyDescent="0.3">
      <c r="A142" t="s">
        <v>784</v>
      </c>
      <c r="B142" t="s">
        <v>557</v>
      </c>
      <c r="C142" s="1">
        <v>45737.033333333333</v>
      </c>
      <c r="D142" t="s">
        <v>14</v>
      </c>
      <c r="E142" t="s">
        <v>166</v>
      </c>
      <c r="F142">
        <v>207</v>
      </c>
      <c r="G142">
        <v>2157.79</v>
      </c>
      <c r="H142">
        <v>223.33</v>
      </c>
      <c r="I142" t="s">
        <v>134</v>
      </c>
      <c r="J142" t="s">
        <v>49</v>
      </c>
      <c r="L142" s="1">
        <v>45835</v>
      </c>
      <c r="M142" t="s">
        <v>166</v>
      </c>
      <c r="N142">
        <f>IF(Table1[[#This Row],[side]]="BUY", Table1[[#This Row],[quantity]],-Table1[[#This Row],[quantity]])</f>
        <v>207</v>
      </c>
      <c r="P142" t="str">
        <f>IF(Table1[[#This Row],[side]]="Sell",Table1[[#This Row],[price]],"0")</f>
        <v>0</v>
      </c>
      <c r="Q142">
        <f>SUMIFS(Table1[quantity],Table1[company_id],Table8[[#This Row],[COMPANY_ID]],Table1[side],"BUY")-SUMIFS(Table1[quantity],Table1[company_id],Table8[[#This Row],[COMPANY_ID]],Table1[side],"SELL")</f>
        <v>0</v>
      </c>
      <c r="R142">
        <f>Table1[[#This Row],[Column2]]-Table1[[#This Row],[Buy-sell]]</f>
        <v>0</v>
      </c>
      <c r="S142" t="str">
        <f>IF(Table1[[#This Row],[Sell-Buy]]&gt;0,"Profit","Loss")</f>
        <v>Loss</v>
      </c>
      <c r="T142" s="5" t="s">
        <v>390</v>
      </c>
      <c r="U142" s="8">
        <f>SUMIFS(Table1[price],Table1[order_id],Table15[[#This Row],[order_id]],Table1[side],"BUY")*Table15[[#This Row],[Buy_Quantity]]</f>
        <v>737025.8</v>
      </c>
      <c r="V142" s="8">
        <f>SUMIFS(Table1[price],Table1[order_id],Table15[[#This Row],[order_id]],Table1[side],"SELL")</f>
        <v>0</v>
      </c>
      <c r="W142" s="8">
        <f>Table15[[#This Row],[sell]]-Table15[[#This Row],[Buy]]</f>
        <v>-717863129.20000005</v>
      </c>
      <c r="X142" s="8">
        <f>IF(Table15[[#This Row],[Profit]]&gt;0,1,0)</f>
        <v>0</v>
      </c>
      <c r="Y142" s="5" t="str">
        <f>IF(Table15[[#This Row],[is Profit]]=1,"Profit","Loss")</f>
        <v>Loss</v>
      </c>
      <c r="Z142" s="5">
        <f>SUMIFS(Table1[quantity],Table1[order_id],Table15[[#This Row],[order_id]],Table1[side],"SELL")</f>
        <v>0</v>
      </c>
      <c r="AA142" s="5">
        <f>Table15[[#This Row],[Buy_value]]*Table15[[#This Row],[Buy_Quantity]]</f>
        <v>717863129.20000005</v>
      </c>
      <c r="AB142" s="5">
        <f>Table15[[#This Row],[Sell_Value]]*Table15[[#This Row],[Sell_Quantity]]</f>
        <v>0</v>
      </c>
      <c r="AC142" s="5">
        <f>SUMIFS(Table1[quantity],Table1[order_id],Table15[[#This Row],[order_id]],Table1[side],"BUY")</f>
        <v>974</v>
      </c>
      <c r="AE142" s="9" t="s">
        <v>711</v>
      </c>
      <c r="AF142" s="10" t="str">
        <f>IF(Table1[[#This Row],[Sell-Buy]]&gt;0,"Profit","Loss")</f>
        <v>Loss</v>
      </c>
      <c r="AG142">
        <f>Table1[[#This Row],[Column2]]-Table1[[#This Row],[Buy-sell]]</f>
        <v>0</v>
      </c>
    </row>
    <row r="143" spans="1:33" x14ac:dyDescent="0.3">
      <c r="A143" t="s">
        <v>789</v>
      </c>
      <c r="B143" t="s">
        <v>372</v>
      </c>
      <c r="C143" s="1">
        <v>45671.036805555559</v>
      </c>
      <c r="D143" t="s">
        <v>14</v>
      </c>
      <c r="E143" t="s">
        <v>166</v>
      </c>
      <c r="F143">
        <v>592</v>
      </c>
      <c r="G143">
        <v>2018.55</v>
      </c>
      <c r="H143">
        <v>597.49</v>
      </c>
      <c r="I143" t="s">
        <v>130</v>
      </c>
      <c r="J143" t="s">
        <v>67</v>
      </c>
      <c r="L143" s="1">
        <v>45826</v>
      </c>
      <c r="M143" t="s">
        <v>166</v>
      </c>
      <c r="N143">
        <f>IF(Table1[[#This Row],[side]]="BUY", Table1[[#This Row],[quantity]],-Table1[[#This Row],[quantity]])</f>
        <v>592</v>
      </c>
      <c r="P143" t="str">
        <f>IF(Table1[[#This Row],[side]]="Sell",Table1[[#This Row],[price]],"0")</f>
        <v>0</v>
      </c>
      <c r="Q143">
        <f>SUMIFS(Table1[quantity],Table1[company_id],Table8[[#This Row],[COMPANY_ID]],Table1[side],"BUY")-SUMIFS(Table1[quantity],Table1[company_id],Table8[[#This Row],[COMPANY_ID]],Table1[side],"SELL")</f>
        <v>0</v>
      </c>
      <c r="R143">
        <f>Table1[[#This Row],[Column2]]-Table1[[#This Row],[Buy-sell]]</f>
        <v>0</v>
      </c>
      <c r="S143" t="str">
        <f>IF(Table1[[#This Row],[Sell-Buy]]&gt;0,"Profit","Loss")</f>
        <v>Loss</v>
      </c>
      <c r="T143" s="4" t="s">
        <v>391</v>
      </c>
      <c r="U143" s="8">
        <f>SUMIFS(Table1[price],Table1[order_id],Table15[[#This Row],[order_id]],Table1[side],"BUY")*Table15[[#This Row],[Buy_Quantity]]</f>
        <v>620826.70000000007</v>
      </c>
      <c r="V143" s="8">
        <f>SUMIFS(Table1[price],Table1[order_id],Table15[[#This Row],[order_id]],Table1[side],"SELL")</f>
        <v>0</v>
      </c>
      <c r="W143" s="8">
        <f>Table15[[#This Row],[sell]]-Table15[[#This Row],[Buy]]</f>
        <v>-298617642.70000005</v>
      </c>
      <c r="X143" s="8">
        <f>IF(Table15[[#This Row],[Profit]]&gt;0,1,0)</f>
        <v>0</v>
      </c>
      <c r="Y143" s="5" t="str">
        <f>IF(Table15[[#This Row],[is Profit]]=1,"Profit","Loss")</f>
        <v>Loss</v>
      </c>
      <c r="Z143" s="5">
        <f>SUMIFS(Table1[quantity],Table1[order_id],Table15[[#This Row],[order_id]],Table1[side],"SELL")</f>
        <v>0</v>
      </c>
      <c r="AA143" s="5">
        <f>Table15[[#This Row],[Buy_value]]*Table15[[#This Row],[Buy_Quantity]]</f>
        <v>298617642.70000005</v>
      </c>
      <c r="AB143" s="5">
        <f>Table15[[#This Row],[Sell_Value]]*Table15[[#This Row],[Sell_Quantity]]</f>
        <v>0</v>
      </c>
      <c r="AC143" s="5">
        <f>SUMIFS(Table1[quantity],Table1[order_id],Table15[[#This Row],[order_id]],Table1[side],"BUY")</f>
        <v>481</v>
      </c>
      <c r="AE143" s="10" t="s">
        <v>1128</v>
      </c>
      <c r="AF143" s="10" t="str">
        <f>IF(Table1[[#This Row],[Sell-Buy]]&gt;0,"Profit","Loss")</f>
        <v>Loss</v>
      </c>
      <c r="AG143">
        <f>Table1[[#This Row],[Column2]]-Table1[[#This Row],[Buy-sell]]</f>
        <v>0</v>
      </c>
    </row>
    <row r="144" spans="1:33" x14ac:dyDescent="0.3">
      <c r="A144" t="s">
        <v>795</v>
      </c>
      <c r="B144" t="s">
        <v>273</v>
      </c>
      <c r="C144" s="1">
        <v>45681.011805555558</v>
      </c>
      <c r="D144" t="s">
        <v>14</v>
      </c>
      <c r="E144" t="s">
        <v>166</v>
      </c>
      <c r="F144">
        <v>563</v>
      </c>
      <c r="G144">
        <v>2114.48</v>
      </c>
      <c r="H144">
        <v>595.23</v>
      </c>
      <c r="I144" t="s">
        <v>100</v>
      </c>
      <c r="J144" t="s">
        <v>73</v>
      </c>
      <c r="L144" s="1">
        <v>45701</v>
      </c>
      <c r="M144" t="s">
        <v>166</v>
      </c>
      <c r="N144">
        <f>IF(Table1[[#This Row],[side]]="BUY", Table1[[#This Row],[quantity]],-Table1[[#This Row],[quantity]])</f>
        <v>563</v>
      </c>
      <c r="P144" t="str">
        <f>IF(Table1[[#This Row],[side]]="Sell",Table1[[#This Row],[price]],"0")</f>
        <v>0</v>
      </c>
      <c r="Q144">
        <f>SUMIFS(Table1[quantity],Table1[company_id],Table8[[#This Row],[COMPANY_ID]],Table1[side],"BUY")-SUMIFS(Table1[quantity],Table1[company_id],Table8[[#This Row],[COMPANY_ID]],Table1[side],"SELL")</f>
        <v>0</v>
      </c>
      <c r="R144">
        <f>Table1[[#This Row],[Column2]]-Table1[[#This Row],[Buy-sell]]</f>
        <v>0</v>
      </c>
      <c r="S144" t="str">
        <f>IF(Table1[[#This Row],[Sell-Buy]]&gt;0,"Profit","Loss")</f>
        <v>Loss</v>
      </c>
      <c r="T144" s="4" t="s">
        <v>392</v>
      </c>
      <c r="U144" s="8">
        <f>SUMIFS(Table1[price],Table1[order_id],Table15[[#This Row],[order_id]],Table1[side],"BUY")*Table15[[#This Row],[Buy_Quantity]]</f>
        <v>199905.69999999998</v>
      </c>
      <c r="V144" s="8">
        <f>SUMIFS(Table1[price],Table1[order_id],Table15[[#This Row],[order_id]],Table1[side],"SELL")</f>
        <v>0</v>
      </c>
      <c r="W144" s="8">
        <f>Table15[[#This Row],[sell]]-Table15[[#This Row],[Buy]]</f>
        <v>-168120693.69999999</v>
      </c>
      <c r="X144" s="8">
        <f>IF(Table15[[#This Row],[Profit]]&gt;0,1,0)</f>
        <v>0</v>
      </c>
      <c r="Y144" s="5" t="str">
        <f>IF(Table15[[#This Row],[is Profit]]=1,"Profit","Loss")</f>
        <v>Loss</v>
      </c>
      <c r="Z144" s="5">
        <f>SUMIFS(Table1[quantity],Table1[order_id],Table15[[#This Row],[order_id]],Table1[side],"SELL")</f>
        <v>0</v>
      </c>
      <c r="AA144" s="5">
        <f>Table15[[#This Row],[Buy_value]]*Table15[[#This Row],[Buy_Quantity]]</f>
        <v>168120693.69999999</v>
      </c>
      <c r="AB144" s="5">
        <f>Table15[[#This Row],[Sell_Value]]*Table15[[#This Row],[Sell_Quantity]]</f>
        <v>0</v>
      </c>
      <c r="AC144" s="5">
        <f>SUMIFS(Table1[quantity],Table1[order_id],Table15[[#This Row],[order_id]],Table1[side],"BUY")</f>
        <v>841</v>
      </c>
      <c r="AE144" s="9" t="s">
        <v>693</v>
      </c>
      <c r="AF144" s="10" t="str">
        <f>IF(Table1[[#This Row],[Sell-Buy]]&gt;0,"Profit","Loss")</f>
        <v>Loss</v>
      </c>
      <c r="AG144">
        <f>Table1[[#This Row],[Column2]]-Table1[[#This Row],[Buy-sell]]</f>
        <v>0</v>
      </c>
    </row>
    <row r="145" spans="1:33" x14ac:dyDescent="0.3">
      <c r="A145" t="s">
        <v>816</v>
      </c>
      <c r="B145" t="s">
        <v>592</v>
      </c>
      <c r="C145" s="1">
        <v>45777.009722222225</v>
      </c>
      <c r="D145" t="s">
        <v>14</v>
      </c>
      <c r="E145" t="s">
        <v>166</v>
      </c>
      <c r="F145">
        <v>670</v>
      </c>
      <c r="G145">
        <v>2088.73</v>
      </c>
      <c r="H145">
        <v>699.72</v>
      </c>
      <c r="I145" t="s">
        <v>124</v>
      </c>
      <c r="J145" t="s">
        <v>76</v>
      </c>
      <c r="L145" s="1">
        <v>45790</v>
      </c>
      <c r="M145" t="s">
        <v>166</v>
      </c>
      <c r="N145">
        <f>IF(Table1[[#This Row],[side]]="BUY", Table1[[#This Row],[quantity]],-Table1[[#This Row],[quantity]])</f>
        <v>670</v>
      </c>
      <c r="P145" t="str">
        <f>IF(Table1[[#This Row],[side]]="Sell",Table1[[#This Row],[price]],"0")</f>
        <v>0</v>
      </c>
      <c r="Q145">
        <f>SUMIFS(Table1[quantity],Table1[company_id],Table8[[#This Row],[COMPANY_ID]],Table1[side],"BUY")-SUMIFS(Table1[quantity],Table1[company_id],Table8[[#This Row],[COMPANY_ID]],Table1[side],"SELL")</f>
        <v>0</v>
      </c>
      <c r="R145">
        <f>Table1[[#This Row],[Column2]]-Table1[[#This Row],[Buy-sell]]</f>
        <v>0</v>
      </c>
      <c r="S145" t="str">
        <f>IF(Table1[[#This Row],[Sell-Buy]]&gt;0,"Profit","Loss")</f>
        <v>Loss</v>
      </c>
      <c r="T145" s="5" t="s">
        <v>394</v>
      </c>
      <c r="U145" s="8">
        <f>SUMIFS(Table1[price],Table1[order_id],Table15[[#This Row],[order_id]],Table1[side],"BUY")*Table15[[#This Row],[Buy_Quantity]]</f>
        <v>1456622.39</v>
      </c>
      <c r="V145" s="8">
        <f>SUMIFS(Table1[price],Table1[order_id],Table15[[#This Row],[order_id]],Table1[side],"SELL")</f>
        <v>0</v>
      </c>
      <c r="W145" s="8">
        <f>Table15[[#This Row],[sell]]-Table15[[#This Row],[Buy]]</f>
        <v>-1880499505.4899998</v>
      </c>
      <c r="X145" s="8">
        <f>IF(Table15[[#This Row],[Profit]]&gt;0,1,0)</f>
        <v>0</v>
      </c>
      <c r="Y145" s="5" t="str">
        <f>IF(Table15[[#This Row],[is Profit]]=1,"Profit","Loss")</f>
        <v>Loss</v>
      </c>
      <c r="Z145" s="5">
        <f>SUMIFS(Table1[quantity],Table1[order_id],Table15[[#This Row],[order_id]],Table1[side],"SELL")</f>
        <v>0</v>
      </c>
      <c r="AA145" s="5">
        <f>Table15[[#This Row],[Buy_value]]*Table15[[#This Row],[Buy_Quantity]]</f>
        <v>1880499505.4899998</v>
      </c>
      <c r="AB145" s="5">
        <f>Table15[[#This Row],[Sell_Value]]*Table15[[#This Row],[Sell_Quantity]]</f>
        <v>0</v>
      </c>
      <c r="AC145" s="5">
        <f>SUMIFS(Table1[quantity],Table1[order_id],Table15[[#This Row],[order_id]],Table1[side],"BUY")</f>
        <v>1291</v>
      </c>
      <c r="AE145" s="10" t="s">
        <v>940</v>
      </c>
      <c r="AF145" s="10" t="str">
        <f>IF(Table1[[#This Row],[Sell-Buy]]&gt;0,"Profit","Loss")</f>
        <v>Loss</v>
      </c>
      <c r="AG145">
        <f>Table1[[#This Row],[Column2]]-Table1[[#This Row],[Buy-sell]]</f>
        <v>0</v>
      </c>
    </row>
    <row r="146" spans="1:33" x14ac:dyDescent="0.3">
      <c r="A146" t="s">
        <v>823</v>
      </c>
      <c r="B146" t="s">
        <v>395</v>
      </c>
      <c r="C146" s="1">
        <v>45674.022222222222</v>
      </c>
      <c r="D146" t="s">
        <v>14</v>
      </c>
      <c r="E146" t="s">
        <v>166</v>
      </c>
      <c r="F146">
        <v>817</v>
      </c>
      <c r="G146">
        <v>2048.3000000000002</v>
      </c>
      <c r="H146">
        <v>836.73</v>
      </c>
      <c r="I146" t="s">
        <v>136</v>
      </c>
      <c r="J146" t="s">
        <v>61</v>
      </c>
      <c r="L146" s="1">
        <v>45658</v>
      </c>
      <c r="M146" t="s">
        <v>166</v>
      </c>
      <c r="N146">
        <f>IF(Table1[[#This Row],[side]]="BUY", Table1[[#This Row],[quantity]],-Table1[[#This Row],[quantity]])</f>
        <v>817</v>
      </c>
      <c r="P146" t="str">
        <f>IF(Table1[[#This Row],[side]]="Sell",Table1[[#This Row],[price]],"0")</f>
        <v>0</v>
      </c>
      <c r="Q146">
        <f>SUMIFS(Table1[quantity],Table1[company_id],Table8[[#This Row],[COMPANY_ID]],Table1[side],"BUY")-SUMIFS(Table1[quantity],Table1[company_id],Table8[[#This Row],[COMPANY_ID]],Table1[side],"SELL")</f>
        <v>0</v>
      </c>
      <c r="R146">
        <f>Table1[[#This Row],[Column2]]-Table1[[#This Row],[Buy-sell]]</f>
        <v>0</v>
      </c>
      <c r="S146" t="str">
        <f>IF(Table1[[#This Row],[Sell-Buy]]&gt;0,"Profit","Loss")</f>
        <v>Loss</v>
      </c>
      <c r="T146" s="4" t="s">
        <v>395</v>
      </c>
      <c r="U146" s="8">
        <f>SUMIFS(Table1[price],Table1[order_id],Table15[[#This Row],[order_id]],Table1[side],"BUY")*Table15[[#This Row],[Buy_Quantity]]</f>
        <v>1673461.1</v>
      </c>
      <c r="V146" s="8">
        <f>SUMIFS(Table1[price],Table1[order_id],Table15[[#This Row],[order_id]],Table1[side],"SELL")</f>
        <v>245.53</v>
      </c>
      <c r="W146" s="8">
        <f>Table15[[#This Row],[sell]]-Table15[[#This Row],[Buy]]</f>
        <v>-1367177451.78</v>
      </c>
      <c r="X146" s="8">
        <f>IF(Table15[[#This Row],[Profit]]&gt;0,1,0)</f>
        <v>0</v>
      </c>
      <c r="Y146" s="5" t="str">
        <f>IF(Table15[[#This Row],[is Profit]]=1,"Profit","Loss")</f>
        <v>Loss</v>
      </c>
      <c r="Z146" s="5">
        <f>SUMIFS(Table1[quantity],Table1[order_id],Table15[[#This Row],[order_id]],Table1[side],"SELL")</f>
        <v>164</v>
      </c>
      <c r="AA146" s="5">
        <f>Table15[[#This Row],[Buy_value]]*Table15[[#This Row],[Buy_Quantity]]</f>
        <v>1367217718.7</v>
      </c>
      <c r="AB146" s="5">
        <f>Table15[[#This Row],[Sell_Value]]*Table15[[#This Row],[Sell_Quantity]]</f>
        <v>40266.92</v>
      </c>
      <c r="AC146" s="5">
        <f>SUMIFS(Table1[quantity],Table1[order_id],Table15[[#This Row],[order_id]],Table1[side],"BUY")</f>
        <v>817</v>
      </c>
      <c r="AE146" s="9" t="s">
        <v>1025</v>
      </c>
      <c r="AF146" s="10" t="str">
        <f>IF(Table1[[#This Row],[Sell-Buy]]&gt;0,"Profit","Loss")</f>
        <v>Loss</v>
      </c>
      <c r="AG146">
        <f>Table1[[#This Row],[Column2]]-Table1[[#This Row],[Buy-sell]]</f>
        <v>0</v>
      </c>
    </row>
    <row r="147" spans="1:33" x14ac:dyDescent="0.3">
      <c r="A147" t="s">
        <v>825</v>
      </c>
      <c r="B147" t="s">
        <v>350</v>
      </c>
      <c r="C147" s="1">
        <v>45813.031944444447</v>
      </c>
      <c r="D147" t="s">
        <v>14</v>
      </c>
      <c r="E147" t="s">
        <v>166</v>
      </c>
      <c r="F147">
        <v>14</v>
      </c>
      <c r="G147">
        <v>2175.73</v>
      </c>
      <c r="H147">
        <v>15.23</v>
      </c>
      <c r="I147" t="s">
        <v>94</v>
      </c>
      <c r="J147" t="s">
        <v>67</v>
      </c>
      <c r="L147" s="1">
        <v>45834</v>
      </c>
      <c r="M147" t="s">
        <v>166</v>
      </c>
      <c r="N147">
        <f>IF(Table1[[#This Row],[side]]="BUY", Table1[[#This Row],[quantity]],-Table1[[#This Row],[quantity]])</f>
        <v>14</v>
      </c>
      <c r="P147" t="str">
        <f>IF(Table1[[#This Row],[side]]="Sell",Table1[[#This Row],[price]],"0")</f>
        <v>0</v>
      </c>
      <c r="Q147">
        <f>SUMIFS(Table1[quantity],Table1[company_id],Table8[[#This Row],[COMPANY_ID]],Table1[side],"BUY")-SUMIFS(Table1[quantity],Table1[company_id],Table8[[#This Row],[COMPANY_ID]],Table1[side],"SELL")</f>
        <v>0</v>
      </c>
      <c r="R147">
        <f>Table1[[#This Row],[Column2]]-Table1[[#This Row],[Buy-sell]]</f>
        <v>0</v>
      </c>
      <c r="S147" t="str">
        <f>IF(Table1[[#This Row],[Sell-Buy]]&gt;0,"Profit","Loss")</f>
        <v>Loss</v>
      </c>
      <c r="T147" s="4" t="s">
        <v>397</v>
      </c>
      <c r="U147" s="8">
        <f>SUMIFS(Table1[price],Table1[order_id],Table15[[#This Row],[order_id]],Table1[side],"BUY")*Table15[[#This Row],[Buy_Quantity]]</f>
        <v>599459.06000000006</v>
      </c>
      <c r="V147" s="8">
        <f>SUMIFS(Table1[price],Table1[order_id],Table15[[#This Row],[order_id]],Table1[side],"SELL")</f>
        <v>0</v>
      </c>
      <c r="W147" s="8">
        <f>Table15[[#This Row],[sell]]-Table15[[#This Row],[Buy]]</f>
        <v>-431011064.14000005</v>
      </c>
      <c r="X147" s="8">
        <f>IF(Table15[[#This Row],[Profit]]&gt;0,1,0)</f>
        <v>0</v>
      </c>
      <c r="Y147" s="5" t="str">
        <f>IF(Table15[[#This Row],[is Profit]]=1,"Profit","Loss")</f>
        <v>Loss</v>
      </c>
      <c r="Z147" s="5">
        <f>SUMIFS(Table1[quantity],Table1[order_id],Table15[[#This Row],[order_id]],Table1[side],"SELL")</f>
        <v>0</v>
      </c>
      <c r="AA147" s="5">
        <f>Table15[[#This Row],[Buy_value]]*Table15[[#This Row],[Buy_Quantity]]</f>
        <v>431011064.14000005</v>
      </c>
      <c r="AB147" s="5">
        <f>Table15[[#This Row],[Sell_Value]]*Table15[[#This Row],[Sell_Quantity]]</f>
        <v>0</v>
      </c>
      <c r="AC147" s="5">
        <f>SUMIFS(Table1[quantity],Table1[order_id],Table15[[#This Row],[order_id]],Table1[side],"BUY")</f>
        <v>719</v>
      </c>
      <c r="AE147" s="10" t="s">
        <v>692</v>
      </c>
      <c r="AF147" s="10" t="str">
        <f>IF(Table1[[#This Row],[Sell-Buy]]&gt;0,"Profit","Loss")</f>
        <v>Loss</v>
      </c>
      <c r="AG147">
        <f>Table1[[#This Row],[Column2]]-Table1[[#This Row],[Buy-sell]]</f>
        <v>0</v>
      </c>
    </row>
    <row r="148" spans="1:33" x14ac:dyDescent="0.3">
      <c r="A148" t="s">
        <v>832</v>
      </c>
      <c r="B148" t="s">
        <v>266</v>
      </c>
      <c r="C148" s="1">
        <v>45783.004166666666</v>
      </c>
      <c r="D148" t="s">
        <v>14</v>
      </c>
      <c r="E148" t="s">
        <v>166</v>
      </c>
      <c r="F148">
        <v>366</v>
      </c>
      <c r="G148">
        <v>2188.7399999999998</v>
      </c>
      <c r="H148">
        <v>400.54</v>
      </c>
      <c r="I148" t="s">
        <v>114</v>
      </c>
      <c r="J148" t="s">
        <v>52</v>
      </c>
      <c r="L148" s="1">
        <v>45674</v>
      </c>
      <c r="M148" t="s">
        <v>166</v>
      </c>
      <c r="N148">
        <f>IF(Table1[[#This Row],[side]]="BUY", Table1[[#This Row],[quantity]],-Table1[[#This Row],[quantity]])</f>
        <v>366</v>
      </c>
      <c r="P148" t="str">
        <f>IF(Table1[[#This Row],[side]]="Sell",Table1[[#This Row],[price]],"0")</f>
        <v>0</v>
      </c>
      <c r="Q148">
        <f>SUMIFS(Table1[quantity],Table1[company_id],Table8[[#This Row],[COMPANY_ID]],Table1[side],"BUY")-SUMIFS(Table1[quantity],Table1[company_id],Table8[[#This Row],[COMPANY_ID]],Table1[side],"SELL")</f>
        <v>0</v>
      </c>
      <c r="R148">
        <f>Table1[[#This Row],[Column2]]-Table1[[#This Row],[Buy-sell]]</f>
        <v>0</v>
      </c>
      <c r="S148" t="str">
        <f>IF(Table1[[#This Row],[Sell-Buy]]&gt;0,"Profit","Loss")</f>
        <v>Loss</v>
      </c>
      <c r="T148" s="4" t="s">
        <v>398</v>
      </c>
      <c r="U148" s="8">
        <f>SUMIFS(Table1[price],Table1[order_id],Table15[[#This Row],[order_id]],Table1[side],"BUY")*Table15[[#This Row],[Buy_Quantity]]</f>
        <v>0</v>
      </c>
      <c r="V148" s="8">
        <f>SUMIFS(Table1[price],Table1[order_id],Table15[[#This Row],[order_id]],Table1[side],"SELL")</f>
        <v>647.63</v>
      </c>
      <c r="W148" s="8">
        <f>Table15[[#This Row],[sell]]-Table15[[#This Row],[Buy]]</f>
        <v>509684.81</v>
      </c>
      <c r="X148" s="8">
        <f>IF(Table15[[#This Row],[Profit]]&gt;0,1,0)</f>
        <v>1</v>
      </c>
      <c r="Y148" s="5" t="str">
        <f>IF(Table15[[#This Row],[is Profit]]=1,"Profit","Loss")</f>
        <v>Profit</v>
      </c>
      <c r="Z148" s="5">
        <f>SUMIFS(Table1[quantity],Table1[order_id],Table15[[#This Row],[order_id]],Table1[side],"SELL")</f>
        <v>787</v>
      </c>
      <c r="AA148" s="5">
        <f>Table15[[#This Row],[Buy_value]]*Table15[[#This Row],[Buy_Quantity]]</f>
        <v>0</v>
      </c>
      <c r="AB148" s="5">
        <f>Table15[[#This Row],[Sell_Value]]*Table15[[#This Row],[Sell_Quantity]]</f>
        <v>509684.81</v>
      </c>
      <c r="AC148" s="5">
        <f>SUMIFS(Table1[quantity],Table1[order_id],Table15[[#This Row],[order_id]],Table1[side],"BUY")</f>
        <v>0</v>
      </c>
      <c r="AE148" s="9" t="s">
        <v>1000</v>
      </c>
      <c r="AF148" s="10" t="str">
        <f>IF(Table1[[#This Row],[Sell-Buy]]&gt;0,"Profit","Loss")</f>
        <v>Loss</v>
      </c>
      <c r="AG148">
        <f>Table1[[#This Row],[Column2]]-Table1[[#This Row],[Buy-sell]]</f>
        <v>0</v>
      </c>
    </row>
    <row r="149" spans="1:33" x14ac:dyDescent="0.3">
      <c r="A149" t="s">
        <v>867</v>
      </c>
      <c r="B149" t="s">
        <v>381</v>
      </c>
      <c r="C149" s="1">
        <v>45688.035416666666</v>
      </c>
      <c r="D149" t="s">
        <v>14</v>
      </c>
      <c r="E149" t="s">
        <v>166</v>
      </c>
      <c r="F149">
        <v>825</v>
      </c>
      <c r="G149">
        <v>2094.4899999999998</v>
      </c>
      <c r="H149">
        <v>863.98</v>
      </c>
      <c r="I149" t="s">
        <v>114</v>
      </c>
      <c r="J149" t="s">
        <v>49</v>
      </c>
      <c r="L149" s="1">
        <v>45670</v>
      </c>
      <c r="M149" t="s">
        <v>166</v>
      </c>
      <c r="N149">
        <f>IF(Table1[[#This Row],[side]]="BUY", Table1[[#This Row],[quantity]],-Table1[[#This Row],[quantity]])</f>
        <v>825</v>
      </c>
      <c r="P149" t="str">
        <f>IF(Table1[[#This Row],[side]]="Sell",Table1[[#This Row],[price]],"0")</f>
        <v>0</v>
      </c>
      <c r="Q149">
        <f>SUMIFS(Table1[quantity],Table1[company_id],Table8[[#This Row],[COMPANY_ID]],Table1[side],"BUY")-SUMIFS(Table1[quantity],Table1[company_id],Table8[[#This Row],[COMPANY_ID]],Table1[side],"SELL")</f>
        <v>0</v>
      </c>
      <c r="R149">
        <f>Table1[[#This Row],[Column2]]-Table1[[#This Row],[Buy-sell]]</f>
        <v>0</v>
      </c>
      <c r="S149" t="str">
        <f>IF(Table1[[#This Row],[Sell-Buy]]&gt;0,"Profit","Loss")</f>
        <v>Loss</v>
      </c>
      <c r="T149" s="4" t="s">
        <v>400</v>
      </c>
      <c r="U149" s="8">
        <f>SUMIFS(Table1[price],Table1[order_id],Table15[[#This Row],[order_id]],Table1[side],"BUY")*Table15[[#This Row],[Buy_Quantity]]</f>
        <v>396172.79999999999</v>
      </c>
      <c r="V149" s="8">
        <f>SUMIFS(Table1[price],Table1[order_id],Table15[[#This Row],[order_id]],Table1[side],"SELL")</f>
        <v>540.99</v>
      </c>
      <c r="W149" s="8">
        <f>Table15[[#This Row],[sell]]-Table15[[#This Row],[Buy]]</f>
        <v>-112410455.22</v>
      </c>
      <c r="X149" s="8">
        <f>IF(Table15[[#This Row],[Profit]]&gt;0,1,0)</f>
        <v>0</v>
      </c>
      <c r="Y149" s="5" t="str">
        <f>IF(Table15[[#This Row],[is Profit]]=1,"Profit","Loss")</f>
        <v>Loss</v>
      </c>
      <c r="Z149" s="5">
        <f>SUMIFS(Table1[quantity],Table1[order_id],Table15[[#This Row],[order_id]],Table1[side],"SELL")</f>
        <v>922</v>
      </c>
      <c r="AA149" s="5">
        <f>Table15[[#This Row],[Buy_value]]*Table15[[#This Row],[Buy_Quantity]]</f>
        <v>112909248</v>
      </c>
      <c r="AB149" s="5">
        <f>Table15[[#This Row],[Sell_Value]]*Table15[[#This Row],[Sell_Quantity]]</f>
        <v>498792.78</v>
      </c>
      <c r="AC149" s="5">
        <f>SUMIFS(Table1[quantity],Table1[order_id],Table15[[#This Row],[order_id]],Table1[side],"BUY")</f>
        <v>285</v>
      </c>
      <c r="AE149" s="10" t="s">
        <v>739</v>
      </c>
      <c r="AF149" s="10" t="str">
        <f>IF(Table1[[#This Row],[Sell-Buy]]&gt;0,"Profit","Loss")</f>
        <v>Loss</v>
      </c>
      <c r="AG149">
        <f>Table1[[#This Row],[Column2]]-Table1[[#This Row],[Buy-sell]]</f>
        <v>0</v>
      </c>
    </row>
    <row r="150" spans="1:33" x14ac:dyDescent="0.3">
      <c r="A150" t="s">
        <v>871</v>
      </c>
      <c r="B150" t="s">
        <v>560</v>
      </c>
      <c r="C150" s="1">
        <v>45833.020833333336</v>
      </c>
      <c r="D150" t="s">
        <v>14</v>
      </c>
      <c r="E150" t="s">
        <v>166</v>
      </c>
      <c r="F150">
        <v>427</v>
      </c>
      <c r="G150">
        <v>2204.0500000000002</v>
      </c>
      <c r="H150">
        <v>470.56</v>
      </c>
      <c r="I150" t="s">
        <v>94</v>
      </c>
      <c r="J150" t="s">
        <v>52</v>
      </c>
      <c r="L150" s="1">
        <v>45819</v>
      </c>
      <c r="M150" t="s">
        <v>166</v>
      </c>
      <c r="N150">
        <f>IF(Table1[[#This Row],[side]]="BUY", Table1[[#This Row],[quantity]],-Table1[[#This Row],[quantity]])</f>
        <v>427</v>
      </c>
      <c r="P150" t="str">
        <f>IF(Table1[[#This Row],[side]]="Sell",Table1[[#This Row],[price]],"0")</f>
        <v>0</v>
      </c>
      <c r="Q150">
        <f>SUMIFS(Table1[quantity],Table1[company_id],Table8[[#This Row],[COMPANY_ID]],Table1[side],"BUY")-SUMIFS(Table1[quantity],Table1[company_id],Table8[[#This Row],[COMPANY_ID]],Table1[side],"SELL")</f>
        <v>0</v>
      </c>
      <c r="R150">
        <f>Table1[[#This Row],[Column2]]-Table1[[#This Row],[Buy-sell]]</f>
        <v>0</v>
      </c>
      <c r="S150" t="str">
        <f>IF(Table1[[#This Row],[Sell-Buy]]&gt;0,"Profit","Loss")</f>
        <v>Loss</v>
      </c>
      <c r="T150" s="4" t="s">
        <v>401</v>
      </c>
      <c r="U150" s="8">
        <f>SUMIFS(Table1[price],Table1[order_id],Table15[[#This Row],[order_id]],Table1[side],"BUY")*Table15[[#This Row],[Buy_Quantity]]</f>
        <v>427546.6</v>
      </c>
      <c r="V150" s="8">
        <f>SUMIFS(Table1[price],Table1[order_id],Table15[[#This Row],[order_id]],Table1[side],"SELL")</f>
        <v>2099.87</v>
      </c>
      <c r="W150" s="8">
        <f>Table15[[#This Row],[sell]]-Table15[[#This Row],[Buy]]</f>
        <v>-241747409.90999997</v>
      </c>
      <c r="X150" s="8">
        <f>IF(Table15[[#This Row],[Profit]]&gt;0,1,0)</f>
        <v>0</v>
      </c>
      <c r="Y150" s="5" t="str">
        <f>IF(Table15[[#This Row],[is Profit]]=1,"Profit","Loss")</f>
        <v>Loss</v>
      </c>
      <c r="Z150" s="5">
        <f>SUMIFS(Table1[quantity],Table1[order_id],Table15[[#This Row],[order_id]],Table1[side],"SELL")</f>
        <v>727</v>
      </c>
      <c r="AA150" s="5">
        <f>Table15[[#This Row],[Buy_value]]*Table15[[#This Row],[Buy_Quantity]]</f>
        <v>243274015.39999998</v>
      </c>
      <c r="AB150" s="5">
        <f>Table15[[#This Row],[Sell_Value]]*Table15[[#This Row],[Sell_Quantity]]</f>
        <v>1526605.49</v>
      </c>
      <c r="AC150" s="5">
        <f>SUMIFS(Table1[quantity],Table1[order_id],Table15[[#This Row],[order_id]],Table1[side],"BUY")</f>
        <v>569</v>
      </c>
      <c r="AE150" s="9" t="s">
        <v>907</v>
      </c>
      <c r="AF150" s="10" t="str">
        <f>IF(Table1[[#This Row],[Sell-Buy]]&gt;0,"Profit","Loss")</f>
        <v>Loss</v>
      </c>
      <c r="AG150">
        <f>Table1[[#This Row],[Column2]]-Table1[[#This Row],[Buy-sell]]</f>
        <v>0</v>
      </c>
    </row>
    <row r="151" spans="1:33" x14ac:dyDescent="0.3">
      <c r="A151" t="s">
        <v>884</v>
      </c>
      <c r="B151" t="s">
        <v>328</v>
      </c>
      <c r="C151" s="1">
        <v>45708.004861111112</v>
      </c>
      <c r="D151" t="s">
        <v>14</v>
      </c>
      <c r="E151" t="s">
        <v>166</v>
      </c>
      <c r="F151">
        <v>487</v>
      </c>
      <c r="G151">
        <v>2143.14</v>
      </c>
      <c r="H151">
        <v>521.85</v>
      </c>
      <c r="I151" t="s">
        <v>144</v>
      </c>
      <c r="J151" t="s">
        <v>55</v>
      </c>
      <c r="L151" s="1">
        <v>45771</v>
      </c>
      <c r="M151" t="s">
        <v>166</v>
      </c>
      <c r="N151">
        <f>IF(Table1[[#This Row],[side]]="BUY", Table1[[#This Row],[quantity]],-Table1[[#This Row],[quantity]])</f>
        <v>487</v>
      </c>
      <c r="P151" t="str">
        <f>IF(Table1[[#This Row],[side]]="Sell",Table1[[#This Row],[price]],"0")</f>
        <v>0</v>
      </c>
      <c r="Q151">
        <f>SUMIFS(Table1[quantity],Table1[company_id],Table8[[#This Row],[COMPANY_ID]],Table1[side],"BUY")-SUMIFS(Table1[quantity],Table1[company_id],Table8[[#This Row],[COMPANY_ID]],Table1[side],"SELL")</f>
        <v>0</v>
      </c>
      <c r="R151">
        <f>Table1[[#This Row],[Column2]]-Table1[[#This Row],[Buy-sell]]</f>
        <v>0</v>
      </c>
      <c r="S151" t="str">
        <f>IF(Table1[[#This Row],[Sell-Buy]]&gt;0,"Profit","Loss")</f>
        <v>Loss</v>
      </c>
      <c r="T151" s="5" t="s">
        <v>402</v>
      </c>
      <c r="U151" s="8">
        <f>SUMIFS(Table1[price],Table1[order_id],Table15[[#This Row],[order_id]],Table1[side],"BUY")*Table15[[#This Row],[Buy_Quantity]]</f>
        <v>0</v>
      </c>
      <c r="V151" s="8">
        <f>SUMIFS(Table1[price],Table1[order_id],Table15[[#This Row],[order_id]],Table1[side],"SELL")</f>
        <v>1426.78</v>
      </c>
      <c r="W151" s="8">
        <f>Table15[[#This Row],[sell]]-Table15[[#This Row],[Buy]]</f>
        <v>2489731.1</v>
      </c>
      <c r="X151" s="8">
        <f>IF(Table15[[#This Row],[Profit]]&gt;0,1,0)</f>
        <v>1</v>
      </c>
      <c r="Y151" s="5" t="str">
        <f>IF(Table15[[#This Row],[is Profit]]=1,"Profit","Loss")</f>
        <v>Profit</v>
      </c>
      <c r="Z151" s="5">
        <f>SUMIFS(Table1[quantity],Table1[order_id],Table15[[#This Row],[order_id]],Table1[side],"SELL")</f>
        <v>1745</v>
      </c>
      <c r="AA151" s="5">
        <f>Table15[[#This Row],[Buy_value]]*Table15[[#This Row],[Buy_Quantity]]</f>
        <v>0</v>
      </c>
      <c r="AB151" s="5">
        <f>Table15[[#This Row],[Sell_Value]]*Table15[[#This Row],[Sell_Quantity]]</f>
        <v>2489731.1</v>
      </c>
      <c r="AC151" s="5">
        <f>SUMIFS(Table1[quantity],Table1[order_id],Table15[[#This Row],[order_id]],Table1[side],"BUY")</f>
        <v>0</v>
      </c>
      <c r="AE151" s="10" t="s">
        <v>1154</v>
      </c>
      <c r="AF151" s="10" t="str">
        <f>IF(Table1[[#This Row],[Sell-Buy]]&gt;0,"Profit","Loss")</f>
        <v>Loss</v>
      </c>
      <c r="AG151">
        <f>Table1[[#This Row],[Column2]]-Table1[[#This Row],[Buy-sell]]</f>
        <v>0</v>
      </c>
    </row>
    <row r="152" spans="1:33" x14ac:dyDescent="0.3">
      <c r="A152" t="s">
        <v>898</v>
      </c>
      <c r="B152" t="s">
        <v>528</v>
      </c>
      <c r="C152" s="1">
        <v>45670.001388888886</v>
      </c>
      <c r="D152" t="s">
        <v>14</v>
      </c>
      <c r="E152" t="s">
        <v>166</v>
      </c>
      <c r="F152">
        <v>280</v>
      </c>
      <c r="G152">
        <v>1991.15</v>
      </c>
      <c r="H152">
        <v>278.76</v>
      </c>
      <c r="I152" t="s">
        <v>142</v>
      </c>
      <c r="J152" t="s">
        <v>55</v>
      </c>
      <c r="L152" s="1">
        <v>45701</v>
      </c>
      <c r="M152" t="s">
        <v>166</v>
      </c>
      <c r="N152">
        <f>IF(Table1[[#This Row],[side]]="BUY", Table1[[#This Row],[quantity]],-Table1[[#This Row],[quantity]])</f>
        <v>280</v>
      </c>
      <c r="P152" t="str">
        <f>IF(Table1[[#This Row],[side]]="Sell",Table1[[#This Row],[price]],"0")</f>
        <v>0</v>
      </c>
      <c r="Q152">
        <f>SUMIFS(Table1[quantity],Table1[company_id],Table8[[#This Row],[COMPANY_ID]],Table1[side],"BUY")-SUMIFS(Table1[quantity],Table1[company_id],Table8[[#This Row],[COMPANY_ID]],Table1[side],"SELL")</f>
        <v>0</v>
      </c>
      <c r="R152">
        <f>Table1[[#This Row],[Column2]]-Table1[[#This Row],[Buy-sell]]</f>
        <v>0</v>
      </c>
      <c r="S152" t="str">
        <f>IF(Table1[[#This Row],[Sell-Buy]]&gt;0,"Profit","Loss")</f>
        <v>Loss</v>
      </c>
      <c r="T152" s="5" t="s">
        <v>403</v>
      </c>
      <c r="U152" s="8">
        <f>SUMIFS(Table1[price],Table1[order_id],Table15[[#This Row],[order_id]],Table1[side],"BUY")*Table15[[#This Row],[Buy_Quantity]]</f>
        <v>102303.45</v>
      </c>
      <c r="V152" s="8">
        <f>SUMIFS(Table1[price],Table1[order_id],Table15[[#This Row],[order_id]],Table1[side],"SELL")</f>
        <v>0</v>
      </c>
      <c r="W152" s="8">
        <f>Table15[[#This Row],[sell]]-Table15[[#This Row],[Buy]]</f>
        <v>-15652427.85</v>
      </c>
      <c r="X152" s="8">
        <f>IF(Table15[[#This Row],[Profit]]&gt;0,1,0)</f>
        <v>0</v>
      </c>
      <c r="Y152" s="5" t="str">
        <f>IF(Table15[[#This Row],[is Profit]]=1,"Profit","Loss")</f>
        <v>Loss</v>
      </c>
      <c r="Z152" s="5">
        <f>SUMIFS(Table1[quantity],Table1[order_id],Table15[[#This Row],[order_id]],Table1[side],"SELL")</f>
        <v>0</v>
      </c>
      <c r="AA152" s="5">
        <f>Table15[[#This Row],[Buy_value]]*Table15[[#This Row],[Buy_Quantity]]</f>
        <v>15652427.85</v>
      </c>
      <c r="AB152" s="5">
        <f>Table15[[#This Row],[Sell_Value]]*Table15[[#This Row],[Sell_Quantity]]</f>
        <v>0</v>
      </c>
      <c r="AC152" s="5">
        <f>SUMIFS(Table1[quantity],Table1[order_id],Table15[[#This Row],[order_id]],Table1[side],"BUY")</f>
        <v>153</v>
      </c>
      <c r="AE152" s="9" t="s">
        <v>1119</v>
      </c>
      <c r="AF152" s="10" t="str">
        <f>IF(Table1[[#This Row],[Sell-Buy]]&gt;0,"Profit","Loss")</f>
        <v>Loss</v>
      </c>
      <c r="AG152">
        <f>Table1[[#This Row],[Column2]]-Table1[[#This Row],[Buy-sell]]</f>
        <v>0</v>
      </c>
    </row>
    <row r="153" spans="1:33" x14ac:dyDescent="0.3">
      <c r="A153" t="s">
        <v>899</v>
      </c>
      <c r="B153" t="s">
        <v>417</v>
      </c>
      <c r="C153" s="1">
        <v>45756.01458333333</v>
      </c>
      <c r="D153" t="s">
        <v>14</v>
      </c>
      <c r="E153" t="s">
        <v>166</v>
      </c>
      <c r="F153">
        <v>416</v>
      </c>
      <c r="G153">
        <v>2150.89</v>
      </c>
      <c r="H153">
        <v>447.39</v>
      </c>
      <c r="I153" t="s">
        <v>138</v>
      </c>
      <c r="J153" t="s">
        <v>64</v>
      </c>
      <c r="L153" s="1">
        <v>45800</v>
      </c>
      <c r="M153" t="s">
        <v>166</v>
      </c>
      <c r="N153">
        <f>IF(Table1[[#This Row],[side]]="BUY", Table1[[#This Row],[quantity]],-Table1[[#This Row],[quantity]])</f>
        <v>416</v>
      </c>
      <c r="P153" t="str">
        <f>IF(Table1[[#This Row],[side]]="Sell",Table1[[#This Row],[price]],"0")</f>
        <v>0</v>
      </c>
      <c r="Q153">
        <f>SUMIFS(Table1[quantity],Table1[company_id],Table8[[#This Row],[COMPANY_ID]],Table1[side],"BUY")-SUMIFS(Table1[quantity],Table1[company_id],Table8[[#This Row],[COMPANY_ID]],Table1[side],"SELL")</f>
        <v>0</v>
      </c>
      <c r="R153">
        <f>Table1[[#This Row],[Column2]]-Table1[[#This Row],[Buy-sell]]</f>
        <v>0</v>
      </c>
      <c r="S153" t="str">
        <f>IF(Table1[[#This Row],[Sell-Buy]]&gt;0,"Profit","Loss")</f>
        <v>Loss</v>
      </c>
      <c r="T153" s="4" t="s">
        <v>404</v>
      </c>
      <c r="U153" s="8">
        <f>SUMIFS(Table1[price],Table1[order_id],Table15[[#This Row],[order_id]],Table1[side],"BUY")*Table15[[#This Row],[Buy_Quantity]]</f>
        <v>0</v>
      </c>
      <c r="V153" s="8">
        <f>SUMIFS(Table1[price],Table1[order_id],Table15[[#This Row],[order_id]],Table1[side],"SELL")</f>
        <v>993.17</v>
      </c>
      <c r="W153" s="8">
        <f>Table15[[#This Row],[sell]]-Table15[[#This Row],[Buy]]</f>
        <v>717068.74</v>
      </c>
      <c r="X153" s="8">
        <f>IF(Table15[[#This Row],[Profit]]&gt;0,1,0)</f>
        <v>1</v>
      </c>
      <c r="Y153" s="5" t="str">
        <f>IF(Table15[[#This Row],[is Profit]]=1,"Profit","Loss")</f>
        <v>Profit</v>
      </c>
      <c r="Z153" s="5">
        <f>SUMIFS(Table1[quantity],Table1[order_id],Table15[[#This Row],[order_id]],Table1[side],"SELL")</f>
        <v>722</v>
      </c>
      <c r="AA153" s="5">
        <f>Table15[[#This Row],[Buy_value]]*Table15[[#This Row],[Buy_Quantity]]</f>
        <v>0</v>
      </c>
      <c r="AB153" s="5">
        <f>Table15[[#This Row],[Sell_Value]]*Table15[[#This Row],[Sell_Quantity]]</f>
        <v>717068.74</v>
      </c>
      <c r="AC153" s="5">
        <f>SUMIFS(Table1[quantity],Table1[order_id],Table15[[#This Row],[order_id]],Table1[side],"BUY")</f>
        <v>0</v>
      </c>
      <c r="AE153" s="10" t="s">
        <v>995</v>
      </c>
      <c r="AF153" s="10" t="str">
        <f>IF(Table1[[#This Row],[Sell-Buy]]&gt;0,"Profit","Loss")</f>
        <v>Loss</v>
      </c>
      <c r="AG153">
        <f>Table1[[#This Row],[Column2]]-Table1[[#This Row],[Buy-sell]]</f>
        <v>0</v>
      </c>
    </row>
    <row r="154" spans="1:33" x14ac:dyDescent="0.3">
      <c r="A154" t="s">
        <v>914</v>
      </c>
      <c r="B154" t="s">
        <v>597</v>
      </c>
      <c r="C154" s="1">
        <v>45687.038194444445</v>
      </c>
      <c r="D154" t="s">
        <v>14</v>
      </c>
      <c r="E154" t="s">
        <v>166</v>
      </c>
      <c r="F154">
        <v>75</v>
      </c>
      <c r="G154">
        <v>2057.5300000000002</v>
      </c>
      <c r="H154">
        <v>77.16</v>
      </c>
      <c r="I154" t="s">
        <v>126</v>
      </c>
      <c r="J154" t="s">
        <v>49</v>
      </c>
      <c r="L154" s="1">
        <v>45686</v>
      </c>
      <c r="M154" t="s">
        <v>166</v>
      </c>
      <c r="N154">
        <f>IF(Table1[[#This Row],[side]]="BUY", Table1[[#This Row],[quantity]],-Table1[[#This Row],[quantity]])</f>
        <v>75</v>
      </c>
      <c r="P154" t="str">
        <f>IF(Table1[[#This Row],[side]]="Sell",Table1[[#This Row],[price]],"0")</f>
        <v>0</v>
      </c>
      <c r="Q154">
        <f>SUMIFS(Table1[quantity],Table1[company_id],Table8[[#This Row],[COMPANY_ID]],Table1[side],"BUY")-SUMIFS(Table1[quantity],Table1[company_id],Table8[[#This Row],[COMPANY_ID]],Table1[side],"SELL")</f>
        <v>0</v>
      </c>
      <c r="R154">
        <f>Table1[[#This Row],[Column2]]-Table1[[#This Row],[Buy-sell]]</f>
        <v>0</v>
      </c>
      <c r="S154" t="str">
        <f>IF(Table1[[#This Row],[Sell-Buy]]&gt;0,"Profit","Loss")</f>
        <v>Loss</v>
      </c>
      <c r="T154" s="5" t="s">
        <v>405</v>
      </c>
      <c r="U154" s="8">
        <f>SUMIFS(Table1[price],Table1[order_id],Table15[[#This Row],[order_id]],Table1[side],"BUY")*Table15[[#This Row],[Buy_Quantity]]</f>
        <v>102085.92</v>
      </c>
      <c r="V154" s="8">
        <f>SUMIFS(Table1[price],Table1[order_id],Table15[[#This Row],[order_id]],Table1[side],"SELL")</f>
        <v>0</v>
      </c>
      <c r="W154" s="8">
        <f>Table15[[#This Row],[sell]]-Table15[[#This Row],[Buy]]</f>
        <v>-44101117.439999998</v>
      </c>
      <c r="X154" s="8">
        <f>IF(Table15[[#This Row],[Profit]]&gt;0,1,0)</f>
        <v>0</v>
      </c>
      <c r="Y154" s="5" t="str">
        <f>IF(Table15[[#This Row],[is Profit]]=1,"Profit","Loss")</f>
        <v>Loss</v>
      </c>
      <c r="Z154" s="5">
        <f>SUMIFS(Table1[quantity],Table1[order_id],Table15[[#This Row],[order_id]],Table1[side],"SELL")</f>
        <v>0</v>
      </c>
      <c r="AA154" s="5">
        <f>Table15[[#This Row],[Buy_value]]*Table15[[#This Row],[Buy_Quantity]]</f>
        <v>44101117.439999998</v>
      </c>
      <c r="AB154" s="5">
        <f>Table15[[#This Row],[Sell_Value]]*Table15[[#This Row],[Sell_Quantity]]</f>
        <v>0</v>
      </c>
      <c r="AC154" s="5">
        <f>SUMIFS(Table1[quantity],Table1[order_id],Table15[[#This Row],[order_id]],Table1[side],"BUY")</f>
        <v>432</v>
      </c>
      <c r="AE154" s="9" t="s">
        <v>1030</v>
      </c>
      <c r="AF154" s="10" t="str">
        <f>IF(Table1[[#This Row],[Sell-Buy]]&gt;0,"Profit","Loss")</f>
        <v>Loss</v>
      </c>
      <c r="AG154">
        <f>Table1[[#This Row],[Column2]]-Table1[[#This Row],[Buy-sell]]</f>
        <v>0</v>
      </c>
    </row>
    <row r="155" spans="1:33" x14ac:dyDescent="0.3">
      <c r="A155" t="s">
        <v>915</v>
      </c>
      <c r="B155" t="s">
        <v>643</v>
      </c>
      <c r="C155" s="1">
        <v>45758.021527777775</v>
      </c>
      <c r="D155" t="s">
        <v>14</v>
      </c>
      <c r="E155" t="s">
        <v>166</v>
      </c>
      <c r="F155">
        <v>488</v>
      </c>
      <c r="G155">
        <v>2310.86</v>
      </c>
      <c r="H155">
        <v>563.85</v>
      </c>
      <c r="I155" t="s">
        <v>110</v>
      </c>
      <c r="J155" t="s">
        <v>49</v>
      </c>
      <c r="L155" s="1">
        <v>45805</v>
      </c>
      <c r="M155" t="s">
        <v>166</v>
      </c>
      <c r="N155">
        <f>IF(Table1[[#This Row],[side]]="BUY", Table1[[#This Row],[quantity]],-Table1[[#This Row],[quantity]])</f>
        <v>488</v>
      </c>
      <c r="P155" t="str">
        <f>IF(Table1[[#This Row],[side]]="Sell",Table1[[#This Row],[price]],"0")</f>
        <v>0</v>
      </c>
      <c r="Q155">
        <f>SUMIFS(Table1[quantity],Table1[company_id],Table8[[#This Row],[COMPANY_ID]],Table1[side],"BUY")-SUMIFS(Table1[quantity],Table1[company_id],Table8[[#This Row],[COMPANY_ID]],Table1[side],"SELL")</f>
        <v>0</v>
      </c>
      <c r="R155">
        <f>Table1[[#This Row],[Column2]]-Table1[[#This Row],[Buy-sell]]</f>
        <v>0</v>
      </c>
      <c r="S155" t="str">
        <f>IF(Table1[[#This Row],[Sell-Buy]]&gt;0,"Profit","Loss")</f>
        <v>Loss</v>
      </c>
      <c r="T155" s="4" t="s">
        <v>408</v>
      </c>
      <c r="U155" s="8">
        <f>SUMIFS(Table1[price],Table1[order_id],Table15[[#This Row],[order_id]],Table1[side],"BUY")*Table15[[#This Row],[Buy_Quantity]]</f>
        <v>0</v>
      </c>
      <c r="V155" s="8">
        <f>SUMIFS(Table1[price],Table1[order_id],Table15[[#This Row],[order_id]],Table1[side],"SELL")</f>
        <v>1599.33</v>
      </c>
      <c r="W155" s="8">
        <f>Table15[[#This Row],[sell]]-Table15[[#This Row],[Buy]]</f>
        <v>419024.45999999996</v>
      </c>
      <c r="X155" s="8">
        <f>IF(Table15[[#This Row],[Profit]]&gt;0,1,0)</f>
        <v>1</v>
      </c>
      <c r="Y155" s="5" t="str">
        <f>IF(Table15[[#This Row],[is Profit]]=1,"Profit","Loss")</f>
        <v>Profit</v>
      </c>
      <c r="Z155" s="5">
        <f>SUMIFS(Table1[quantity],Table1[order_id],Table15[[#This Row],[order_id]],Table1[side],"SELL")</f>
        <v>262</v>
      </c>
      <c r="AA155" s="5">
        <f>Table15[[#This Row],[Buy_value]]*Table15[[#This Row],[Buy_Quantity]]</f>
        <v>0</v>
      </c>
      <c r="AB155" s="5">
        <f>Table15[[#This Row],[Sell_Value]]*Table15[[#This Row],[Sell_Quantity]]</f>
        <v>419024.45999999996</v>
      </c>
      <c r="AC155" s="5">
        <f>SUMIFS(Table1[quantity],Table1[order_id],Table15[[#This Row],[order_id]],Table1[side],"BUY")</f>
        <v>0</v>
      </c>
      <c r="AE155" s="10" t="s">
        <v>884</v>
      </c>
      <c r="AF155" s="10" t="str">
        <f>IF(Table1[[#This Row],[Sell-Buy]]&gt;0,"Profit","Loss")</f>
        <v>Loss</v>
      </c>
      <c r="AG155">
        <f>Table1[[#This Row],[Column2]]-Table1[[#This Row],[Buy-sell]]</f>
        <v>0</v>
      </c>
    </row>
    <row r="156" spans="1:33" x14ac:dyDescent="0.3">
      <c r="A156" t="s">
        <v>919</v>
      </c>
      <c r="B156" t="s">
        <v>447</v>
      </c>
      <c r="C156" s="1">
        <v>45698.006249999999</v>
      </c>
      <c r="D156" t="s">
        <v>14</v>
      </c>
      <c r="E156" t="s">
        <v>166</v>
      </c>
      <c r="F156">
        <v>902</v>
      </c>
      <c r="G156">
        <v>2247.54</v>
      </c>
      <c r="H156">
        <v>1013.64</v>
      </c>
      <c r="I156" t="s">
        <v>118</v>
      </c>
      <c r="J156" t="s">
        <v>61</v>
      </c>
      <c r="L156" s="1">
        <v>45798</v>
      </c>
      <c r="M156" t="s">
        <v>166</v>
      </c>
      <c r="N156">
        <f>IF(Table1[[#This Row],[side]]="BUY", Table1[[#This Row],[quantity]],-Table1[[#This Row],[quantity]])</f>
        <v>902</v>
      </c>
      <c r="P156" t="str">
        <f>IF(Table1[[#This Row],[side]]="Sell",Table1[[#This Row],[price]],"0")</f>
        <v>0</v>
      </c>
      <c r="Q156">
        <f>SUMIFS(Table1[quantity],Table1[company_id],Table8[[#This Row],[COMPANY_ID]],Table1[side],"BUY")-SUMIFS(Table1[quantity],Table1[company_id],Table8[[#This Row],[COMPANY_ID]],Table1[side],"SELL")</f>
        <v>0</v>
      </c>
      <c r="R156">
        <f>Table1[[#This Row],[Column2]]-Table1[[#This Row],[Buy-sell]]</f>
        <v>0</v>
      </c>
      <c r="S156" t="str">
        <f>IF(Table1[[#This Row],[Sell-Buy]]&gt;0,"Profit","Loss")</f>
        <v>Loss</v>
      </c>
      <c r="T156" s="4" t="s">
        <v>409</v>
      </c>
      <c r="U156" s="8">
        <f>SUMIFS(Table1[price],Table1[order_id],Table15[[#This Row],[order_id]],Table1[side],"BUY")*Table15[[#This Row],[Buy_Quantity]]</f>
        <v>23374.890000000003</v>
      </c>
      <c r="V156" s="8">
        <f>SUMIFS(Table1[price],Table1[order_id],Table15[[#This Row],[order_id]],Table1[side],"SELL")</f>
        <v>0</v>
      </c>
      <c r="W156" s="8">
        <f>Table15[[#This Row],[sell]]-Table15[[#This Row],[Buy]]</f>
        <v>-2314114.1100000003</v>
      </c>
      <c r="X156" s="8">
        <f>IF(Table15[[#This Row],[Profit]]&gt;0,1,0)</f>
        <v>0</v>
      </c>
      <c r="Y156" s="5" t="str">
        <f>IF(Table15[[#This Row],[is Profit]]=1,"Profit","Loss")</f>
        <v>Loss</v>
      </c>
      <c r="Z156" s="5">
        <f>SUMIFS(Table1[quantity],Table1[order_id],Table15[[#This Row],[order_id]],Table1[side],"SELL")</f>
        <v>0</v>
      </c>
      <c r="AA156" s="5">
        <f>Table15[[#This Row],[Buy_value]]*Table15[[#This Row],[Buy_Quantity]]</f>
        <v>2314114.1100000003</v>
      </c>
      <c r="AB156" s="5">
        <f>Table15[[#This Row],[Sell_Value]]*Table15[[#This Row],[Sell_Quantity]]</f>
        <v>0</v>
      </c>
      <c r="AC156" s="5">
        <f>SUMIFS(Table1[quantity],Table1[order_id],Table15[[#This Row],[order_id]],Table1[side],"BUY")</f>
        <v>99</v>
      </c>
      <c r="AE156" s="9" t="s">
        <v>1148</v>
      </c>
      <c r="AF156" s="10" t="str">
        <f>IF(Table1[[#This Row],[Sell-Buy]]&gt;0,"Profit","Loss")</f>
        <v>Loss</v>
      </c>
      <c r="AG156">
        <f>Table1[[#This Row],[Column2]]-Table1[[#This Row],[Buy-sell]]</f>
        <v>0</v>
      </c>
    </row>
    <row r="157" spans="1:33" x14ac:dyDescent="0.3">
      <c r="A157" t="s">
        <v>893</v>
      </c>
      <c r="B157" t="s">
        <v>521</v>
      </c>
      <c r="C157" s="1">
        <v>45726.011805555558</v>
      </c>
      <c r="D157" t="s">
        <v>14</v>
      </c>
      <c r="E157" t="s">
        <v>171</v>
      </c>
      <c r="F157">
        <v>504</v>
      </c>
      <c r="G157">
        <v>2219.63</v>
      </c>
      <c r="H157">
        <v>559.35</v>
      </c>
      <c r="I157" t="s">
        <v>114</v>
      </c>
      <c r="J157" t="s">
        <v>76</v>
      </c>
      <c r="L157" s="1">
        <v>45821</v>
      </c>
      <c r="N157">
        <f>IF(Table1[[#This Row],[side]]="BUY", Table1[[#This Row],[quantity]],-Table1[[#This Row],[quantity]])</f>
        <v>-504</v>
      </c>
      <c r="O157" t="s">
        <v>171</v>
      </c>
      <c r="P157">
        <f>IF(Table1[[#This Row],[side]]="Sell",Table1[[#This Row],[price]],"0")</f>
        <v>2219.63</v>
      </c>
      <c r="Q157">
        <f>SUMIFS(Table1[quantity],Table1[company_id],Table8[[#This Row],[COMPANY_ID]],Table1[side],"BUY")-SUMIFS(Table1[quantity],Table1[company_id],Table8[[#This Row],[COMPANY_ID]],Table1[side],"SELL")</f>
        <v>0</v>
      </c>
      <c r="R157">
        <f>Table1[[#This Row],[Column2]]-Table1[[#This Row],[Buy-sell]]</f>
        <v>2219.63</v>
      </c>
      <c r="S157" t="str">
        <f>IF(Table1[[#This Row],[Sell-Buy]]&gt;0,"Profit","Loss")</f>
        <v>Profit</v>
      </c>
      <c r="T157" s="4" t="s">
        <v>410</v>
      </c>
      <c r="U157" s="8">
        <f>SUMIFS(Table1[price],Table1[order_id],Table15[[#This Row],[order_id]],Table1[side],"BUY")*Table15[[#This Row],[Buy_Quantity]]</f>
        <v>0</v>
      </c>
      <c r="V157" s="8">
        <f>SUMIFS(Table1[price],Table1[order_id],Table15[[#This Row],[order_id]],Table1[side],"SELL")</f>
        <v>2174.5700000000002</v>
      </c>
      <c r="W157" s="8">
        <f>Table15[[#This Row],[sell]]-Table15[[#This Row],[Buy]]</f>
        <v>1167744.0900000001</v>
      </c>
      <c r="X157" s="8">
        <f>IF(Table15[[#This Row],[Profit]]&gt;0,1,0)</f>
        <v>1</v>
      </c>
      <c r="Y157" s="5" t="str">
        <f>IF(Table15[[#This Row],[is Profit]]=1,"Profit","Loss")</f>
        <v>Profit</v>
      </c>
      <c r="Z157" s="5">
        <f>SUMIFS(Table1[quantity],Table1[order_id],Table15[[#This Row],[order_id]],Table1[side],"SELL")</f>
        <v>537</v>
      </c>
      <c r="AA157" s="5">
        <f>Table15[[#This Row],[Buy_value]]*Table15[[#This Row],[Buy_Quantity]]</f>
        <v>0</v>
      </c>
      <c r="AB157" s="5">
        <f>Table15[[#This Row],[Sell_Value]]*Table15[[#This Row],[Sell_Quantity]]</f>
        <v>1167744.0900000001</v>
      </c>
      <c r="AC157" s="5">
        <f>SUMIFS(Table1[quantity],Table1[order_id],Table15[[#This Row],[order_id]],Table1[side],"BUY")</f>
        <v>0</v>
      </c>
      <c r="AE157" s="10" t="s">
        <v>838</v>
      </c>
      <c r="AF157" s="10" t="str">
        <f>IF(Table1[[#This Row],[Sell-Buy]]&gt;0,"Profit","Loss")</f>
        <v>Profit</v>
      </c>
      <c r="AG157">
        <f>Table1[[#This Row],[Column2]]-Table1[[#This Row],[Buy-sell]]</f>
        <v>2219.63</v>
      </c>
    </row>
    <row r="158" spans="1:33" x14ac:dyDescent="0.3">
      <c r="A158" t="s">
        <v>900</v>
      </c>
      <c r="B158" t="s">
        <v>602</v>
      </c>
      <c r="C158" s="1">
        <v>45677.013194444444</v>
      </c>
      <c r="D158" t="s">
        <v>14</v>
      </c>
      <c r="E158" t="s">
        <v>171</v>
      </c>
      <c r="F158">
        <v>382</v>
      </c>
      <c r="G158">
        <v>2054.48</v>
      </c>
      <c r="H158">
        <v>392.41</v>
      </c>
      <c r="I158" t="s">
        <v>126</v>
      </c>
      <c r="J158" t="s">
        <v>73</v>
      </c>
      <c r="L158" s="1">
        <v>45818</v>
      </c>
      <c r="N158">
        <f>IF(Table1[[#This Row],[side]]="BUY", Table1[[#This Row],[quantity]],-Table1[[#This Row],[quantity]])</f>
        <v>-382</v>
      </c>
      <c r="O158" t="s">
        <v>171</v>
      </c>
      <c r="P158">
        <f>IF(Table1[[#This Row],[side]]="Sell",Table1[[#This Row],[price]],"0")</f>
        <v>2054.48</v>
      </c>
      <c r="Q158">
        <f>SUMIFS(Table1[quantity],Table1[company_id],Table8[[#This Row],[COMPANY_ID]],Table1[side],"BUY")-SUMIFS(Table1[quantity],Table1[company_id],Table8[[#This Row],[COMPANY_ID]],Table1[side],"SELL")</f>
        <v>0</v>
      </c>
      <c r="R158">
        <f>Table1[[#This Row],[Column2]]-Table1[[#This Row],[Buy-sell]]</f>
        <v>2054.48</v>
      </c>
      <c r="S158" t="str">
        <f>IF(Table1[[#This Row],[Sell-Buy]]&gt;0,"Profit","Loss")</f>
        <v>Profit</v>
      </c>
      <c r="T158" s="5" t="s">
        <v>412</v>
      </c>
      <c r="U158" s="8">
        <f>SUMIFS(Table1[price],Table1[order_id],Table15[[#This Row],[order_id]],Table1[side],"BUY")*Table15[[#This Row],[Buy_Quantity]]</f>
        <v>0</v>
      </c>
      <c r="V158" s="8">
        <f>SUMIFS(Table1[price],Table1[order_id],Table15[[#This Row],[order_id]],Table1[side],"SELL")</f>
        <v>227.17</v>
      </c>
      <c r="W158" s="8">
        <f>Table15[[#This Row],[sell]]-Table15[[#This Row],[Buy]]</f>
        <v>129486.9</v>
      </c>
      <c r="X158" s="8">
        <f>IF(Table15[[#This Row],[Profit]]&gt;0,1,0)</f>
        <v>1</v>
      </c>
      <c r="Y158" s="5" t="str">
        <f>IF(Table15[[#This Row],[is Profit]]=1,"Profit","Loss")</f>
        <v>Profit</v>
      </c>
      <c r="Z158" s="5">
        <f>SUMIFS(Table1[quantity],Table1[order_id],Table15[[#This Row],[order_id]],Table1[side],"SELL")</f>
        <v>570</v>
      </c>
      <c r="AA158" s="5">
        <f>Table15[[#This Row],[Buy_value]]*Table15[[#This Row],[Buy_Quantity]]</f>
        <v>0</v>
      </c>
      <c r="AB158" s="5">
        <f>Table15[[#This Row],[Sell_Value]]*Table15[[#This Row],[Sell_Quantity]]</f>
        <v>129486.9</v>
      </c>
      <c r="AC158" s="5">
        <f>SUMIFS(Table1[quantity],Table1[order_id],Table15[[#This Row],[order_id]],Table1[side],"BUY")</f>
        <v>0</v>
      </c>
      <c r="AE158" s="9" t="s">
        <v>712</v>
      </c>
      <c r="AF158" s="10" t="str">
        <f>IF(Table1[[#This Row],[Sell-Buy]]&gt;0,"Profit","Loss")</f>
        <v>Profit</v>
      </c>
      <c r="AG158">
        <f>Table1[[#This Row],[Column2]]-Table1[[#This Row],[Buy-sell]]</f>
        <v>2054.48</v>
      </c>
    </row>
    <row r="159" spans="1:33" x14ac:dyDescent="0.3">
      <c r="A159" t="s">
        <v>923</v>
      </c>
      <c r="B159" t="s">
        <v>420</v>
      </c>
      <c r="C159" s="1">
        <v>45754.040277777778</v>
      </c>
      <c r="D159" t="s">
        <v>14</v>
      </c>
      <c r="E159" t="s">
        <v>171</v>
      </c>
      <c r="F159">
        <v>936</v>
      </c>
      <c r="G159">
        <v>2196.27</v>
      </c>
      <c r="H159">
        <v>1027.8499999999999</v>
      </c>
      <c r="I159" t="s">
        <v>106</v>
      </c>
      <c r="J159" t="s">
        <v>52</v>
      </c>
      <c r="L159" s="1">
        <v>45755</v>
      </c>
      <c r="N159">
        <f>IF(Table1[[#This Row],[side]]="BUY", Table1[[#This Row],[quantity]],-Table1[[#This Row],[quantity]])</f>
        <v>-936</v>
      </c>
      <c r="O159" t="s">
        <v>171</v>
      </c>
      <c r="P159">
        <f>IF(Table1[[#This Row],[side]]="Sell",Table1[[#This Row],[price]],"0")</f>
        <v>2196.27</v>
      </c>
      <c r="Q159">
        <f>SUMIFS(Table1[quantity],Table1[company_id],Table8[[#This Row],[COMPANY_ID]],Table1[side],"BUY")-SUMIFS(Table1[quantity],Table1[company_id],Table8[[#This Row],[COMPANY_ID]],Table1[side],"SELL")</f>
        <v>0</v>
      </c>
      <c r="R159">
        <f>Table1[[#This Row],[Column2]]-Table1[[#This Row],[Buy-sell]]</f>
        <v>2196.27</v>
      </c>
      <c r="S159" t="str">
        <f>IF(Table1[[#This Row],[Sell-Buy]]&gt;0,"Profit","Loss")</f>
        <v>Profit</v>
      </c>
      <c r="T159" s="4" t="s">
        <v>414</v>
      </c>
      <c r="U159" s="8">
        <f>SUMIFS(Table1[price],Table1[order_id],Table15[[#This Row],[order_id]],Table1[side],"BUY")*Table15[[#This Row],[Buy_Quantity]]</f>
        <v>210302.12</v>
      </c>
      <c r="V159" s="8">
        <f>SUMIFS(Table1[price],Table1[order_id],Table15[[#This Row],[order_id]],Table1[side],"SELL")</f>
        <v>0</v>
      </c>
      <c r="W159" s="8">
        <f>Table15[[#This Row],[sell]]-Table15[[#This Row],[Buy]]</f>
        <v>-60356708.439999998</v>
      </c>
      <c r="X159" s="8">
        <f>IF(Table15[[#This Row],[Profit]]&gt;0,1,0)</f>
        <v>0</v>
      </c>
      <c r="Y159" s="5" t="str">
        <f>IF(Table15[[#This Row],[is Profit]]=1,"Profit","Loss")</f>
        <v>Loss</v>
      </c>
      <c r="Z159" s="5">
        <f>SUMIFS(Table1[quantity],Table1[order_id],Table15[[#This Row],[order_id]],Table1[side],"SELL")</f>
        <v>0</v>
      </c>
      <c r="AA159" s="5">
        <f>Table15[[#This Row],[Buy_value]]*Table15[[#This Row],[Buy_Quantity]]</f>
        <v>60356708.439999998</v>
      </c>
      <c r="AB159" s="5">
        <f>Table15[[#This Row],[Sell_Value]]*Table15[[#This Row],[Sell_Quantity]]</f>
        <v>0</v>
      </c>
      <c r="AC159" s="5">
        <f>SUMIFS(Table1[quantity],Table1[order_id],Table15[[#This Row],[order_id]],Table1[side],"BUY")</f>
        <v>287</v>
      </c>
      <c r="AE159" s="10" t="s">
        <v>955</v>
      </c>
      <c r="AF159" s="10" t="str">
        <f>IF(Table1[[#This Row],[Sell-Buy]]&gt;0,"Profit","Loss")</f>
        <v>Profit</v>
      </c>
      <c r="AG159">
        <f>Table1[[#This Row],[Column2]]-Table1[[#This Row],[Buy-sell]]</f>
        <v>2196.27</v>
      </c>
    </row>
    <row r="160" spans="1:33" x14ac:dyDescent="0.3">
      <c r="A160" t="s">
        <v>925</v>
      </c>
      <c r="B160" t="s">
        <v>377</v>
      </c>
      <c r="C160" s="1">
        <v>45751.002083333333</v>
      </c>
      <c r="D160" t="s">
        <v>14</v>
      </c>
      <c r="E160" t="s">
        <v>171</v>
      </c>
      <c r="F160">
        <v>546</v>
      </c>
      <c r="G160">
        <v>2246.29</v>
      </c>
      <c r="H160">
        <v>613.24</v>
      </c>
      <c r="I160" t="s">
        <v>106</v>
      </c>
      <c r="J160" t="s">
        <v>76</v>
      </c>
      <c r="L160" s="1">
        <v>45700</v>
      </c>
      <c r="N160">
        <f>IF(Table1[[#This Row],[side]]="BUY", Table1[[#This Row],[quantity]],-Table1[[#This Row],[quantity]])</f>
        <v>-546</v>
      </c>
      <c r="O160" t="s">
        <v>171</v>
      </c>
      <c r="P160">
        <f>IF(Table1[[#This Row],[side]]="Sell",Table1[[#This Row],[price]],"0")</f>
        <v>2246.29</v>
      </c>
      <c r="Q160">
        <f>SUMIFS(Table1[quantity],Table1[company_id],Table8[[#This Row],[COMPANY_ID]],Table1[side],"BUY")-SUMIFS(Table1[quantity],Table1[company_id],Table8[[#This Row],[COMPANY_ID]],Table1[side],"SELL")</f>
        <v>0</v>
      </c>
      <c r="R160">
        <f>Table1[[#This Row],[Column2]]-Table1[[#This Row],[Buy-sell]]</f>
        <v>2246.29</v>
      </c>
      <c r="S160" t="str">
        <f>IF(Table1[[#This Row],[Sell-Buy]]&gt;0,"Profit","Loss")</f>
        <v>Profit</v>
      </c>
      <c r="T160" s="5" t="s">
        <v>415</v>
      </c>
      <c r="U160" s="8">
        <f>SUMIFS(Table1[price],Table1[order_id],Table15[[#This Row],[order_id]],Table1[side],"BUY")*Table15[[#This Row],[Buy_Quantity]]</f>
        <v>893936.16</v>
      </c>
      <c r="V160" s="8">
        <f>SUMIFS(Table1[price],Table1[order_id],Table15[[#This Row],[order_id]],Table1[side],"SELL")</f>
        <v>0</v>
      </c>
      <c r="W160" s="8">
        <f>Table15[[#This Row],[sell]]-Table15[[#This Row],[Buy]]</f>
        <v>-615922014.24000001</v>
      </c>
      <c r="X160" s="8">
        <f>IF(Table15[[#This Row],[Profit]]&gt;0,1,0)</f>
        <v>0</v>
      </c>
      <c r="Y160" s="5" t="str">
        <f>IF(Table15[[#This Row],[is Profit]]=1,"Profit","Loss")</f>
        <v>Loss</v>
      </c>
      <c r="Z160" s="5">
        <f>SUMIFS(Table1[quantity],Table1[order_id],Table15[[#This Row],[order_id]],Table1[side],"SELL")</f>
        <v>0</v>
      </c>
      <c r="AA160" s="5">
        <f>Table15[[#This Row],[Buy_value]]*Table15[[#This Row],[Buy_Quantity]]</f>
        <v>615922014.24000001</v>
      </c>
      <c r="AB160" s="5">
        <f>Table15[[#This Row],[Sell_Value]]*Table15[[#This Row],[Sell_Quantity]]</f>
        <v>0</v>
      </c>
      <c r="AC160" s="5">
        <f>SUMIFS(Table1[quantity],Table1[order_id],Table15[[#This Row],[order_id]],Table1[side],"BUY")</f>
        <v>689</v>
      </c>
      <c r="AE160" s="9" t="s">
        <v>888</v>
      </c>
      <c r="AF160" s="10" t="str">
        <f>IF(Table1[[#This Row],[Sell-Buy]]&gt;0,"Profit","Loss")</f>
        <v>Profit</v>
      </c>
      <c r="AG160">
        <f>Table1[[#This Row],[Column2]]-Table1[[#This Row],[Buy-sell]]</f>
        <v>2246.29</v>
      </c>
    </row>
    <row r="161" spans="1:33" x14ac:dyDescent="0.3">
      <c r="A161" t="s">
        <v>934</v>
      </c>
      <c r="B161" t="s">
        <v>377</v>
      </c>
      <c r="C161" s="1">
        <v>45820.011805555558</v>
      </c>
      <c r="D161" t="s">
        <v>14</v>
      </c>
      <c r="E161" t="s">
        <v>171</v>
      </c>
      <c r="F161">
        <v>974</v>
      </c>
      <c r="G161">
        <v>2132.7600000000002</v>
      </c>
      <c r="H161">
        <v>1038.6500000000001</v>
      </c>
      <c r="I161" t="s">
        <v>100</v>
      </c>
      <c r="J161" t="s">
        <v>67</v>
      </c>
      <c r="L161" s="1">
        <v>45727</v>
      </c>
      <c r="N161">
        <f>IF(Table1[[#This Row],[side]]="BUY", Table1[[#This Row],[quantity]],-Table1[[#This Row],[quantity]])</f>
        <v>-974</v>
      </c>
      <c r="O161" t="s">
        <v>171</v>
      </c>
      <c r="P161">
        <f>IF(Table1[[#This Row],[side]]="Sell",Table1[[#This Row],[price]],"0")</f>
        <v>2132.7600000000002</v>
      </c>
      <c r="Q161">
        <f>SUMIFS(Table1[quantity],Table1[company_id],Table8[[#This Row],[COMPANY_ID]],Table1[side],"BUY")-SUMIFS(Table1[quantity],Table1[company_id],Table8[[#This Row],[COMPANY_ID]],Table1[side],"SELL")</f>
        <v>0</v>
      </c>
      <c r="R161">
        <f>Table1[[#This Row],[Column2]]-Table1[[#This Row],[Buy-sell]]</f>
        <v>2132.7600000000002</v>
      </c>
      <c r="S161" t="str">
        <f>IF(Table1[[#This Row],[Sell-Buy]]&gt;0,"Profit","Loss")</f>
        <v>Profit</v>
      </c>
      <c r="T161" s="5" t="s">
        <v>417</v>
      </c>
      <c r="U161" s="8">
        <f>SUMIFS(Table1[price],Table1[order_id],Table15[[#This Row],[order_id]],Table1[side],"BUY")*Table15[[#This Row],[Buy_Quantity]]</f>
        <v>1480821.3199999998</v>
      </c>
      <c r="V161" s="8">
        <f>SUMIFS(Table1[price],Table1[order_id],Table15[[#This Row],[order_id]],Table1[side],"SELL")</f>
        <v>0</v>
      </c>
      <c r="W161" s="8">
        <f>Table15[[#This Row],[sell]]-Table15[[#This Row],[Buy]]</f>
        <v>-916628397.07999992</v>
      </c>
      <c r="X161" s="8">
        <f>IF(Table15[[#This Row],[Profit]]&gt;0,1,0)</f>
        <v>0</v>
      </c>
      <c r="Y161" s="5" t="str">
        <f>IF(Table15[[#This Row],[is Profit]]=1,"Profit","Loss")</f>
        <v>Loss</v>
      </c>
      <c r="Z161" s="5">
        <f>SUMIFS(Table1[quantity],Table1[order_id],Table15[[#This Row],[order_id]],Table1[side],"SELL")</f>
        <v>0</v>
      </c>
      <c r="AA161" s="5">
        <f>Table15[[#This Row],[Buy_value]]*Table15[[#This Row],[Buy_Quantity]]</f>
        <v>916628397.07999992</v>
      </c>
      <c r="AB161" s="5">
        <f>Table15[[#This Row],[Sell_Value]]*Table15[[#This Row],[Sell_Quantity]]</f>
        <v>0</v>
      </c>
      <c r="AC161" s="5">
        <f>SUMIFS(Table1[quantity],Table1[order_id],Table15[[#This Row],[order_id]],Table1[side],"BUY")</f>
        <v>619</v>
      </c>
      <c r="AE161" s="10" t="s">
        <v>694</v>
      </c>
      <c r="AF161" s="10" t="str">
        <f>IF(Table1[[#This Row],[Sell-Buy]]&gt;0,"Profit","Loss")</f>
        <v>Profit</v>
      </c>
      <c r="AG161">
        <f>Table1[[#This Row],[Column2]]-Table1[[#This Row],[Buy-sell]]</f>
        <v>2132.7600000000002</v>
      </c>
    </row>
    <row r="162" spans="1:33" x14ac:dyDescent="0.3">
      <c r="A162" t="s">
        <v>939</v>
      </c>
      <c r="B162" t="s">
        <v>465</v>
      </c>
      <c r="C162" s="1">
        <v>45670.01458333333</v>
      </c>
      <c r="D162" t="s">
        <v>14</v>
      </c>
      <c r="E162" t="s">
        <v>171</v>
      </c>
      <c r="F162">
        <v>88</v>
      </c>
      <c r="G162">
        <v>1994.02</v>
      </c>
      <c r="H162">
        <v>87.74</v>
      </c>
      <c r="I162" t="s">
        <v>144</v>
      </c>
      <c r="J162" t="s">
        <v>70</v>
      </c>
      <c r="L162" s="1">
        <v>45747</v>
      </c>
      <c r="N162">
        <f>IF(Table1[[#This Row],[side]]="BUY", Table1[[#This Row],[quantity]],-Table1[[#This Row],[quantity]])</f>
        <v>-88</v>
      </c>
      <c r="O162" t="s">
        <v>171</v>
      </c>
      <c r="P162">
        <f>IF(Table1[[#This Row],[side]]="Sell",Table1[[#This Row],[price]],"0")</f>
        <v>1994.02</v>
      </c>
      <c r="Q162">
        <f>SUMIFS(Table1[quantity],Table1[company_id],Table8[[#This Row],[COMPANY_ID]],Table1[side],"BUY")-SUMIFS(Table1[quantity],Table1[company_id],Table8[[#This Row],[COMPANY_ID]],Table1[side],"SELL")</f>
        <v>0</v>
      </c>
      <c r="R162">
        <f>Table1[[#This Row],[Column2]]-Table1[[#This Row],[Buy-sell]]</f>
        <v>1994.02</v>
      </c>
      <c r="S162" t="str">
        <f>IF(Table1[[#This Row],[Sell-Buy]]&gt;0,"Profit","Loss")</f>
        <v>Profit</v>
      </c>
      <c r="T162" s="4" t="s">
        <v>420</v>
      </c>
      <c r="U162" s="8">
        <f>SUMIFS(Table1[price],Table1[order_id],Table15[[#This Row],[order_id]],Table1[side],"BUY")*Table15[[#This Row],[Buy_Quantity]]</f>
        <v>0</v>
      </c>
      <c r="V162" s="8">
        <f>SUMIFS(Table1[price],Table1[order_id],Table15[[#This Row],[order_id]],Table1[side],"SELL")</f>
        <v>3054.11</v>
      </c>
      <c r="W162" s="8">
        <f>Table15[[#This Row],[sell]]-Table15[[#This Row],[Buy]]</f>
        <v>5784484.3399999999</v>
      </c>
      <c r="X162" s="8">
        <f>IF(Table15[[#This Row],[Profit]]&gt;0,1,0)</f>
        <v>1</v>
      </c>
      <c r="Y162" s="5" t="str">
        <f>IF(Table15[[#This Row],[is Profit]]=1,"Profit","Loss")</f>
        <v>Profit</v>
      </c>
      <c r="Z162" s="5">
        <f>SUMIFS(Table1[quantity],Table1[order_id],Table15[[#This Row],[order_id]],Table1[side],"SELL")</f>
        <v>1894</v>
      </c>
      <c r="AA162" s="5">
        <f>Table15[[#This Row],[Buy_value]]*Table15[[#This Row],[Buy_Quantity]]</f>
        <v>0</v>
      </c>
      <c r="AB162" s="5">
        <f>Table15[[#This Row],[Sell_Value]]*Table15[[#This Row],[Sell_Quantity]]</f>
        <v>5784484.3399999999</v>
      </c>
      <c r="AC162" s="5">
        <f>SUMIFS(Table1[quantity],Table1[order_id],Table15[[#This Row],[order_id]],Table1[side],"BUY")</f>
        <v>0</v>
      </c>
      <c r="AE162" s="9" t="s">
        <v>889</v>
      </c>
      <c r="AF162" s="10" t="str">
        <f>IF(Table1[[#This Row],[Sell-Buy]]&gt;0,"Profit","Loss")</f>
        <v>Profit</v>
      </c>
      <c r="AG162">
        <f>Table1[[#This Row],[Column2]]-Table1[[#This Row],[Buy-sell]]</f>
        <v>1994.02</v>
      </c>
    </row>
    <row r="163" spans="1:33" x14ac:dyDescent="0.3">
      <c r="A163" t="s">
        <v>951</v>
      </c>
      <c r="B163" t="s">
        <v>254</v>
      </c>
      <c r="C163" s="1">
        <v>45826.031944444447</v>
      </c>
      <c r="D163" t="s">
        <v>14</v>
      </c>
      <c r="E163" t="s">
        <v>166</v>
      </c>
      <c r="F163">
        <v>937</v>
      </c>
      <c r="G163">
        <v>2139.87</v>
      </c>
      <c r="H163">
        <v>1002.53</v>
      </c>
      <c r="I163" t="s">
        <v>144</v>
      </c>
      <c r="J163" t="s">
        <v>64</v>
      </c>
      <c r="L163" s="1">
        <v>45763</v>
      </c>
      <c r="M163" t="s">
        <v>166</v>
      </c>
      <c r="N163">
        <f>IF(Table1[[#This Row],[side]]="BUY", Table1[[#This Row],[quantity]],-Table1[[#This Row],[quantity]])</f>
        <v>937</v>
      </c>
      <c r="P163" t="str">
        <f>IF(Table1[[#This Row],[side]]="Sell",Table1[[#This Row],[price]],"0")</f>
        <v>0</v>
      </c>
      <c r="Q163">
        <f>SUMIFS(Table1[quantity],Table1[company_id],Table8[[#This Row],[COMPANY_ID]],Table1[side],"BUY")-SUMIFS(Table1[quantity],Table1[company_id],Table8[[#This Row],[COMPANY_ID]],Table1[side],"SELL")</f>
        <v>0</v>
      </c>
      <c r="R163">
        <f>Table1[[#This Row],[Column2]]-Table1[[#This Row],[Buy-sell]]</f>
        <v>0</v>
      </c>
      <c r="S163" t="str">
        <f>IF(Table1[[#This Row],[Sell-Buy]]&gt;0,"Profit","Loss")</f>
        <v>Loss</v>
      </c>
      <c r="T163" s="4" t="s">
        <v>421</v>
      </c>
      <c r="U163" s="8">
        <f>SUMIFS(Table1[price],Table1[order_id],Table15[[#This Row],[order_id]],Table1[side],"BUY")*Table15[[#This Row],[Buy_Quantity]]</f>
        <v>1295701.92</v>
      </c>
      <c r="V163" s="8">
        <f>SUMIFS(Table1[price],Table1[order_id],Table15[[#This Row],[order_id]],Table1[side],"SELL")</f>
        <v>0</v>
      </c>
      <c r="W163" s="8">
        <f>Table15[[#This Row],[sell]]-Table15[[#This Row],[Buy]]</f>
        <v>-839614844.15999997</v>
      </c>
      <c r="X163" s="8">
        <f>IF(Table15[[#This Row],[Profit]]&gt;0,1,0)</f>
        <v>0</v>
      </c>
      <c r="Y163" s="5" t="str">
        <f>IF(Table15[[#This Row],[is Profit]]=1,"Profit","Loss")</f>
        <v>Loss</v>
      </c>
      <c r="Z163" s="5">
        <f>SUMIFS(Table1[quantity],Table1[order_id],Table15[[#This Row],[order_id]],Table1[side],"SELL")</f>
        <v>0</v>
      </c>
      <c r="AA163" s="5">
        <f>Table15[[#This Row],[Buy_value]]*Table15[[#This Row],[Buy_Quantity]]</f>
        <v>839614844.15999997</v>
      </c>
      <c r="AB163" s="5">
        <f>Table15[[#This Row],[Sell_Value]]*Table15[[#This Row],[Sell_Quantity]]</f>
        <v>0</v>
      </c>
      <c r="AC163" s="5">
        <f>SUMIFS(Table1[quantity],Table1[order_id],Table15[[#This Row],[order_id]],Table1[side],"BUY")</f>
        <v>648</v>
      </c>
      <c r="AE163" s="10" t="s">
        <v>689</v>
      </c>
      <c r="AF163" s="10" t="str">
        <f>IF(Table1[[#This Row],[Sell-Buy]]&gt;0,"Profit","Loss")</f>
        <v>Loss</v>
      </c>
      <c r="AG163">
        <f>Table1[[#This Row],[Column2]]-Table1[[#This Row],[Buy-sell]]</f>
        <v>0</v>
      </c>
    </row>
    <row r="164" spans="1:33" x14ac:dyDescent="0.3">
      <c r="A164" t="s">
        <v>956</v>
      </c>
      <c r="B164" t="s">
        <v>358</v>
      </c>
      <c r="C164" s="1">
        <v>45835.029861111114</v>
      </c>
      <c r="D164" t="s">
        <v>14</v>
      </c>
      <c r="E164" t="s">
        <v>166</v>
      </c>
      <c r="F164">
        <v>699</v>
      </c>
      <c r="G164">
        <v>2242.79</v>
      </c>
      <c r="H164">
        <v>783.86</v>
      </c>
      <c r="I164" t="s">
        <v>148</v>
      </c>
      <c r="J164" t="s">
        <v>70</v>
      </c>
      <c r="L164" s="1">
        <v>45827</v>
      </c>
      <c r="M164" t="s">
        <v>166</v>
      </c>
      <c r="N164">
        <f>IF(Table1[[#This Row],[side]]="BUY", Table1[[#This Row],[quantity]],-Table1[[#This Row],[quantity]])</f>
        <v>699</v>
      </c>
      <c r="P164" t="str">
        <f>IF(Table1[[#This Row],[side]]="Sell",Table1[[#This Row],[price]],"0")</f>
        <v>0</v>
      </c>
      <c r="Q164">
        <f>SUMIFS(Table1[quantity],Table1[company_id],Table8[[#This Row],[COMPANY_ID]],Table1[side],"BUY")-SUMIFS(Table1[quantity],Table1[company_id],Table8[[#This Row],[COMPANY_ID]],Table1[side],"SELL")</f>
        <v>0</v>
      </c>
      <c r="R164">
        <f>Table1[[#This Row],[Column2]]-Table1[[#This Row],[Buy-sell]]</f>
        <v>0</v>
      </c>
      <c r="S164" t="str">
        <f>IF(Table1[[#This Row],[Sell-Buy]]&gt;0,"Profit","Loss")</f>
        <v>Loss</v>
      </c>
      <c r="T164" s="5" t="s">
        <v>422</v>
      </c>
      <c r="U164" s="8">
        <f>SUMIFS(Table1[price],Table1[order_id],Table15[[#This Row],[order_id]],Table1[side],"BUY")*Table15[[#This Row],[Buy_Quantity]]</f>
        <v>44333.46</v>
      </c>
      <c r="V164" s="8">
        <f>SUMIFS(Table1[price],Table1[order_id],Table15[[#This Row],[order_id]],Table1[side],"SELL")</f>
        <v>596.24</v>
      </c>
      <c r="W164" s="8">
        <f>Table15[[#This Row],[sell]]-Table15[[#This Row],[Buy]]</f>
        <v>-2318919.46</v>
      </c>
      <c r="X164" s="8">
        <f>IF(Table15[[#This Row],[Profit]]&gt;0,1,0)</f>
        <v>0</v>
      </c>
      <c r="Y164" s="5" t="str">
        <f>IF(Table15[[#This Row],[is Profit]]=1,"Profit","Loss")</f>
        <v>Loss</v>
      </c>
      <c r="Z164" s="5">
        <f>SUMIFS(Table1[quantity],Table1[order_id],Table15[[#This Row],[order_id]],Table1[side],"SELL")</f>
        <v>349</v>
      </c>
      <c r="AA164" s="5">
        <f>Table15[[#This Row],[Buy_value]]*Table15[[#This Row],[Buy_Quantity]]</f>
        <v>2527007.2199999997</v>
      </c>
      <c r="AB164" s="5">
        <f>Table15[[#This Row],[Sell_Value]]*Table15[[#This Row],[Sell_Quantity]]</f>
        <v>208087.76</v>
      </c>
      <c r="AC164" s="5">
        <f>SUMIFS(Table1[quantity],Table1[order_id],Table15[[#This Row],[order_id]],Table1[side],"BUY")</f>
        <v>57</v>
      </c>
      <c r="AE164" s="9" t="s">
        <v>1042</v>
      </c>
      <c r="AF164" s="10" t="str">
        <f>IF(Table1[[#This Row],[Sell-Buy]]&gt;0,"Profit","Loss")</f>
        <v>Loss</v>
      </c>
      <c r="AG164">
        <f>Table1[[#This Row],[Column2]]-Table1[[#This Row],[Buy-sell]]</f>
        <v>0</v>
      </c>
    </row>
    <row r="165" spans="1:33" x14ac:dyDescent="0.3">
      <c r="A165" t="s">
        <v>958</v>
      </c>
      <c r="B165" t="s">
        <v>410</v>
      </c>
      <c r="C165" s="1">
        <v>45734.027083333334</v>
      </c>
      <c r="D165" t="s">
        <v>14</v>
      </c>
      <c r="E165" t="s">
        <v>171</v>
      </c>
      <c r="F165">
        <v>537</v>
      </c>
      <c r="G165">
        <v>2174.5700000000002</v>
      </c>
      <c r="H165">
        <v>583.87</v>
      </c>
      <c r="I165" t="s">
        <v>128</v>
      </c>
      <c r="J165" t="s">
        <v>64</v>
      </c>
      <c r="L165" s="1">
        <v>45702</v>
      </c>
      <c r="N165">
        <f>IF(Table1[[#This Row],[side]]="BUY", Table1[[#This Row],[quantity]],-Table1[[#This Row],[quantity]])</f>
        <v>-537</v>
      </c>
      <c r="O165" t="s">
        <v>171</v>
      </c>
      <c r="P165">
        <f>IF(Table1[[#This Row],[side]]="Sell",Table1[[#This Row],[price]],"0")</f>
        <v>2174.5700000000002</v>
      </c>
      <c r="Q165">
        <f>SUMIFS(Table1[quantity],Table1[company_id],Table8[[#This Row],[COMPANY_ID]],Table1[side],"BUY")-SUMIFS(Table1[quantity],Table1[company_id],Table8[[#This Row],[COMPANY_ID]],Table1[side],"SELL")</f>
        <v>0</v>
      </c>
      <c r="R165">
        <f>Table1[[#This Row],[Column2]]-Table1[[#This Row],[Buy-sell]]</f>
        <v>2174.5700000000002</v>
      </c>
      <c r="S165" t="str">
        <f>IF(Table1[[#This Row],[Sell-Buy]]&gt;0,"Profit","Loss")</f>
        <v>Profit</v>
      </c>
      <c r="T165" s="4" t="s">
        <v>423</v>
      </c>
      <c r="U165" s="8">
        <f>SUMIFS(Table1[price],Table1[order_id],Table15[[#This Row],[order_id]],Table1[side],"BUY")*Table15[[#This Row],[Buy_Quantity]]</f>
        <v>630176.6399999999</v>
      </c>
      <c r="V165" s="8">
        <f>SUMIFS(Table1[price],Table1[order_id],Table15[[#This Row],[order_id]],Table1[side],"SELL")</f>
        <v>2148.14</v>
      </c>
      <c r="W165" s="8">
        <f>Table15[[#This Row],[sell]]-Table15[[#This Row],[Buy]]</f>
        <v>-593838455.83999979</v>
      </c>
      <c r="X165" s="8">
        <f>IF(Table15[[#This Row],[Profit]]&gt;0,1,0)</f>
        <v>0</v>
      </c>
      <c r="Y165" s="5" t="str">
        <f>IF(Table15[[#This Row],[is Profit]]=1,"Profit","Loss")</f>
        <v>Loss</v>
      </c>
      <c r="Z165" s="5">
        <f>SUMIFS(Table1[quantity],Table1[order_id],Table15[[#This Row],[order_id]],Table1[side],"SELL")</f>
        <v>488</v>
      </c>
      <c r="AA165" s="5">
        <f>Table15[[#This Row],[Buy_value]]*Table15[[#This Row],[Buy_Quantity]]</f>
        <v>594886748.15999985</v>
      </c>
      <c r="AB165" s="5">
        <f>Table15[[#This Row],[Sell_Value]]*Table15[[#This Row],[Sell_Quantity]]</f>
        <v>1048292.32</v>
      </c>
      <c r="AC165" s="5">
        <f>SUMIFS(Table1[quantity],Table1[order_id],Table15[[#This Row],[order_id]],Table1[side],"BUY")</f>
        <v>944</v>
      </c>
      <c r="AE165" s="10" t="s">
        <v>738</v>
      </c>
      <c r="AF165" s="10" t="str">
        <f>IF(Table1[[#This Row],[Sell-Buy]]&gt;0,"Profit","Loss")</f>
        <v>Profit</v>
      </c>
      <c r="AG165">
        <f>Table1[[#This Row],[Column2]]-Table1[[#This Row],[Buy-sell]]</f>
        <v>2174.5700000000002</v>
      </c>
    </row>
    <row r="166" spans="1:33" x14ac:dyDescent="0.3">
      <c r="A166" t="s">
        <v>961</v>
      </c>
      <c r="B166" t="s">
        <v>232</v>
      </c>
      <c r="C166" s="1">
        <v>45680.031944444447</v>
      </c>
      <c r="D166" t="s">
        <v>14</v>
      </c>
      <c r="E166" t="s">
        <v>166</v>
      </c>
      <c r="F166">
        <v>540</v>
      </c>
      <c r="G166">
        <v>2044.13</v>
      </c>
      <c r="H166">
        <v>551.91999999999996</v>
      </c>
      <c r="I166" t="s">
        <v>108</v>
      </c>
      <c r="J166" t="s">
        <v>52</v>
      </c>
      <c r="L166" s="1">
        <v>45721</v>
      </c>
      <c r="M166" t="s">
        <v>166</v>
      </c>
      <c r="N166">
        <f>IF(Table1[[#This Row],[side]]="BUY", Table1[[#This Row],[quantity]],-Table1[[#This Row],[quantity]])</f>
        <v>540</v>
      </c>
      <c r="P166" t="str">
        <f>IF(Table1[[#This Row],[side]]="Sell",Table1[[#This Row],[price]],"0")</f>
        <v>0</v>
      </c>
      <c r="Q166">
        <f>SUMIFS(Table1[quantity],Table1[company_id],Table8[[#This Row],[COMPANY_ID]],Table1[side],"BUY")-SUMIFS(Table1[quantity],Table1[company_id],Table8[[#This Row],[COMPANY_ID]],Table1[side],"SELL")</f>
        <v>0</v>
      </c>
      <c r="R166">
        <f>Table1[[#This Row],[Column2]]-Table1[[#This Row],[Buy-sell]]</f>
        <v>0</v>
      </c>
      <c r="S166" t="str">
        <f>IF(Table1[[#This Row],[Sell-Buy]]&gt;0,"Profit","Loss")</f>
        <v>Loss</v>
      </c>
      <c r="T166" s="5" t="s">
        <v>424</v>
      </c>
      <c r="U166" s="8">
        <f>SUMIFS(Table1[price],Table1[order_id],Table15[[#This Row],[order_id]],Table1[side],"BUY")*Table15[[#This Row],[Buy_Quantity]]</f>
        <v>1521086.5999999996</v>
      </c>
      <c r="V166" s="8">
        <f>SUMIFS(Table1[price],Table1[order_id],Table15[[#This Row],[order_id]],Table1[side],"SELL")</f>
        <v>0</v>
      </c>
      <c r="W166" s="8">
        <f>Table15[[#This Row],[sell]]-Table15[[#This Row],[Buy]]</f>
        <v>-1539339639.1999996</v>
      </c>
      <c r="X166" s="8">
        <f>IF(Table15[[#This Row],[Profit]]&gt;0,1,0)</f>
        <v>0</v>
      </c>
      <c r="Y166" s="5" t="str">
        <f>IF(Table15[[#This Row],[is Profit]]=1,"Profit","Loss")</f>
        <v>Loss</v>
      </c>
      <c r="Z166" s="5">
        <f>SUMIFS(Table1[quantity],Table1[order_id],Table15[[#This Row],[order_id]],Table1[side],"SELL")</f>
        <v>0</v>
      </c>
      <c r="AA166" s="5">
        <f>Table15[[#This Row],[Buy_value]]*Table15[[#This Row],[Buy_Quantity]]</f>
        <v>1539339639.1999996</v>
      </c>
      <c r="AB166" s="5">
        <f>Table15[[#This Row],[Sell_Value]]*Table15[[#This Row],[Sell_Quantity]]</f>
        <v>0</v>
      </c>
      <c r="AC166" s="5">
        <f>SUMIFS(Table1[quantity],Table1[order_id],Table15[[#This Row],[order_id]],Table1[side],"BUY")</f>
        <v>1012</v>
      </c>
      <c r="AE166" s="9" t="s">
        <v>1004</v>
      </c>
      <c r="AF166" s="10" t="str">
        <f>IF(Table1[[#This Row],[Sell-Buy]]&gt;0,"Profit","Loss")</f>
        <v>Loss</v>
      </c>
      <c r="AG166">
        <f>Table1[[#This Row],[Column2]]-Table1[[#This Row],[Buy-sell]]</f>
        <v>0</v>
      </c>
    </row>
    <row r="167" spans="1:33" x14ac:dyDescent="0.3">
      <c r="A167" t="s">
        <v>966</v>
      </c>
      <c r="B167" t="s">
        <v>221</v>
      </c>
      <c r="C167" s="1">
        <v>45693.018055555556</v>
      </c>
      <c r="D167" t="s">
        <v>14</v>
      </c>
      <c r="E167" t="s">
        <v>171</v>
      </c>
      <c r="F167">
        <v>130</v>
      </c>
      <c r="G167">
        <v>2172.5700000000002</v>
      </c>
      <c r="H167">
        <v>141.22</v>
      </c>
      <c r="I167" t="s">
        <v>128</v>
      </c>
      <c r="J167" t="s">
        <v>73</v>
      </c>
      <c r="L167" s="1">
        <v>45715</v>
      </c>
      <c r="N167">
        <f>IF(Table1[[#This Row],[side]]="BUY", Table1[[#This Row],[quantity]],-Table1[[#This Row],[quantity]])</f>
        <v>-130</v>
      </c>
      <c r="O167" t="s">
        <v>171</v>
      </c>
      <c r="P167">
        <f>IF(Table1[[#This Row],[side]]="Sell",Table1[[#This Row],[price]],"0")</f>
        <v>2172.5700000000002</v>
      </c>
      <c r="Q167">
        <f>SUMIFS(Table1[quantity],Table1[company_id],Table8[[#This Row],[COMPANY_ID]],Table1[side],"BUY")-SUMIFS(Table1[quantity],Table1[company_id],Table8[[#This Row],[COMPANY_ID]],Table1[side],"SELL")</f>
        <v>0</v>
      </c>
      <c r="R167">
        <f>Table1[[#This Row],[Column2]]-Table1[[#This Row],[Buy-sell]]</f>
        <v>2172.5700000000002</v>
      </c>
      <c r="S167" t="str">
        <f>IF(Table1[[#This Row],[Sell-Buy]]&gt;0,"Profit","Loss")</f>
        <v>Profit</v>
      </c>
      <c r="T167" s="4" t="s">
        <v>425</v>
      </c>
      <c r="U167" s="8">
        <f>SUMIFS(Table1[price],Table1[order_id],Table15[[#This Row],[order_id]],Table1[side],"BUY")*Table15[[#This Row],[Buy_Quantity]]</f>
        <v>0</v>
      </c>
      <c r="V167" s="8">
        <f>SUMIFS(Table1[price],Table1[order_id],Table15[[#This Row],[order_id]],Table1[side],"SELL")</f>
        <v>238.22</v>
      </c>
      <c r="W167" s="8">
        <f>Table15[[#This Row],[sell]]-Table15[[#This Row],[Buy]]</f>
        <v>120777.54</v>
      </c>
      <c r="X167" s="8">
        <f>IF(Table15[[#This Row],[Profit]]&gt;0,1,0)</f>
        <v>1</v>
      </c>
      <c r="Y167" s="5" t="str">
        <f>IF(Table15[[#This Row],[is Profit]]=1,"Profit","Loss")</f>
        <v>Profit</v>
      </c>
      <c r="Z167" s="5">
        <f>SUMIFS(Table1[quantity],Table1[order_id],Table15[[#This Row],[order_id]],Table1[side],"SELL")</f>
        <v>507</v>
      </c>
      <c r="AA167" s="5">
        <f>Table15[[#This Row],[Buy_value]]*Table15[[#This Row],[Buy_Quantity]]</f>
        <v>0</v>
      </c>
      <c r="AB167" s="5">
        <f>Table15[[#This Row],[Sell_Value]]*Table15[[#This Row],[Sell_Quantity]]</f>
        <v>120777.54</v>
      </c>
      <c r="AC167" s="5">
        <f>SUMIFS(Table1[quantity],Table1[order_id],Table15[[#This Row],[order_id]],Table1[side],"BUY")</f>
        <v>0</v>
      </c>
      <c r="AE167" s="10" t="s">
        <v>1117</v>
      </c>
      <c r="AF167" s="10" t="str">
        <f>IF(Table1[[#This Row],[Sell-Buy]]&gt;0,"Profit","Loss")</f>
        <v>Profit</v>
      </c>
      <c r="AG167">
        <f>Table1[[#This Row],[Column2]]-Table1[[#This Row],[Buy-sell]]</f>
        <v>2172.5700000000002</v>
      </c>
    </row>
    <row r="168" spans="1:33" x14ac:dyDescent="0.3">
      <c r="A168" t="s">
        <v>976</v>
      </c>
      <c r="B168" t="s">
        <v>518</v>
      </c>
      <c r="C168" s="1">
        <v>45754.034722222219</v>
      </c>
      <c r="D168" t="s">
        <v>14</v>
      </c>
      <c r="E168" t="s">
        <v>166</v>
      </c>
      <c r="F168">
        <v>269</v>
      </c>
      <c r="G168">
        <v>2198.21</v>
      </c>
      <c r="H168">
        <v>295.66000000000003</v>
      </c>
      <c r="I168" t="s">
        <v>150</v>
      </c>
      <c r="J168" t="s">
        <v>55</v>
      </c>
      <c r="L168" s="1">
        <v>45721</v>
      </c>
      <c r="M168" t="s">
        <v>166</v>
      </c>
      <c r="N168">
        <f>IF(Table1[[#This Row],[side]]="BUY", Table1[[#This Row],[quantity]],-Table1[[#This Row],[quantity]])</f>
        <v>269</v>
      </c>
      <c r="P168" t="str">
        <f>IF(Table1[[#This Row],[side]]="Sell",Table1[[#This Row],[price]],"0")</f>
        <v>0</v>
      </c>
      <c r="Q168">
        <f>SUMIFS(Table1[quantity],Table1[company_id],Table8[[#This Row],[COMPANY_ID]],Table1[side],"BUY")-SUMIFS(Table1[quantity],Table1[company_id],Table8[[#This Row],[COMPANY_ID]],Table1[side],"SELL")</f>
        <v>0</v>
      </c>
      <c r="R168">
        <f>Table1[[#This Row],[Column2]]-Table1[[#This Row],[Buy-sell]]</f>
        <v>0</v>
      </c>
      <c r="S168" t="str">
        <f>IF(Table1[[#This Row],[Sell-Buy]]&gt;0,"Profit","Loss")</f>
        <v>Loss</v>
      </c>
      <c r="T168" s="4" t="s">
        <v>427</v>
      </c>
      <c r="U168" s="8">
        <f>SUMIFS(Table1[price],Table1[order_id],Table15[[#This Row],[order_id]],Table1[side],"BUY")*Table15[[#This Row],[Buy_Quantity]]</f>
        <v>518723.18999999994</v>
      </c>
      <c r="V168" s="8">
        <f>SUMIFS(Table1[price],Table1[order_id],Table15[[#This Row],[order_id]],Table1[side],"SELL")</f>
        <v>585.70000000000005</v>
      </c>
      <c r="W168" s="8">
        <f>Table15[[#This Row],[sell]]-Table15[[#This Row],[Buy]]</f>
        <v>-200329441.82999998</v>
      </c>
      <c r="X168" s="8">
        <f>IF(Table15[[#This Row],[Profit]]&gt;0,1,0)</f>
        <v>0</v>
      </c>
      <c r="Y168" s="5" t="str">
        <f>IF(Table15[[#This Row],[is Profit]]=1,"Profit","Loss")</f>
        <v>Loss</v>
      </c>
      <c r="Z168" s="5">
        <f>SUMIFS(Table1[quantity],Table1[order_id],Table15[[#This Row],[order_id]],Table1[side],"SELL")</f>
        <v>711</v>
      </c>
      <c r="AA168" s="5">
        <f>Table15[[#This Row],[Buy_value]]*Table15[[#This Row],[Buy_Quantity]]</f>
        <v>200745874.52999997</v>
      </c>
      <c r="AB168" s="5">
        <f>Table15[[#This Row],[Sell_Value]]*Table15[[#This Row],[Sell_Quantity]]</f>
        <v>416432.7</v>
      </c>
      <c r="AC168" s="5">
        <f>SUMIFS(Table1[quantity],Table1[order_id],Table15[[#This Row],[order_id]],Table1[side],"BUY")</f>
        <v>387</v>
      </c>
      <c r="AE168" s="9" t="s">
        <v>782</v>
      </c>
      <c r="AF168" s="10" t="str">
        <f>IF(Table1[[#This Row],[Sell-Buy]]&gt;0,"Profit","Loss")</f>
        <v>Loss</v>
      </c>
      <c r="AG168">
        <f>Table1[[#This Row],[Column2]]-Table1[[#This Row],[Buy-sell]]</f>
        <v>0</v>
      </c>
    </row>
    <row r="169" spans="1:33" x14ac:dyDescent="0.3">
      <c r="A169" t="s">
        <v>984</v>
      </c>
      <c r="B169" t="s">
        <v>421</v>
      </c>
      <c r="C169" s="1">
        <v>45666.010416666664</v>
      </c>
      <c r="D169" t="s">
        <v>14</v>
      </c>
      <c r="E169" t="s">
        <v>166</v>
      </c>
      <c r="F169">
        <v>648</v>
      </c>
      <c r="G169">
        <v>1999.54</v>
      </c>
      <c r="H169">
        <v>647.85</v>
      </c>
      <c r="I169" t="s">
        <v>136</v>
      </c>
      <c r="J169" t="s">
        <v>55</v>
      </c>
      <c r="L169" s="1">
        <v>45821</v>
      </c>
      <c r="M169" t="s">
        <v>166</v>
      </c>
      <c r="N169">
        <f>IF(Table1[[#This Row],[side]]="BUY", Table1[[#This Row],[quantity]],-Table1[[#This Row],[quantity]])</f>
        <v>648</v>
      </c>
      <c r="P169" t="str">
        <f>IF(Table1[[#This Row],[side]]="Sell",Table1[[#This Row],[price]],"0")</f>
        <v>0</v>
      </c>
      <c r="Q169">
        <f>SUMIFS(Table1[quantity],Table1[company_id],Table8[[#This Row],[COMPANY_ID]],Table1[side],"BUY")-SUMIFS(Table1[quantity],Table1[company_id],Table8[[#This Row],[COMPANY_ID]],Table1[side],"SELL")</f>
        <v>0</v>
      </c>
      <c r="R169">
        <f>Table1[[#This Row],[Column2]]-Table1[[#This Row],[Buy-sell]]</f>
        <v>0</v>
      </c>
      <c r="S169" t="str">
        <f>IF(Table1[[#This Row],[Sell-Buy]]&gt;0,"Profit","Loss")</f>
        <v>Loss</v>
      </c>
      <c r="T169" s="4" t="s">
        <v>429</v>
      </c>
      <c r="U169" s="8">
        <f>SUMIFS(Table1[price],Table1[order_id],Table15[[#This Row],[order_id]],Table1[side],"BUY")*Table15[[#This Row],[Buy_Quantity]]</f>
        <v>867110.6399999999</v>
      </c>
      <c r="V169" s="8">
        <f>SUMIFS(Table1[price],Table1[order_id],Table15[[#This Row],[order_id]],Table1[side],"SELL")</f>
        <v>0</v>
      </c>
      <c r="W169" s="8">
        <f>Table15[[#This Row],[sell]]-Table15[[#This Row],[Buy]]</f>
        <v>-1564267594.5599997</v>
      </c>
      <c r="X169" s="8">
        <f>IF(Table15[[#This Row],[Profit]]&gt;0,1,0)</f>
        <v>0</v>
      </c>
      <c r="Y169" s="5" t="str">
        <f>IF(Table15[[#This Row],[is Profit]]=1,"Profit","Loss")</f>
        <v>Loss</v>
      </c>
      <c r="Z169" s="5">
        <f>SUMIFS(Table1[quantity],Table1[order_id],Table15[[#This Row],[order_id]],Table1[side],"SELL")</f>
        <v>0</v>
      </c>
      <c r="AA169" s="5">
        <f>Table15[[#This Row],[Buy_value]]*Table15[[#This Row],[Buy_Quantity]]</f>
        <v>1564267594.5599997</v>
      </c>
      <c r="AB169" s="5">
        <f>Table15[[#This Row],[Sell_Value]]*Table15[[#This Row],[Sell_Quantity]]</f>
        <v>0</v>
      </c>
      <c r="AC169" s="5">
        <f>SUMIFS(Table1[quantity],Table1[order_id],Table15[[#This Row],[order_id]],Table1[side],"BUY")</f>
        <v>1804</v>
      </c>
      <c r="AE169" s="10" t="s">
        <v>1124</v>
      </c>
      <c r="AF169" s="10" t="str">
        <f>IF(Table1[[#This Row],[Sell-Buy]]&gt;0,"Profit","Loss")</f>
        <v>Loss</v>
      </c>
      <c r="AG169">
        <f>Table1[[#This Row],[Column2]]-Table1[[#This Row],[Buy-sell]]</f>
        <v>0</v>
      </c>
    </row>
    <row r="170" spans="1:33" x14ac:dyDescent="0.3">
      <c r="A170" t="s">
        <v>994</v>
      </c>
      <c r="B170" t="s">
        <v>557</v>
      </c>
      <c r="C170" s="1">
        <v>45825.009722222225</v>
      </c>
      <c r="D170" t="s">
        <v>14</v>
      </c>
      <c r="E170" t="s">
        <v>166</v>
      </c>
      <c r="F170">
        <v>96</v>
      </c>
      <c r="G170">
        <v>2154.6</v>
      </c>
      <c r="H170">
        <v>103.42</v>
      </c>
      <c r="I170" t="s">
        <v>142</v>
      </c>
      <c r="J170" t="s">
        <v>55</v>
      </c>
      <c r="L170" s="1">
        <v>45733</v>
      </c>
      <c r="M170" t="s">
        <v>166</v>
      </c>
      <c r="N170">
        <f>IF(Table1[[#This Row],[side]]="BUY", Table1[[#This Row],[quantity]],-Table1[[#This Row],[quantity]])</f>
        <v>96</v>
      </c>
      <c r="P170" t="str">
        <f>IF(Table1[[#This Row],[side]]="Sell",Table1[[#This Row],[price]],"0")</f>
        <v>0</v>
      </c>
      <c r="Q170">
        <f>SUMIFS(Table1[quantity],Table1[company_id],Table8[[#This Row],[COMPANY_ID]],Table1[side],"BUY")-SUMIFS(Table1[quantity],Table1[company_id],Table8[[#This Row],[COMPANY_ID]],Table1[side],"SELL")</f>
        <v>0</v>
      </c>
      <c r="R170">
        <f>Table1[[#This Row],[Column2]]-Table1[[#This Row],[Buy-sell]]</f>
        <v>0</v>
      </c>
      <c r="S170" t="str">
        <f>IF(Table1[[#This Row],[Sell-Buy]]&gt;0,"Profit","Loss")</f>
        <v>Loss</v>
      </c>
      <c r="T170" s="4" t="s">
        <v>431</v>
      </c>
      <c r="U170" s="8">
        <f>SUMIFS(Table1[price],Table1[order_id],Table15[[#This Row],[order_id]],Table1[side],"BUY")*Table15[[#This Row],[Buy_Quantity]]</f>
        <v>432758.04000000004</v>
      </c>
      <c r="V170" s="8">
        <f>SUMIFS(Table1[price],Table1[order_id],Table15[[#This Row],[order_id]],Table1[side],"SELL")</f>
        <v>0</v>
      </c>
      <c r="W170" s="8">
        <f>Table15[[#This Row],[sell]]-Table15[[#This Row],[Buy]]</f>
        <v>-247537598.88000003</v>
      </c>
      <c r="X170" s="8">
        <f>IF(Table15[[#This Row],[Profit]]&gt;0,1,0)</f>
        <v>0</v>
      </c>
      <c r="Y170" s="5" t="str">
        <f>IF(Table15[[#This Row],[is Profit]]=1,"Profit","Loss")</f>
        <v>Loss</v>
      </c>
      <c r="Z170" s="5">
        <f>SUMIFS(Table1[quantity],Table1[order_id],Table15[[#This Row],[order_id]],Table1[side],"SELL")</f>
        <v>0</v>
      </c>
      <c r="AA170" s="5">
        <f>Table15[[#This Row],[Buy_value]]*Table15[[#This Row],[Buy_Quantity]]</f>
        <v>247537598.88000003</v>
      </c>
      <c r="AB170" s="5">
        <f>Table15[[#This Row],[Sell_Value]]*Table15[[#This Row],[Sell_Quantity]]</f>
        <v>0</v>
      </c>
      <c r="AC170" s="5">
        <f>SUMIFS(Table1[quantity],Table1[order_id],Table15[[#This Row],[order_id]],Table1[side],"BUY")</f>
        <v>572</v>
      </c>
      <c r="AE170" s="9" t="s">
        <v>1011</v>
      </c>
      <c r="AF170" s="10" t="str">
        <f>IF(Table1[[#This Row],[Sell-Buy]]&gt;0,"Profit","Loss")</f>
        <v>Loss</v>
      </c>
      <c r="AG170">
        <f>Table1[[#This Row],[Column2]]-Table1[[#This Row],[Buy-sell]]</f>
        <v>0</v>
      </c>
    </row>
    <row r="171" spans="1:33" x14ac:dyDescent="0.3">
      <c r="A171" t="s">
        <v>1014</v>
      </c>
      <c r="B171" t="s">
        <v>553</v>
      </c>
      <c r="C171" s="1">
        <v>45826.024305555555</v>
      </c>
      <c r="D171" t="s">
        <v>14</v>
      </c>
      <c r="E171" t="s">
        <v>166</v>
      </c>
      <c r="F171">
        <v>853</v>
      </c>
      <c r="G171">
        <v>2146.52</v>
      </c>
      <c r="H171">
        <v>915.49</v>
      </c>
      <c r="I171" t="s">
        <v>88</v>
      </c>
      <c r="J171" t="s">
        <v>58</v>
      </c>
      <c r="L171" s="1">
        <v>45712</v>
      </c>
      <c r="M171" t="s">
        <v>166</v>
      </c>
      <c r="N171">
        <f>IF(Table1[[#This Row],[side]]="BUY", Table1[[#This Row],[quantity]],-Table1[[#This Row],[quantity]])</f>
        <v>853</v>
      </c>
      <c r="P171" t="str">
        <f>IF(Table1[[#This Row],[side]]="Sell",Table1[[#This Row],[price]],"0")</f>
        <v>0</v>
      </c>
      <c r="Q171">
        <f>SUMIFS(Table1[quantity],Table1[company_id],Table8[[#This Row],[COMPANY_ID]],Table1[side],"BUY")-SUMIFS(Table1[quantity],Table1[company_id],Table8[[#This Row],[COMPANY_ID]],Table1[side],"SELL")</f>
        <v>0</v>
      </c>
      <c r="R171">
        <f>Table1[[#This Row],[Column2]]-Table1[[#This Row],[Buy-sell]]</f>
        <v>0</v>
      </c>
      <c r="S171" t="str">
        <f>IF(Table1[[#This Row],[Sell-Buy]]&gt;0,"Profit","Loss")</f>
        <v>Loss</v>
      </c>
      <c r="T171" s="4" t="s">
        <v>432</v>
      </c>
      <c r="U171" s="8">
        <f>SUMIFS(Table1[price],Table1[order_id],Table15[[#This Row],[order_id]],Table1[side],"BUY")*Table15[[#This Row],[Buy_Quantity]]</f>
        <v>1712533.68</v>
      </c>
      <c r="V171" s="8">
        <f>SUMIFS(Table1[price],Table1[order_id],Table15[[#This Row],[order_id]],Table1[side],"SELL")</f>
        <v>233.9</v>
      </c>
      <c r="W171" s="8">
        <f>Table15[[#This Row],[sell]]-Table15[[#This Row],[Buy]]</f>
        <v>-1356288081.0599999</v>
      </c>
      <c r="X171" s="8">
        <f>IF(Table15[[#This Row],[Profit]]&gt;0,1,0)</f>
        <v>0</v>
      </c>
      <c r="Y171" s="5" t="str">
        <f>IF(Table15[[#This Row],[is Profit]]=1,"Profit","Loss")</f>
        <v>Loss</v>
      </c>
      <c r="Z171" s="5">
        <f>SUMIFS(Table1[quantity],Table1[order_id],Table15[[#This Row],[order_id]],Table1[side],"SELL")</f>
        <v>165</v>
      </c>
      <c r="AA171" s="5">
        <f>Table15[[#This Row],[Buy_value]]*Table15[[#This Row],[Buy_Quantity]]</f>
        <v>1356326674.5599999</v>
      </c>
      <c r="AB171" s="5">
        <f>Table15[[#This Row],[Sell_Value]]*Table15[[#This Row],[Sell_Quantity]]</f>
        <v>38593.5</v>
      </c>
      <c r="AC171" s="5">
        <f>SUMIFS(Table1[quantity],Table1[order_id],Table15[[#This Row],[order_id]],Table1[side],"BUY")</f>
        <v>792</v>
      </c>
      <c r="AE171" s="10" t="s">
        <v>1037</v>
      </c>
      <c r="AF171" s="10" t="str">
        <f>IF(Table1[[#This Row],[Sell-Buy]]&gt;0,"Profit","Loss")</f>
        <v>Loss</v>
      </c>
      <c r="AG171">
        <f>Table1[[#This Row],[Column2]]-Table1[[#This Row],[Buy-sell]]</f>
        <v>0</v>
      </c>
    </row>
    <row r="172" spans="1:33" x14ac:dyDescent="0.3">
      <c r="A172" t="s">
        <v>1024</v>
      </c>
      <c r="B172" t="s">
        <v>637</v>
      </c>
      <c r="C172" s="1">
        <v>45691.002083333333</v>
      </c>
      <c r="D172" t="s">
        <v>14</v>
      </c>
      <c r="E172" t="s">
        <v>166</v>
      </c>
      <c r="F172">
        <v>320</v>
      </c>
      <c r="G172">
        <v>2103.85</v>
      </c>
      <c r="H172">
        <v>336.62</v>
      </c>
      <c r="I172" t="s">
        <v>118</v>
      </c>
      <c r="J172" t="s">
        <v>58</v>
      </c>
      <c r="L172" s="1">
        <v>45826</v>
      </c>
      <c r="M172" t="s">
        <v>166</v>
      </c>
      <c r="N172">
        <f>IF(Table1[[#This Row],[side]]="BUY", Table1[[#This Row],[quantity]],-Table1[[#This Row],[quantity]])</f>
        <v>320</v>
      </c>
      <c r="P172" t="str">
        <f>IF(Table1[[#This Row],[side]]="Sell",Table1[[#This Row],[price]],"0")</f>
        <v>0</v>
      </c>
      <c r="Q172">
        <f>SUMIFS(Table1[quantity],Table1[company_id],Table8[[#This Row],[COMPANY_ID]],Table1[side],"BUY")-SUMIFS(Table1[quantity],Table1[company_id],Table8[[#This Row],[COMPANY_ID]],Table1[side],"SELL")</f>
        <v>0</v>
      </c>
      <c r="R172">
        <f>Table1[[#This Row],[Column2]]-Table1[[#This Row],[Buy-sell]]</f>
        <v>0</v>
      </c>
      <c r="S172" t="str">
        <f>IF(Table1[[#This Row],[Sell-Buy]]&gt;0,"Profit","Loss")</f>
        <v>Loss</v>
      </c>
      <c r="T172" s="4" t="s">
        <v>435</v>
      </c>
      <c r="U172" s="8">
        <f>SUMIFS(Table1[price],Table1[order_id],Table15[[#This Row],[order_id]],Table1[side],"BUY")*Table15[[#This Row],[Buy_Quantity]]</f>
        <v>0</v>
      </c>
      <c r="V172" s="8">
        <f>SUMIFS(Table1[price],Table1[order_id],Table15[[#This Row],[order_id]],Table1[side],"SELL")</f>
        <v>244.94</v>
      </c>
      <c r="W172" s="8">
        <f>Table15[[#This Row],[sell]]-Table15[[#This Row],[Buy]]</f>
        <v>238081.68</v>
      </c>
      <c r="X172" s="8">
        <f>IF(Table15[[#This Row],[Profit]]&gt;0,1,0)</f>
        <v>1</v>
      </c>
      <c r="Y172" s="5" t="str">
        <f>IF(Table15[[#This Row],[is Profit]]=1,"Profit","Loss")</f>
        <v>Profit</v>
      </c>
      <c r="Z172" s="5">
        <f>SUMIFS(Table1[quantity],Table1[order_id],Table15[[#This Row],[order_id]],Table1[side],"SELL")</f>
        <v>972</v>
      </c>
      <c r="AA172" s="5">
        <f>Table15[[#This Row],[Buy_value]]*Table15[[#This Row],[Buy_Quantity]]</f>
        <v>0</v>
      </c>
      <c r="AB172" s="5">
        <f>Table15[[#This Row],[Sell_Value]]*Table15[[#This Row],[Sell_Quantity]]</f>
        <v>238081.68</v>
      </c>
      <c r="AC172" s="5">
        <f>SUMIFS(Table1[quantity],Table1[order_id],Table15[[#This Row],[order_id]],Table1[side],"BUY")</f>
        <v>0</v>
      </c>
      <c r="AE172" s="9" t="s">
        <v>701</v>
      </c>
      <c r="AF172" s="10" t="str">
        <f>IF(Table1[[#This Row],[Sell-Buy]]&gt;0,"Profit","Loss")</f>
        <v>Loss</v>
      </c>
      <c r="AG172">
        <f>Table1[[#This Row],[Column2]]-Table1[[#This Row],[Buy-sell]]</f>
        <v>0</v>
      </c>
    </row>
    <row r="173" spans="1:33" x14ac:dyDescent="0.3">
      <c r="A173" t="s">
        <v>1041</v>
      </c>
      <c r="B173" t="s">
        <v>298</v>
      </c>
      <c r="C173" s="1">
        <v>45832.018055555556</v>
      </c>
      <c r="D173" t="s">
        <v>14</v>
      </c>
      <c r="E173" t="s">
        <v>166</v>
      </c>
      <c r="F173">
        <v>88</v>
      </c>
      <c r="G173">
        <v>2151.34</v>
      </c>
      <c r="H173">
        <v>94.66</v>
      </c>
      <c r="I173" t="s">
        <v>112</v>
      </c>
      <c r="J173" t="s">
        <v>73</v>
      </c>
      <c r="L173" s="1">
        <v>45688</v>
      </c>
      <c r="M173" t="s">
        <v>166</v>
      </c>
      <c r="N173">
        <f>IF(Table1[[#This Row],[side]]="BUY", Table1[[#This Row],[quantity]],-Table1[[#This Row],[quantity]])</f>
        <v>88</v>
      </c>
      <c r="P173" t="str">
        <f>IF(Table1[[#This Row],[side]]="Sell",Table1[[#This Row],[price]],"0")</f>
        <v>0</v>
      </c>
      <c r="Q173">
        <f>SUMIFS(Table1[quantity],Table1[company_id],Table8[[#This Row],[COMPANY_ID]],Table1[side],"BUY")-SUMIFS(Table1[quantity],Table1[company_id],Table8[[#This Row],[COMPANY_ID]],Table1[side],"SELL")</f>
        <v>0</v>
      </c>
      <c r="R173">
        <f>Table1[[#This Row],[Column2]]-Table1[[#This Row],[Buy-sell]]</f>
        <v>0</v>
      </c>
      <c r="S173" t="str">
        <f>IF(Table1[[#This Row],[Sell-Buy]]&gt;0,"Profit","Loss")</f>
        <v>Loss</v>
      </c>
      <c r="T173" s="4" t="s">
        <v>436</v>
      </c>
      <c r="U173" s="8">
        <f>SUMIFS(Table1[price],Table1[order_id],Table15[[#This Row],[order_id]],Table1[side],"BUY")*Table15[[#This Row],[Buy_Quantity]]</f>
        <v>337596</v>
      </c>
      <c r="V173" s="8">
        <f>SUMIFS(Table1[price],Table1[order_id],Table15[[#This Row],[order_id]],Table1[side],"SELL")</f>
        <v>1302.05</v>
      </c>
      <c r="W173" s="8">
        <f>Table15[[#This Row],[sell]]-Table15[[#This Row],[Buy]]</f>
        <v>-187818114.55000001</v>
      </c>
      <c r="X173" s="8">
        <f>IF(Table15[[#This Row],[Profit]]&gt;0,1,0)</f>
        <v>0</v>
      </c>
      <c r="Y173" s="5" t="str">
        <f>IF(Table15[[#This Row],[is Profit]]=1,"Profit","Loss")</f>
        <v>Loss</v>
      </c>
      <c r="Z173" s="5">
        <f>SUMIFS(Table1[quantity],Table1[order_id],Table15[[#This Row],[order_id]],Table1[side],"SELL")</f>
        <v>949</v>
      </c>
      <c r="AA173" s="5">
        <f>Table15[[#This Row],[Buy_value]]*Table15[[#This Row],[Buy_Quantity]]</f>
        <v>189053760</v>
      </c>
      <c r="AB173" s="5">
        <f>Table15[[#This Row],[Sell_Value]]*Table15[[#This Row],[Sell_Quantity]]</f>
        <v>1235645.45</v>
      </c>
      <c r="AC173" s="5">
        <f>SUMIFS(Table1[quantity],Table1[order_id],Table15[[#This Row],[order_id]],Table1[side],"BUY")</f>
        <v>560</v>
      </c>
      <c r="AE173" s="10" t="s">
        <v>825</v>
      </c>
      <c r="AF173" s="10" t="str">
        <f>IF(Table1[[#This Row],[Sell-Buy]]&gt;0,"Profit","Loss")</f>
        <v>Loss</v>
      </c>
      <c r="AG173">
        <f>Table1[[#This Row],[Column2]]-Table1[[#This Row],[Buy-sell]]</f>
        <v>0</v>
      </c>
    </row>
    <row r="174" spans="1:33" x14ac:dyDescent="0.3">
      <c r="A174" t="s">
        <v>1059</v>
      </c>
      <c r="B174" t="s">
        <v>552</v>
      </c>
      <c r="C174" s="1">
        <v>45779.012499999997</v>
      </c>
      <c r="D174" t="s">
        <v>14</v>
      </c>
      <c r="E174" t="s">
        <v>166</v>
      </c>
      <c r="F174">
        <v>715</v>
      </c>
      <c r="G174">
        <v>2114.2199999999998</v>
      </c>
      <c r="H174">
        <v>755.83</v>
      </c>
      <c r="I174" t="s">
        <v>146</v>
      </c>
      <c r="J174" t="s">
        <v>73</v>
      </c>
      <c r="L174" s="1">
        <v>45832</v>
      </c>
      <c r="M174" t="s">
        <v>166</v>
      </c>
      <c r="N174">
        <f>IF(Table1[[#This Row],[side]]="BUY", Table1[[#This Row],[quantity]],-Table1[[#This Row],[quantity]])</f>
        <v>715</v>
      </c>
      <c r="P174" t="str">
        <f>IF(Table1[[#This Row],[side]]="Sell",Table1[[#This Row],[price]],"0")</f>
        <v>0</v>
      </c>
      <c r="Q174">
        <f>SUMIFS(Table1[quantity],Table1[company_id],Table8[[#This Row],[COMPANY_ID]],Table1[side],"BUY")-SUMIFS(Table1[quantity],Table1[company_id],Table8[[#This Row],[COMPANY_ID]],Table1[side],"SELL")</f>
        <v>0</v>
      </c>
      <c r="R174">
        <f>Table1[[#This Row],[Column2]]-Table1[[#This Row],[Buy-sell]]</f>
        <v>0</v>
      </c>
      <c r="S174" t="str">
        <f>IF(Table1[[#This Row],[Sell-Buy]]&gt;0,"Profit","Loss")</f>
        <v>Loss</v>
      </c>
      <c r="T174" s="5" t="s">
        <v>438</v>
      </c>
      <c r="U174" s="8">
        <f>SUMIFS(Table1[price],Table1[order_id],Table15[[#This Row],[order_id]],Table1[side],"BUY")*Table15[[#This Row],[Buy_Quantity]]</f>
        <v>764509.84</v>
      </c>
      <c r="V174" s="8">
        <f>SUMIFS(Table1[price],Table1[order_id],Table15[[#This Row],[order_id]],Table1[side],"SELL")</f>
        <v>231.98</v>
      </c>
      <c r="W174" s="8">
        <f>Table15[[#This Row],[sell]]-Table15[[#This Row],[Buy]]</f>
        <v>-736905364.84000003</v>
      </c>
      <c r="X174" s="8">
        <f>IF(Table15[[#This Row],[Profit]]&gt;0,1,0)</f>
        <v>0</v>
      </c>
      <c r="Y174" s="5" t="str">
        <f>IF(Table15[[#This Row],[is Profit]]=1,"Profit","Loss")</f>
        <v>Loss</v>
      </c>
      <c r="Z174" s="5">
        <f>SUMIFS(Table1[quantity],Table1[order_id],Table15[[#This Row],[order_id]],Table1[side],"SELL")</f>
        <v>354</v>
      </c>
      <c r="AA174" s="5">
        <f>Table15[[#This Row],[Buy_value]]*Table15[[#This Row],[Buy_Quantity]]</f>
        <v>736987485.75999999</v>
      </c>
      <c r="AB174" s="5">
        <f>Table15[[#This Row],[Sell_Value]]*Table15[[#This Row],[Sell_Quantity]]</f>
        <v>82120.92</v>
      </c>
      <c r="AC174" s="5">
        <f>SUMIFS(Table1[quantity],Table1[order_id],Table15[[#This Row],[order_id]],Table1[side],"BUY")</f>
        <v>964</v>
      </c>
      <c r="AE174" s="9" t="s">
        <v>1075</v>
      </c>
      <c r="AF174" s="10" t="str">
        <f>IF(Table1[[#This Row],[Sell-Buy]]&gt;0,"Profit","Loss")</f>
        <v>Loss</v>
      </c>
      <c r="AG174">
        <f>Table1[[#This Row],[Column2]]-Table1[[#This Row],[Buy-sell]]</f>
        <v>0</v>
      </c>
    </row>
    <row r="175" spans="1:33" x14ac:dyDescent="0.3">
      <c r="A175" t="s">
        <v>1073</v>
      </c>
      <c r="B175" t="s">
        <v>294</v>
      </c>
      <c r="C175" s="1">
        <v>45828.004861111112</v>
      </c>
      <c r="D175" t="s">
        <v>14</v>
      </c>
      <c r="E175" t="s">
        <v>166</v>
      </c>
      <c r="F175">
        <v>148</v>
      </c>
      <c r="G175">
        <v>2172.35</v>
      </c>
      <c r="H175">
        <v>160.75</v>
      </c>
      <c r="I175" t="s">
        <v>102</v>
      </c>
      <c r="J175" t="s">
        <v>49</v>
      </c>
      <c r="L175" s="1">
        <v>45666</v>
      </c>
      <c r="M175" t="s">
        <v>166</v>
      </c>
      <c r="N175">
        <f>IF(Table1[[#This Row],[side]]="BUY", Table1[[#This Row],[quantity]],-Table1[[#This Row],[quantity]])</f>
        <v>148</v>
      </c>
      <c r="P175" t="str">
        <f>IF(Table1[[#This Row],[side]]="Sell",Table1[[#This Row],[price]],"0")</f>
        <v>0</v>
      </c>
      <c r="Q175">
        <f>SUMIFS(Table1[quantity],Table1[company_id],Table8[[#This Row],[COMPANY_ID]],Table1[side],"BUY")-SUMIFS(Table1[quantity],Table1[company_id],Table8[[#This Row],[COMPANY_ID]],Table1[side],"SELL")</f>
        <v>0</v>
      </c>
      <c r="R175">
        <f>Table1[[#This Row],[Column2]]-Table1[[#This Row],[Buy-sell]]</f>
        <v>0</v>
      </c>
      <c r="S175" t="str">
        <f>IF(Table1[[#This Row],[Sell-Buy]]&gt;0,"Profit","Loss")</f>
        <v>Loss</v>
      </c>
      <c r="T175" s="5" t="s">
        <v>439</v>
      </c>
      <c r="U175" s="8">
        <f>SUMIFS(Table1[price],Table1[order_id],Table15[[#This Row],[order_id]],Table1[side],"BUY")*Table15[[#This Row],[Buy_Quantity]]</f>
        <v>0</v>
      </c>
      <c r="V175" s="8">
        <f>SUMIFS(Table1[price],Table1[order_id],Table15[[#This Row],[order_id]],Table1[side],"SELL")</f>
        <v>234.26</v>
      </c>
      <c r="W175" s="8">
        <f>Table15[[#This Row],[sell]]-Table15[[#This Row],[Buy]]</f>
        <v>206148.8</v>
      </c>
      <c r="X175" s="8">
        <f>IF(Table15[[#This Row],[Profit]]&gt;0,1,0)</f>
        <v>1</v>
      </c>
      <c r="Y175" s="5" t="str">
        <f>IF(Table15[[#This Row],[is Profit]]=1,"Profit","Loss")</f>
        <v>Profit</v>
      </c>
      <c r="Z175" s="5">
        <f>SUMIFS(Table1[quantity],Table1[order_id],Table15[[#This Row],[order_id]],Table1[side],"SELL")</f>
        <v>880</v>
      </c>
      <c r="AA175" s="5">
        <f>Table15[[#This Row],[Buy_value]]*Table15[[#This Row],[Buy_Quantity]]</f>
        <v>0</v>
      </c>
      <c r="AB175" s="5">
        <f>Table15[[#This Row],[Sell_Value]]*Table15[[#This Row],[Sell_Quantity]]</f>
        <v>206148.8</v>
      </c>
      <c r="AC175" s="5">
        <f>SUMIFS(Table1[quantity],Table1[order_id],Table15[[#This Row],[order_id]],Table1[side],"BUY")</f>
        <v>0</v>
      </c>
      <c r="AE175" s="10" t="s">
        <v>930</v>
      </c>
      <c r="AF175" s="10" t="str">
        <f>IF(Table1[[#This Row],[Sell-Buy]]&gt;0,"Profit","Loss")</f>
        <v>Loss</v>
      </c>
      <c r="AG175">
        <f>Table1[[#This Row],[Column2]]-Table1[[#This Row],[Buy-sell]]</f>
        <v>0</v>
      </c>
    </row>
    <row r="176" spans="1:33" x14ac:dyDescent="0.3">
      <c r="A176" t="s">
        <v>1078</v>
      </c>
      <c r="B176" t="s">
        <v>191</v>
      </c>
      <c r="C176" s="1">
        <v>45764.027083333334</v>
      </c>
      <c r="D176" t="s">
        <v>14</v>
      </c>
      <c r="E176" t="s">
        <v>166</v>
      </c>
      <c r="F176">
        <v>428</v>
      </c>
      <c r="G176">
        <v>2190.75</v>
      </c>
      <c r="H176">
        <v>468.82</v>
      </c>
      <c r="I176" t="s">
        <v>142</v>
      </c>
      <c r="J176" t="s">
        <v>67</v>
      </c>
      <c r="L176" s="1">
        <v>45832</v>
      </c>
      <c r="M176" t="s">
        <v>166</v>
      </c>
      <c r="N176">
        <f>IF(Table1[[#This Row],[side]]="BUY", Table1[[#This Row],[quantity]],-Table1[[#This Row],[quantity]])</f>
        <v>428</v>
      </c>
      <c r="P176" t="str">
        <f>IF(Table1[[#This Row],[side]]="Sell",Table1[[#This Row],[price]],"0")</f>
        <v>0</v>
      </c>
      <c r="Q176">
        <f>SUMIFS(Table1[quantity],Table1[company_id],Table8[[#This Row],[COMPANY_ID]],Table1[side],"BUY")-SUMIFS(Table1[quantity],Table1[company_id],Table8[[#This Row],[COMPANY_ID]],Table1[side],"SELL")</f>
        <v>0</v>
      </c>
      <c r="R176">
        <f>Table1[[#This Row],[Column2]]-Table1[[#This Row],[Buy-sell]]</f>
        <v>0</v>
      </c>
      <c r="S176" t="str">
        <f>IF(Table1[[#This Row],[Sell-Buy]]&gt;0,"Profit","Loss")</f>
        <v>Loss</v>
      </c>
      <c r="T176" s="5" t="s">
        <v>441</v>
      </c>
      <c r="U176" s="8">
        <f>SUMIFS(Table1[price],Table1[order_id],Table15[[#This Row],[order_id]],Table1[side],"BUY")*Table15[[#This Row],[Buy_Quantity]]</f>
        <v>196785.59</v>
      </c>
      <c r="V176" s="8">
        <f>SUMIFS(Table1[price],Table1[order_id],Table15[[#This Row],[order_id]],Table1[side],"SELL")</f>
        <v>0</v>
      </c>
      <c r="W176" s="8">
        <f>Table15[[#This Row],[sell]]-Table15[[#This Row],[Buy]]</f>
        <v>-165496681.19</v>
      </c>
      <c r="X176" s="8">
        <f>IF(Table15[[#This Row],[Profit]]&gt;0,1,0)</f>
        <v>0</v>
      </c>
      <c r="Y176" s="5" t="str">
        <f>IF(Table15[[#This Row],[is Profit]]=1,"Profit","Loss")</f>
        <v>Loss</v>
      </c>
      <c r="Z176" s="5">
        <f>SUMIFS(Table1[quantity],Table1[order_id],Table15[[#This Row],[order_id]],Table1[side],"SELL")</f>
        <v>0</v>
      </c>
      <c r="AA176" s="5">
        <f>Table15[[#This Row],[Buy_value]]*Table15[[#This Row],[Buy_Quantity]]</f>
        <v>165496681.19</v>
      </c>
      <c r="AB176" s="5">
        <f>Table15[[#This Row],[Sell_Value]]*Table15[[#This Row],[Sell_Quantity]]</f>
        <v>0</v>
      </c>
      <c r="AC176" s="5">
        <f>SUMIFS(Table1[quantity],Table1[order_id],Table15[[#This Row],[order_id]],Table1[side],"BUY")</f>
        <v>841</v>
      </c>
      <c r="AE176" s="9" t="s">
        <v>973</v>
      </c>
      <c r="AF176" s="10" t="str">
        <f>IF(Table1[[#This Row],[Sell-Buy]]&gt;0,"Profit","Loss")</f>
        <v>Loss</v>
      </c>
      <c r="AG176">
        <f>Table1[[#This Row],[Column2]]-Table1[[#This Row],[Buy-sell]]</f>
        <v>0</v>
      </c>
    </row>
    <row r="177" spans="1:33" x14ac:dyDescent="0.3">
      <c r="A177" t="s">
        <v>1109</v>
      </c>
      <c r="B177" t="s">
        <v>274</v>
      </c>
      <c r="C177" s="1">
        <v>45835.025694444441</v>
      </c>
      <c r="D177" t="s">
        <v>14</v>
      </c>
      <c r="E177" t="s">
        <v>171</v>
      </c>
      <c r="F177">
        <v>584</v>
      </c>
      <c r="G177">
        <v>2239.9</v>
      </c>
      <c r="H177">
        <v>654.04999999999995</v>
      </c>
      <c r="I177" t="s">
        <v>124</v>
      </c>
      <c r="J177" t="s">
        <v>76</v>
      </c>
      <c r="L177" s="1">
        <v>45709</v>
      </c>
      <c r="N177">
        <f>IF(Table1[[#This Row],[side]]="BUY", Table1[[#This Row],[quantity]],-Table1[[#This Row],[quantity]])</f>
        <v>-584</v>
      </c>
      <c r="O177" t="s">
        <v>171</v>
      </c>
      <c r="P177">
        <f>IF(Table1[[#This Row],[side]]="Sell",Table1[[#This Row],[price]],"0")</f>
        <v>2239.9</v>
      </c>
      <c r="Q177">
        <f>SUMIFS(Table1[quantity],Table1[company_id],Table8[[#This Row],[COMPANY_ID]],Table1[side],"BUY")-SUMIFS(Table1[quantity],Table1[company_id],Table8[[#This Row],[COMPANY_ID]],Table1[side],"SELL")</f>
        <v>0</v>
      </c>
      <c r="R177">
        <f>Table1[[#This Row],[Column2]]-Table1[[#This Row],[Buy-sell]]</f>
        <v>2239.9</v>
      </c>
      <c r="S177" t="str">
        <f>IF(Table1[[#This Row],[Sell-Buy]]&gt;0,"Profit","Loss")</f>
        <v>Profit</v>
      </c>
      <c r="T177" s="4" t="s">
        <v>443</v>
      </c>
      <c r="U177" s="8">
        <f>SUMIFS(Table1[price],Table1[order_id],Table15[[#This Row],[order_id]],Table1[side],"BUY")*Table15[[#This Row],[Buy_Quantity]]</f>
        <v>278089.60000000003</v>
      </c>
      <c r="V177" s="8">
        <f>SUMIFS(Table1[price],Table1[order_id],Table15[[#This Row],[order_id]],Table1[side],"SELL")</f>
        <v>0</v>
      </c>
      <c r="W177" s="8">
        <f>Table15[[#This Row],[sell]]-Table15[[#This Row],[Buy]]</f>
        <v>-119578528.00000001</v>
      </c>
      <c r="X177" s="8">
        <f>IF(Table15[[#This Row],[Profit]]&gt;0,1,0)</f>
        <v>0</v>
      </c>
      <c r="Y177" s="5" t="str">
        <f>IF(Table15[[#This Row],[is Profit]]=1,"Profit","Loss")</f>
        <v>Loss</v>
      </c>
      <c r="Z177" s="5">
        <f>SUMIFS(Table1[quantity],Table1[order_id],Table15[[#This Row],[order_id]],Table1[side],"SELL")</f>
        <v>0</v>
      </c>
      <c r="AA177" s="5">
        <f>Table15[[#This Row],[Buy_value]]*Table15[[#This Row],[Buy_Quantity]]</f>
        <v>119578528.00000001</v>
      </c>
      <c r="AB177" s="5">
        <f>Table15[[#This Row],[Sell_Value]]*Table15[[#This Row],[Sell_Quantity]]</f>
        <v>0</v>
      </c>
      <c r="AC177" s="5">
        <f>SUMIFS(Table1[quantity],Table1[order_id],Table15[[#This Row],[order_id]],Table1[side],"BUY")</f>
        <v>430</v>
      </c>
      <c r="AE177" s="10" t="s">
        <v>1118</v>
      </c>
      <c r="AF177" s="10" t="str">
        <f>IF(Table1[[#This Row],[Sell-Buy]]&gt;0,"Profit","Loss")</f>
        <v>Profit</v>
      </c>
      <c r="AG177">
        <f>Table1[[#This Row],[Column2]]-Table1[[#This Row],[Buy-sell]]</f>
        <v>2239.9</v>
      </c>
    </row>
    <row r="178" spans="1:33" x14ac:dyDescent="0.3">
      <c r="A178" t="s">
        <v>1120</v>
      </c>
      <c r="B178" t="s">
        <v>462</v>
      </c>
      <c r="C178" s="1">
        <v>45772.020138888889</v>
      </c>
      <c r="D178" t="s">
        <v>14</v>
      </c>
      <c r="E178" t="s">
        <v>171</v>
      </c>
      <c r="F178">
        <v>234</v>
      </c>
      <c r="G178">
        <v>2123.2399999999998</v>
      </c>
      <c r="H178">
        <v>248.42</v>
      </c>
      <c r="I178" t="s">
        <v>114</v>
      </c>
      <c r="J178" t="s">
        <v>52</v>
      </c>
      <c r="L178" s="1">
        <v>45783</v>
      </c>
      <c r="N178">
        <f>IF(Table1[[#This Row],[side]]="BUY", Table1[[#This Row],[quantity]],-Table1[[#This Row],[quantity]])</f>
        <v>-234</v>
      </c>
      <c r="O178" t="s">
        <v>171</v>
      </c>
      <c r="P178">
        <f>IF(Table1[[#This Row],[side]]="Sell",Table1[[#This Row],[price]],"0")</f>
        <v>2123.2399999999998</v>
      </c>
      <c r="Q178">
        <f>SUMIFS(Table1[quantity],Table1[company_id],Table8[[#This Row],[COMPANY_ID]],Table1[side],"BUY")-SUMIFS(Table1[quantity],Table1[company_id],Table8[[#This Row],[COMPANY_ID]],Table1[side],"SELL")</f>
        <v>0</v>
      </c>
      <c r="R178">
        <f>Table1[[#This Row],[Column2]]-Table1[[#This Row],[Buy-sell]]</f>
        <v>2123.2399999999998</v>
      </c>
      <c r="S178" t="str">
        <f>IF(Table1[[#This Row],[Sell-Buy]]&gt;0,"Profit","Loss")</f>
        <v>Profit</v>
      </c>
      <c r="T178" s="5" t="s">
        <v>444</v>
      </c>
      <c r="U178" s="8">
        <f>SUMIFS(Table1[price],Table1[order_id],Table15[[#This Row],[order_id]],Table1[side],"BUY")*Table15[[#This Row],[Buy_Quantity]]</f>
        <v>218457</v>
      </c>
      <c r="V178" s="8">
        <f>SUMIFS(Table1[price],Table1[order_id],Table15[[#This Row],[order_id]],Table1[side],"SELL")</f>
        <v>0</v>
      </c>
      <c r="W178" s="8">
        <f>Table15[[#This Row],[sell]]-Table15[[#This Row],[Buy]]</f>
        <v>-203165010</v>
      </c>
      <c r="X178" s="8">
        <f>IF(Table15[[#This Row],[Profit]]&gt;0,1,0)</f>
        <v>0</v>
      </c>
      <c r="Y178" s="5" t="str">
        <f>IF(Table15[[#This Row],[is Profit]]=1,"Profit","Loss")</f>
        <v>Loss</v>
      </c>
      <c r="Z178" s="5">
        <f>SUMIFS(Table1[quantity],Table1[order_id],Table15[[#This Row],[order_id]],Table1[side],"SELL")</f>
        <v>0</v>
      </c>
      <c r="AA178" s="5">
        <f>Table15[[#This Row],[Buy_value]]*Table15[[#This Row],[Buy_Quantity]]</f>
        <v>203165010</v>
      </c>
      <c r="AB178" s="5">
        <f>Table15[[#This Row],[Sell_Value]]*Table15[[#This Row],[Sell_Quantity]]</f>
        <v>0</v>
      </c>
      <c r="AC178" s="5">
        <f>SUMIFS(Table1[quantity],Table1[order_id],Table15[[#This Row],[order_id]],Table1[side],"BUY")</f>
        <v>930</v>
      </c>
      <c r="AE178" s="9" t="s">
        <v>799</v>
      </c>
      <c r="AF178" s="10" t="str">
        <f>IF(Table1[[#This Row],[Sell-Buy]]&gt;0,"Profit","Loss")</f>
        <v>Profit</v>
      </c>
      <c r="AG178">
        <f>Table1[[#This Row],[Column2]]-Table1[[#This Row],[Buy-sell]]</f>
        <v>2123.2399999999998</v>
      </c>
    </row>
    <row r="179" spans="1:33" x14ac:dyDescent="0.3">
      <c r="A179" t="s">
        <v>1132</v>
      </c>
      <c r="B179" t="s">
        <v>578</v>
      </c>
      <c r="C179" s="1">
        <v>45786.036111111112</v>
      </c>
      <c r="D179" t="s">
        <v>14</v>
      </c>
      <c r="E179" t="s">
        <v>171</v>
      </c>
      <c r="F179">
        <v>624</v>
      </c>
      <c r="G179">
        <v>2227.75</v>
      </c>
      <c r="H179">
        <v>695.06</v>
      </c>
      <c r="I179" t="s">
        <v>110</v>
      </c>
      <c r="J179" t="s">
        <v>52</v>
      </c>
      <c r="L179" s="1">
        <v>45772</v>
      </c>
      <c r="N179">
        <f>IF(Table1[[#This Row],[side]]="BUY", Table1[[#This Row],[quantity]],-Table1[[#This Row],[quantity]])</f>
        <v>-624</v>
      </c>
      <c r="O179" t="s">
        <v>171</v>
      </c>
      <c r="P179">
        <f>IF(Table1[[#This Row],[side]]="Sell",Table1[[#This Row],[price]],"0")</f>
        <v>2227.75</v>
      </c>
      <c r="Q179">
        <f>SUMIFS(Table1[quantity],Table1[company_id],Table8[[#This Row],[COMPANY_ID]],Table1[side],"BUY")-SUMIFS(Table1[quantity],Table1[company_id],Table8[[#This Row],[COMPANY_ID]],Table1[side],"SELL")</f>
        <v>0</v>
      </c>
      <c r="R179">
        <f>Table1[[#This Row],[Column2]]-Table1[[#This Row],[Buy-sell]]</f>
        <v>2227.75</v>
      </c>
      <c r="S179" t="str">
        <f>IF(Table1[[#This Row],[Sell-Buy]]&gt;0,"Profit","Loss")</f>
        <v>Profit</v>
      </c>
      <c r="T179" s="5" t="s">
        <v>446</v>
      </c>
      <c r="U179" s="8">
        <f>SUMIFS(Table1[price],Table1[order_id],Table15[[#This Row],[order_id]],Table1[side],"BUY")*Table15[[#This Row],[Buy_Quantity]]</f>
        <v>0</v>
      </c>
      <c r="V179" s="8">
        <f>SUMIFS(Table1[price],Table1[order_id],Table15[[#This Row],[order_id]],Table1[side],"SELL")</f>
        <v>1231.9000000000001</v>
      </c>
      <c r="W179" s="8">
        <f>Table15[[#This Row],[sell]]-Table15[[#This Row],[Buy]]</f>
        <v>41884.600000000006</v>
      </c>
      <c r="X179" s="8">
        <f>IF(Table15[[#This Row],[Profit]]&gt;0,1,0)</f>
        <v>1</v>
      </c>
      <c r="Y179" s="5" t="str">
        <f>IF(Table15[[#This Row],[is Profit]]=1,"Profit","Loss")</f>
        <v>Profit</v>
      </c>
      <c r="Z179" s="5">
        <f>SUMIFS(Table1[quantity],Table1[order_id],Table15[[#This Row],[order_id]],Table1[side],"SELL")</f>
        <v>34</v>
      </c>
      <c r="AA179" s="5">
        <f>Table15[[#This Row],[Buy_value]]*Table15[[#This Row],[Buy_Quantity]]</f>
        <v>0</v>
      </c>
      <c r="AB179" s="5">
        <f>Table15[[#This Row],[Sell_Value]]*Table15[[#This Row],[Sell_Quantity]]</f>
        <v>41884.600000000006</v>
      </c>
      <c r="AC179" s="5">
        <f>SUMIFS(Table1[quantity],Table1[order_id],Table15[[#This Row],[order_id]],Table1[side],"BUY")</f>
        <v>0</v>
      </c>
      <c r="AE179" s="10" t="s">
        <v>913</v>
      </c>
      <c r="AF179" s="10" t="str">
        <f>IF(Table1[[#This Row],[Sell-Buy]]&gt;0,"Profit","Loss")</f>
        <v>Profit</v>
      </c>
      <c r="AG179">
        <f>Table1[[#This Row],[Column2]]-Table1[[#This Row],[Buy-sell]]</f>
        <v>2227.75</v>
      </c>
    </row>
    <row r="180" spans="1:33" x14ac:dyDescent="0.3">
      <c r="A180" t="s">
        <v>1145</v>
      </c>
      <c r="B180" t="s">
        <v>432</v>
      </c>
      <c r="C180" s="1">
        <v>45742.005555555559</v>
      </c>
      <c r="D180" t="s">
        <v>14</v>
      </c>
      <c r="E180" t="s">
        <v>166</v>
      </c>
      <c r="F180">
        <v>792</v>
      </c>
      <c r="G180">
        <v>2162.29</v>
      </c>
      <c r="H180">
        <v>856.27</v>
      </c>
      <c r="I180" t="s">
        <v>122</v>
      </c>
      <c r="J180" t="s">
        <v>61</v>
      </c>
      <c r="L180" s="1">
        <v>45659</v>
      </c>
      <c r="M180" t="s">
        <v>166</v>
      </c>
      <c r="N180">
        <f>IF(Table1[[#This Row],[side]]="BUY", Table1[[#This Row],[quantity]],-Table1[[#This Row],[quantity]])</f>
        <v>792</v>
      </c>
      <c r="P180" t="str">
        <f>IF(Table1[[#This Row],[side]]="Sell",Table1[[#This Row],[price]],"0")</f>
        <v>0</v>
      </c>
      <c r="Q180">
        <f>SUMIFS(Table1[quantity],Table1[company_id],Table8[[#This Row],[COMPANY_ID]],Table1[side],"BUY")-SUMIFS(Table1[quantity],Table1[company_id],Table8[[#This Row],[COMPANY_ID]],Table1[side],"SELL")</f>
        <v>0</v>
      </c>
      <c r="R180">
        <f>Table1[[#This Row],[Column2]]-Table1[[#This Row],[Buy-sell]]</f>
        <v>0</v>
      </c>
      <c r="S180" t="str">
        <f>IF(Table1[[#This Row],[Sell-Buy]]&gt;0,"Profit","Loss")</f>
        <v>Loss</v>
      </c>
      <c r="T180" s="5" t="s">
        <v>447</v>
      </c>
      <c r="U180" s="8">
        <f>SUMIFS(Table1[price],Table1[order_id],Table15[[#This Row],[order_id]],Table1[side],"BUY")*Table15[[#This Row],[Buy_Quantity]]</f>
        <v>2027281.08</v>
      </c>
      <c r="V180" s="8">
        <f>SUMIFS(Table1[price],Table1[order_id],Table15[[#This Row],[order_id]],Table1[side],"SELL")</f>
        <v>1285.5</v>
      </c>
      <c r="W180" s="8">
        <f>Table15[[#This Row],[sell]]-Table15[[#This Row],[Buy]]</f>
        <v>-1828502123.1600001</v>
      </c>
      <c r="X180" s="8">
        <f>IF(Table15[[#This Row],[Profit]]&gt;0,1,0)</f>
        <v>0</v>
      </c>
      <c r="Y180" s="5" t="str">
        <f>IF(Table15[[#This Row],[is Profit]]=1,"Profit","Loss")</f>
        <v>Loss</v>
      </c>
      <c r="Z180" s="5">
        <f>SUMIFS(Table1[quantity],Table1[order_id],Table15[[#This Row],[order_id]],Table1[side],"SELL")</f>
        <v>82</v>
      </c>
      <c r="AA180" s="5">
        <f>Table15[[#This Row],[Buy_value]]*Table15[[#This Row],[Buy_Quantity]]</f>
        <v>1828607534.1600001</v>
      </c>
      <c r="AB180" s="5">
        <f>Table15[[#This Row],[Sell_Value]]*Table15[[#This Row],[Sell_Quantity]]</f>
        <v>105411</v>
      </c>
      <c r="AC180" s="5">
        <f>SUMIFS(Table1[quantity],Table1[order_id],Table15[[#This Row],[order_id]],Table1[side],"BUY")</f>
        <v>902</v>
      </c>
      <c r="AE180" s="9" t="s">
        <v>980</v>
      </c>
      <c r="AF180" s="10" t="str">
        <f>IF(Table1[[#This Row],[Sell-Buy]]&gt;0,"Profit","Loss")</f>
        <v>Loss</v>
      </c>
      <c r="AG180">
        <f>Table1[[#This Row],[Column2]]-Table1[[#This Row],[Buy-sell]]</f>
        <v>0</v>
      </c>
    </row>
    <row r="181" spans="1:33" x14ac:dyDescent="0.3">
      <c r="A181" t="s">
        <v>1170</v>
      </c>
      <c r="B181" t="s">
        <v>375</v>
      </c>
      <c r="C181" s="1">
        <v>45826.039583333331</v>
      </c>
      <c r="D181" t="s">
        <v>14</v>
      </c>
      <c r="E181" t="s">
        <v>171</v>
      </c>
      <c r="F181">
        <v>206</v>
      </c>
      <c r="G181">
        <v>2139.5</v>
      </c>
      <c r="H181">
        <v>220.37</v>
      </c>
      <c r="I181" t="s">
        <v>88</v>
      </c>
      <c r="J181" t="s">
        <v>67</v>
      </c>
      <c r="L181" s="1">
        <v>45728</v>
      </c>
      <c r="N181">
        <f>IF(Table1[[#This Row],[side]]="BUY", Table1[[#This Row],[quantity]],-Table1[[#This Row],[quantity]])</f>
        <v>-206</v>
      </c>
      <c r="O181" t="s">
        <v>171</v>
      </c>
      <c r="P181">
        <f>IF(Table1[[#This Row],[side]]="Sell",Table1[[#This Row],[price]],"0")</f>
        <v>2139.5</v>
      </c>
      <c r="Q181">
        <f>SUMIFS(Table1[quantity],Table1[company_id],Table8[[#This Row],[COMPANY_ID]],Table1[side],"BUY")-SUMIFS(Table1[quantity],Table1[company_id],Table8[[#This Row],[COMPANY_ID]],Table1[side],"SELL")</f>
        <v>0</v>
      </c>
      <c r="R181">
        <f>Table1[[#This Row],[Column2]]-Table1[[#This Row],[Buy-sell]]</f>
        <v>2139.5</v>
      </c>
      <c r="S181" t="str">
        <f>IF(Table1[[#This Row],[Sell-Buy]]&gt;0,"Profit","Loss")</f>
        <v>Profit</v>
      </c>
      <c r="T181" s="4" t="s">
        <v>448</v>
      </c>
      <c r="U181" s="8">
        <f>SUMIFS(Table1[price],Table1[order_id],Table15[[#This Row],[order_id]],Table1[side],"BUY")*Table15[[#This Row],[Buy_Quantity]]</f>
        <v>355636.26</v>
      </c>
      <c r="V181" s="8">
        <f>SUMIFS(Table1[price],Table1[order_id],Table15[[#This Row],[order_id]],Table1[side],"SELL")</f>
        <v>627.29999999999995</v>
      </c>
      <c r="W181" s="8">
        <f>Table15[[#This Row],[sell]]-Table15[[#This Row],[Buy]]</f>
        <v>-126393811.02000001</v>
      </c>
      <c r="X181" s="8">
        <f>IF(Table15[[#This Row],[Profit]]&gt;0,1,0)</f>
        <v>0</v>
      </c>
      <c r="Y181" s="5" t="str">
        <f>IF(Table15[[#This Row],[is Profit]]=1,"Profit","Loss")</f>
        <v>Loss</v>
      </c>
      <c r="Z181" s="5">
        <f>SUMIFS(Table1[quantity],Table1[order_id],Table15[[#This Row],[order_id]],Table1[side],"SELL")</f>
        <v>906</v>
      </c>
      <c r="AA181" s="5">
        <f>Table15[[#This Row],[Buy_value]]*Table15[[#This Row],[Buy_Quantity]]</f>
        <v>126962144.82000001</v>
      </c>
      <c r="AB181" s="5">
        <f>Table15[[#This Row],[Sell_Value]]*Table15[[#This Row],[Sell_Quantity]]</f>
        <v>568333.79999999993</v>
      </c>
      <c r="AC181" s="5">
        <f>SUMIFS(Table1[quantity],Table1[order_id],Table15[[#This Row],[order_id]],Table1[side],"BUY")</f>
        <v>357</v>
      </c>
      <c r="AE181" s="10" t="s">
        <v>956</v>
      </c>
      <c r="AF181" s="10" t="str">
        <f>IF(Table1[[#This Row],[Sell-Buy]]&gt;0,"Profit","Loss")</f>
        <v>Profit</v>
      </c>
      <c r="AG181">
        <f>Table1[[#This Row],[Column2]]-Table1[[#This Row],[Buy-sell]]</f>
        <v>2139.5</v>
      </c>
    </row>
    <row r="182" spans="1:33" x14ac:dyDescent="0.3">
      <c r="A182" t="s">
        <v>1171</v>
      </c>
      <c r="B182" t="s">
        <v>305</v>
      </c>
      <c r="C182" s="1">
        <v>45685.017361111109</v>
      </c>
      <c r="D182" t="s">
        <v>14</v>
      </c>
      <c r="E182" t="s">
        <v>166</v>
      </c>
      <c r="F182">
        <v>537</v>
      </c>
      <c r="G182">
        <v>2151.25</v>
      </c>
      <c r="H182">
        <v>577.61</v>
      </c>
      <c r="I182" t="s">
        <v>91</v>
      </c>
      <c r="J182" t="s">
        <v>70</v>
      </c>
      <c r="L182" s="1">
        <v>45721</v>
      </c>
      <c r="M182" t="s">
        <v>166</v>
      </c>
      <c r="N182">
        <f>IF(Table1[[#This Row],[side]]="BUY", Table1[[#This Row],[quantity]],-Table1[[#This Row],[quantity]])</f>
        <v>537</v>
      </c>
      <c r="P182" t="str">
        <f>IF(Table1[[#This Row],[side]]="Sell",Table1[[#This Row],[price]],"0")</f>
        <v>0</v>
      </c>
      <c r="Q182">
        <f>SUMIFS(Table1[quantity],Table1[company_id],Table8[[#This Row],[COMPANY_ID]],Table1[side],"BUY")-SUMIFS(Table1[quantity],Table1[company_id],Table8[[#This Row],[COMPANY_ID]],Table1[side],"SELL")</f>
        <v>0</v>
      </c>
      <c r="R182">
        <f>Table1[[#This Row],[Column2]]-Table1[[#This Row],[Buy-sell]]</f>
        <v>0</v>
      </c>
      <c r="S182" t="str">
        <f>IF(Table1[[#This Row],[Sell-Buy]]&gt;0,"Profit","Loss")</f>
        <v>Loss</v>
      </c>
      <c r="T182" s="5" t="s">
        <v>449</v>
      </c>
      <c r="U182" s="8">
        <f>SUMIFS(Table1[price],Table1[order_id],Table15[[#This Row],[order_id]],Table1[side],"BUY")*Table15[[#This Row],[Buy_Quantity]]</f>
        <v>0</v>
      </c>
      <c r="V182" s="8">
        <f>SUMIFS(Table1[price],Table1[order_id],Table15[[#This Row],[order_id]],Table1[side],"SELL")</f>
        <v>2156.16</v>
      </c>
      <c r="W182" s="8">
        <f>Table15[[#This Row],[sell]]-Table15[[#This Row],[Buy]]</f>
        <v>1696897.92</v>
      </c>
      <c r="X182" s="8">
        <f>IF(Table15[[#This Row],[Profit]]&gt;0,1,0)</f>
        <v>1</v>
      </c>
      <c r="Y182" s="5" t="str">
        <f>IF(Table15[[#This Row],[is Profit]]=1,"Profit","Loss")</f>
        <v>Profit</v>
      </c>
      <c r="Z182" s="5">
        <f>SUMIFS(Table1[quantity],Table1[order_id],Table15[[#This Row],[order_id]],Table1[side],"SELL")</f>
        <v>787</v>
      </c>
      <c r="AA182" s="5">
        <f>Table15[[#This Row],[Buy_value]]*Table15[[#This Row],[Buy_Quantity]]</f>
        <v>0</v>
      </c>
      <c r="AB182" s="5">
        <f>Table15[[#This Row],[Sell_Value]]*Table15[[#This Row],[Sell_Quantity]]</f>
        <v>1696897.92</v>
      </c>
      <c r="AC182" s="5">
        <f>SUMIFS(Table1[quantity],Table1[order_id],Table15[[#This Row],[order_id]],Table1[side],"BUY")</f>
        <v>0</v>
      </c>
      <c r="AE182" s="9" t="s">
        <v>1157</v>
      </c>
      <c r="AF182" s="10" t="str">
        <f>IF(Table1[[#This Row],[Sell-Buy]]&gt;0,"Profit","Loss")</f>
        <v>Loss</v>
      </c>
      <c r="AG182">
        <f>Table1[[#This Row],[Column2]]-Table1[[#This Row],[Buy-sell]]</f>
        <v>0</v>
      </c>
    </row>
    <row r="183" spans="1:33" x14ac:dyDescent="0.3">
      <c r="A183" t="s">
        <v>677</v>
      </c>
      <c r="B183" t="s">
        <v>182</v>
      </c>
      <c r="C183" s="1">
        <v>45687.039583333331</v>
      </c>
      <c r="D183" t="s">
        <v>18</v>
      </c>
      <c r="E183" t="s">
        <v>166</v>
      </c>
      <c r="F183">
        <v>194</v>
      </c>
      <c r="G183">
        <v>604.46</v>
      </c>
      <c r="H183">
        <v>58.63</v>
      </c>
      <c r="I183" t="s">
        <v>122</v>
      </c>
      <c r="J183" t="s">
        <v>76</v>
      </c>
      <c r="L183" s="1">
        <v>45820</v>
      </c>
      <c r="M183" t="s">
        <v>166</v>
      </c>
      <c r="N183">
        <f>IF(Table1[[#This Row],[side]]="BUY", Table1[[#This Row],[quantity]],-Table1[[#This Row],[quantity]])</f>
        <v>194</v>
      </c>
      <c r="P183" t="str">
        <f>IF(Table1[[#This Row],[side]]="Sell",Table1[[#This Row],[price]],"0")</f>
        <v>0</v>
      </c>
      <c r="Q183">
        <f>SUMIFS(Table1[quantity],Table1[company_id],Table8[[#This Row],[COMPANY_ID]],Table1[side],"BUY")-SUMIFS(Table1[quantity],Table1[company_id],Table8[[#This Row],[COMPANY_ID]],Table1[side],"SELL")</f>
        <v>0</v>
      </c>
      <c r="R183">
        <f>Table1[[#This Row],[Column2]]-Table1[[#This Row],[Buy-sell]]</f>
        <v>0</v>
      </c>
      <c r="S183" t="str">
        <f>IF(Table1[[#This Row],[Sell-Buy]]&gt;0,"Profit","Loss")</f>
        <v>Loss</v>
      </c>
      <c r="T183" s="5" t="s">
        <v>450</v>
      </c>
      <c r="U183" s="8">
        <f>SUMIFS(Table1[price],Table1[order_id],Table15[[#This Row],[order_id]],Table1[side],"BUY")*Table15[[#This Row],[Buy_Quantity]]</f>
        <v>515562.05999999994</v>
      </c>
      <c r="V183" s="8">
        <f>SUMIFS(Table1[price],Table1[order_id],Table15[[#This Row],[order_id]],Table1[side],"SELL")</f>
        <v>1415.6399999999999</v>
      </c>
      <c r="W183" s="8">
        <f>Table15[[#This Row],[sell]]-Table15[[#This Row],[Buy]]</f>
        <v>-393881727.29999995</v>
      </c>
      <c r="X183" s="8">
        <f>IF(Table15[[#This Row],[Profit]]&gt;0,1,0)</f>
        <v>0</v>
      </c>
      <c r="Y183" s="5" t="str">
        <f>IF(Table15[[#This Row],[is Profit]]=1,"Profit","Loss")</f>
        <v>Loss</v>
      </c>
      <c r="Z183" s="5">
        <f>SUMIFS(Table1[quantity],Table1[order_id],Table15[[#This Row],[order_id]],Table1[side],"SELL")</f>
        <v>1098</v>
      </c>
      <c r="AA183" s="5">
        <f>Table15[[#This Row],[Buy_value]]*Table15[[#This Row],[Buy_Quantity]]</f>
        <v>395436100.01999998</v>
      </c>
      <c r="AB183" s="5">
        <f>Table15[[#This Row],[Sell_Value]]*Table15[[#This Row],[Sell_Quantity]]</f>
        <v>1554372.72</v>
      </c>
      <c r="AC183" s="5">
        <f>SUMIFS(Table1[quantity],Table1[order_id],Table15[[#This Row],[order_id]],Table1[side],"BUY")</f>
        <v>767</v>
      </c>
      <c r="AE183" s="10" t="s">
        <v>761</v>
      </c>
      <c r="AF183" s="10" t="str">
        <f>IF(Table1[[#This Row],[Sell-Buy]]&gt;0,"Profit","Loss")</f>
        <v>Loss</v>
      </c>
      <c r="AG183">
        <f>Table1[[#This Row],[Column2]]-Table1[[#This Row],[Buy-sell]]</f>
        <v>0</v>
      </c>
    </row>
    <row r="184" spans="1:33" x14ac:dyDescent="0.3">
      <c r="A184" t="s">
        <v>703</v>
      </c>
      <c r="B184" t="s">
        <v>382</v>
      </c>
      <c r="C184" s="1">
        <v>45832.038194444445</v>
      </c>
      <c r="D184" t="s">
        <v>18</v>
      </c>
      <c r="E184" t="s">
        <v>166</v>
      </c>
      <c r="F184">
        <v>315</v>
      </c>
      <c r="G184">
        <v>670.22</v>
      </c>
      <c r="H184">
        <v>105.56</v>
      </c>
      <c r="I184" t="s">
        <v>150</v>
      </c>
      <c r="J184" t="s">
        <v>58</v>
      </c>
      <c r="L184" s="1">
        <v>45692</v>
      </c>
      <c r="M184" t="s">
        <v>166</v>
      </c>
      <c r="N184">
        <f>IF(Table1[[#This Row],[side]]="BUY", Table1[[#This Row],[quantity]],-Table1[[#This Row],[quantity]])</f>
        <v>315</v>
      </c>
      <c r="P184" t="str">
        <f>IF(Table1[[#This Row],[side]]="Sell",Table1[[#This Row],[price]],"0")</f>
        <v>0</v>
      </c>
      <c r="Q184">
        <f>SUMIFS(Table1[quantity],Table1[company_id],Table8[[#This Row],[COMPANY_ID]],Table1[side],"BUY")-SUMIFS(Table1[quantity],Table1[company_id],Table8[[#This Row],[COMPANY_ID]],Table1[side],"SELL")</f>
        <v>0</v>
      </c>
      <c r="R184">
        <f>Table1[[#This Row],[Column2]]-Table1[[#This Row],[Buy-sell]]</f>
        <v>0</v>
      </c>
      <c r="S184" t="str">
        <f>IF(Table1[[#This Row],[Sell-Buy]]&gt;0,"Profit","Loss")</f>
        <v>Loss</v>
      </c>
      <c r="T184" s="4" t="s">
        <v>451</v>
      </c>
      <c r="U184" s="8">
        <f>SUMIFS(Table1[price],Table1[order_id],Table15[[#This Row],[order_id]],Table1[side],"BUY")*Table15[[#This Row],[Buy_Quantity]]</f>
        <v>198653.55000000002</v>
      </c>
      <c r="V184" s="8">
        <f>SUMIFS(Table1[price],Table1[order_id],Table15[[#This Row],[order_id]],Table1[side],"SELL")</f>
        <v>0</v>
      </c>
      <c r="W184" s="8">
        <f>Table15[[#This Row],[sell]]-Table15[[#This Row],[Buy]]</f>
        <v>-162299950.35000002</v>
      </c>
      <c r="X184" s="8">
        <f>IF(Table15[[#This Row],[Profit]]&gt;0,1,0)</f>
        <v>0</v>
      </c>
      <c r="Y184" s="5" t="str">
        <f>IF(Table15[[#This Row],[is Profit]]=1,"Profit","Loss")</f>
        <v>Loss</v>
      </c>
      <c r="Z184" s="5">
        <f>SUMIFS(Table1[quantity],Table1[order_id],Table15[[#This Row],[order_id]],Table1[side],"SELL")</f>
        <v>0</v>
      </c>
      <c r="AA184" s="5">
        <f>Table15[[#This Row],[Buy_value]]*Table15[[#This Row],[Buy_Quantity]]</f>
        <v>162299950.35000002</v>
      </c>
      <c r="AB184" s="5">
        <f>Table15[[#This Row],[Sell_Value]]*Table15[[#This Row],[Sell_Quantity]]</f>
        <v>0</v>
      </c>
      <c r="AC184" s="5">
        <f>SUMIFS(Table1[quantity],Table1[order_id],Table15[[#This Row],[order_id]],Table1[side],"BUY")</f>
        <v>817</v>
      </c>
      <c r="AE184" s="9" t="s">
        <v>1033</v>
      </c>
      <c r="AF184" s="10" t="str">
        <f>IF(Table1[[#This Row],[Sell-Buy]]&gt;0,"Profit","Loss")</f>
        <v>Loss</v>
      </c>
      <c r="AG184">
        <f>Table1[[#This Row],[Column2]]-Table1[[#This Row],[Buy-sell]]</f>
        <v>0</v>
      </c>
    </row>
    <row r="185" spans="1:33" x14ac:dyDescent="0.3">
      <c r="A185" t="s">
        <v>711</v>
      </c>
      <c r="B185" t="s">
        <v>315</v>
      </c>
      <c r="C185" s="1">
        <v>45763.027083333334</v>
      </c>
      <c r="D185" t="s">
        <v>18</v>
      </c>
      <c r="E185" t="s">
        <v>166</v>
      </c>
      <c r="F185">
        <v>768</v>
      </c>
      <c r="G185">
        <v>640.69000000000005</v>
      </c>
      <c r="H185">
        <v>246.02</v>
      </c>
      <c r="I185" t="s">
        <v>106</v>
      </c>
      <c r="J185" t="s">
        <v>55</v>
      </c>
      <c r="L185" s="1">
        <v>45734</v>
      </c>
      <c r="M185" t="s">
        <v>166</v>
      </c>
      <c r="N185">
        <f>IF(Table1[[#This Row],[side]]="BUY", Table1[[#This Row],[quantity]],-Table1[[#This Row],[quantity]])</f>
        <v>768</v>
      </c>
      <c r="P185" t="str">
        <f>IF(Table1[[#This Row],[side]]="Sell",Table1[[#This Row],[price]],"0")</f>
        <v>0</v>
      </c>
      <c r="Q185">
        <f>SUMIFS(Table1[quantity],Table1[company_id],Table8[[#This Row],[COMPANY_ID]],Table1[side],"BUY")-SUMIFS(Table1[quantity],Table1[company_id],Table8[[#This Row],[COMPANY_ID]],Table1[side],"SELL")</f>
        <v>0</v>
      </c>
      <c r="R185">
        <f>Table1[[#This Row],[Column2]]-Table1[[#This Row],[Buy-sell]]</f>
        <v>0</v>
      </c>
      <c r="S185" t="str">
        <f>IF(Table1[[#This Row],[Sell-Buy]]&gt;0,"Profit","Loss")</f>
        <v>Loss</v>
      </c>
      <c r="T185" s="4" t="s">
        <v>452</v>
      </c>
      <c r="U185" s="8">
        <f>SUMIFS(Table1[price],Table1[order_id],Table15[[#This Row],[order_id]],Table1[side],"BUY")*Table15[[#This Row],[Buy_Quantity]]</f>
        <v>626046.89</v>
      </c>
      <c r="V185" s="8">
        <f>SUMIFS(Table1[price],Table1[order_id],Table15[[#This Row],[order_id]],Table1[side],"SELL")</f>
        <v>0</v>
      </c>
      <c r="W185" s="8">
        <f>Table15[[#This Row],[sell]]-Table15[[#This Row],[Buy]]</f>
        <v>-619160374.21000004</v>
      </c>
      <c r="X185" s="8">
        <f>IF(Table15[[#This Row],[Profit]]&gt;0,1,0)</f>
        <v>0</v>
      </c>
      <c r="Y185" s="5" t="str">
        <f>IF(Table15[[#This Row],[is Profit]]=1,"Profit","Loss")</f>
        <v>Loss</v>
      </c>
      <c r="Z185" s="5">
        <f>SUMIFS(Table1[quantity],Table1[order_id],Table15[[#This Row],[order_id]],Table1[side],"SELL")</f>
        <v>0</v>
      </c>
      <c r="AA185" s="5">
        <f>Table15[[#This Row],[Buy_value]]*Table15[[#This Row],[Buy_Quantity]]</f>
        <v>619160374.21000004</v>
      </c>
      <c r="AB185" s="5">
        <f>Table15[[#This Row],[Sell_Value]]*Table15[[#This Row],[Sell_Quantity]]</f>
        <v>0</v>
      </c>
      <c r="AC185" s="5">
        <f>SUMIFS(Table1[quantity],Table1[order_id],Table15[[#This Row],[order_id]],Table1[side],"BUY")</f>
        <v>989</v>
      </c>
      <c r="AE185" s="10" t="s">
        <v>688</v>
      </c>
      <c r="AF185" s="10" t="str">
        <f>IF(Table1[[#This Row],[Sell-Buy]]&gt;0,"Profit","Loss")</f>
        <v>Loss</v>
      </c>
      <c r="AG185">
        <f>Table1[[#This Row],[Column2]]-Table1[[#This Row],[Buy-sell]]</f>
        <v>0</v>
      </c>
    </row>
    <row r="186" spans="1:33" x14ac:dyDescent="0.3">
      <c r="A186" t="s">
        <v>756</v>
      </c>
      <c r="B186" t="s">
        <v>577</v>
      </c>
      <c r="C186" s="1">
        <v>45833.031944444447</v>
      </c>
      <c r="D186" t="s">
        <v>18</v>
      </c>
      <c r="E186" t="s">
        <v>171</v>
      </c>
      <c r="F186">
        <v>491</v>
      </c>
      <c r="G186">
        <v>673.55</v>
      </c>
      <c r="H186">
        <v>165.36</v>
      </c>
      <c r="I186" t="s">
        <v>144</v>
      </c>
      <c r="J186" t="s">
        <v>55</v>
      </c>
      <c r="L186" s="1">
        <v>45736</v>
      </c>
      <c r="N186">
        <f>IF(Table1[[#This Row],[side]]="BUY", Table1[[#This Row],[quantity]],-Table1[[#This Row],[quantity]])</f>
        <v>-491</v>
      </c>
      <c r="O186" t="s">
        <v>171</v>
      </c>
      <c r="P186">
        <f>IF(Table1[[#This Row],[side]]="Sell",Table1[[#This Row],[price]],"0")</f>
        <v>673.55</v>
      </c>
      <c r="Q186">
        <f>SUMIFS(Table1[quantity],Table1[company_id],Table8[[#This Row],[COMPANY_ID]],Table1[side],"BUY")-SUMIFS(Table1[quantity],Table1[company_id],Table8[[#This Row],[COMPANY_ID]],Table1[side],"SELL")</f>
        <v>0</v>
      </c>
      <c r="R186">
        <f>Table1[[#This Row],[Column2]]-Table1[[#This Row],[Buy-sell]]</f>
        <v>673.55</v>
      </c>
      <c r="S186" t="str">
        <f>IF(Table1[[#This Row],[Sell-Buy]]&gt;0,"Profit","Loss")</f>
        <v>Profit</v>
      </c>
      <c r="T186" s="5" t="s">
        <v>453</v>
      </c>
      <c r="U186" s="8">
        <f>SUMIFS(Table1[price],Table1[order_id],Table15[[#This Row],[order_id]],Table1[side],"BUY")*Table15[[#This Row],[Buy_Quantity]]</f>
        <v>60152.5</v>
      </c>
      <c r="V186" s="8">
        <f>SUMIFS(Table1[price],Table1[order_id],Table15[[#This Row],[order_id]],Table1[side],"SELL")</f>
        <v>0</v>
      </c>
      <c r="W186" s="8">
        <f>Table15[[#This Row],[sell]]-Table15[[#This Row],[Buy]]</f>
        <v>-3007625</v>
      </c>
      <c r="X186" s="8">
        <f>IF(Table15[[#This Row],[Profit]]&gt;0,1,0)</f>
        <v>0</v>
      </c>
      <c r="Y186" s="5" t="str">
        <f>IF(Table15[[#This Row],[is Profit]]=1,"Profit","Loss")</f>
        <v>Loss</v>
      </c>
      <c r="Z186" s="5">
        <f>SUMIFS(Table1[quantity],Table1[order_id],Table15[[#This Row],[order_id]],Table1[side],"SELL")</f>
        <v>0</v>
      </c>
      <c r="AA186" s="5">
        <f>Table15[[#This Row],[Buy_value]]*Table15[[#This Row],[Buy_Quantity]]</f>
        <v>3007625</v>
      </c>
      <c r="AB186" s="5">
        <f>Table15[[#This Row],[Sell_Value]]*Table15[[#This Row],[Sell_Quantity]]</f>
        <v>0</v>
      </c>
      <c r="AC186" s="5">
        <f>SUMIFS(Table1[quantity],Table1[order_id],Table15[[#This Row],[order_id]],Table1[side],"BUY")</f>
        <v>50</v>
      </c>
      <c r="AE186" s="9" t="s">
        <v>1071</v>
      </c>
      <c r="AF186" s="10" t="str">
        <f>IF(Table1[[#This Row],[Sell-Buy]]&gt;0,"Profit","Loss")</f>
        <v>Profit</v>
      </c>
      <c r="AG186">
        <f>Table1[[#This Row],[Column2]]-Table1[[#This Row],[Buy-sell]]</f>
        <v>673.55</v>
      </c>
    </row>
    <row r="187" spans="1:33" x14ac:dyDescent="0.3">
      <c r="A187" t="s">
        <v>759</v>
      </c>
      <c r="B187" t="s">
        <v>494</v>
      </c>
      <c r="C187" s="1">
        <v>45778.037499999999</v>
      </c>
      <c r="D187" t="s">
        <v>18</v>
      </c>
      <c r="E187" t="s">
        <v>171</v>
      </c>
      <c r="F187">
        <v>562</v>
      </c>
      <c r="G187">
        <v>667.06</v>
      </c>
      <c r="H187">
        <v>187.44</v>
      </c>
      <c r="I187" t="s">
        <v>130</v>
      </c>
      <c r="J187" t="s">
        <v>73</v>
      </c>
      <c r="L187" s="1">
        <v>45763</v>
      </c>
      <c r="N187">
        <f>IF(Table1[[#This Row],[side]]="BUY", Table1[[#This Row],[quantity]],-Table1[[#This Row],[quantity]])</f>
        <v>-562</v>
      </c>
      <c r="O187" t="s">
        <v>171</v>
      </c>
      <c r="P187">
        <f>IF(Table1[[#This Row],[side]]="Sell",Table1[[#This Row],[price]],"0")</f>
        <v>667.06</v>
      </c>
      <c r="Q187">
        <f>SUMIFS(Table1[quantity],Table1[company_id],Table8[[#This Row],[COMPANY_ID]],Table1[side],"BUY")-SUMIFS(Table1[quantity],Table1[company_id],Table8[[#This Row],[COMPANY_ID]],Table1[side],"SELL")</f>
        <v>0</v>
      </c>
      <c r="R187">
        <f>Table1[[#This Row],[Column2]]-Table1[[#This Row],[Buy-sell]]</f>
        <v>667.06</v>
      </c>
      <c r="S187" t="str">
        <f>IF(Table1[[#This Row],[Sell-Buy]]&gt;0,"Profit","Loss")</f>
        <v>Profit</v>
      </c>
      <c r="T187" s="5" t="s">
        <v>455</v>
      </c>
      <c r="U187" s="8">
        <f>SUMIFS(Table1[price],Table1[order_id],Table15[[#This Row],[order_id]],Table1[side],"BUY")*Table15[[#This Row],[Buy_Quantity]]</f>
        <v>551556.23</v>
      </c>
      <c r="V187" s="8">
        <f>SUMIFS(Table1[price],Table1[order_id],Table15[[#This Row],[order_id]],Table1[side],"SELL")</f>
        <v>232.29</v>
      </c>
      <c r="W187" s="8">
        <f>Table15[[#This Row],[sell]]-Table15[[#This Row],[Buy]]</f>
        <v>-506795854.10000002</v>
      </c>
      <c r="X187" s="8">
        <f>IF(Table15[[#This Row],[Profit]]&gt;0,1,0)</f>
        <v>0</v>
      </c>
      <c r="Y187" s="5" t="str">
        <f>IF(Table15[[#This Row],[is Profit]]=1,"Profit","Loss")</f>
        <v>Loss</v>
      </c>
      <c r="Z187" s="5">
        <f>SUMIFS(Table1[quantity],Table1[order_id],Table15[[#This Row],[order_id]],Table1[side],"SELL")</f>
        <v>363</v>
      </c>
      <c r="AA187" s="5">
        <f>Table15[[#This Row],[Buy_value]]*Table15[[#This Row],[Buy_Quantity]]</f>
        <v>506880175.37</v>
      </c>
      <c r="AB187" s="5">
        <f>Table15[[#This Row],[Sell_Value]]*Table15[[#This Row],[Sell_Quantity]]</f>
        <v>84321.27</v>
      </c>
      <c r="AC187" s="5">
        <f>SUMIFS(Table1[quantity],Table1[order_id],Table15[[#This Row],[order_id]],Table1[side],"BUY")</f>
        <v>919</v>
      </c>
      <c r="AE187" s="10" t="s">
        <v>721</v>
      </c>
      <c r="AF187" s="10" t="str">
        <f>IF(Table1[[#This Row],[Sell-Buy]]&gt;0,"Profit","Loss")</f>
        <v>Profit</v>
      </c>
      <c r="AG187">
        <f>Table1[[#This Row],[Column2]]-Table1[[#This Row],[Buy-sell]]</f>
        <v>667.06</v>
      </c>
    </row>
    <row r="188" spans="1:33" x14ac:dyDescent="0.3">
      <c r="A188" t="s">
        <v>723</v>
      </c>
      <c r="B188" t="s">
        <v>210</v>
      </c>
      <c r="C188" s="1">
        <v>45716.031944444447</v>
      </c>
      <c r="D188" t="s">
        <v>18</v>
      </c>
      <c r="E188" t="s">
        <v>166</v>
      </c>
      <c r="F188">
        <v>855</v>
      </c>
      <c r="G188">
        <v>665.51</v>
      </c>
      <c r="H188">
        <v>284.51</v>
      </c>
      <c r="I188" t="s">
        <v>88</v>
      </c>
      <c r="J188" t="s">
        <v>67</v>
      </c>
      <c r="L188" s="1">
        <v>45810</v>
      </c>
      <c r="M188" t="s">
        <v>166</v>
      </c>
      <c r="N188">
        <f>IF(Table1[[#This Row],[side]]="BUY", Table1[[#This Row],[quantity]],-Table1[[#This Row],[quantity]])</f>
        <v>855</v>
      </c>
      <c r="P188" t="str">
        <f>IF(Table1[[#This Row],[side]]="Sell",Table1[[#This Row],[price]],"0")</f>
        <v>0</v>
      </c>
      <c r="Q188">
        <f>SUMIFS(Table1[quantity],Table1[company_id],Table8[[#This Row],[COMPANY_ID]],Table1[side],"BUY")-SUMIFS(Table1[quantity],Table1[company_id],Table8[[#This Row],[COMPANY_ID]],Table1[side],"SELL")</f>
        <v>0</v>
      </c>
      <c r="R188">
        <f>Table1[[#This Row],[Column2]]-Table1[[#This Row],[Buy-sell]]</f>
        <v>0</v>
      </c>
      <c r="S188" t="str">
        <f>IF(Table1[[#This Row],[Sell-Buy]]&gt;0,"Profit","Loss")</f>
        <v>Loss</v>
      </c>
      <c r="T188" s="5" t="s">
        <v>456</v>
      </c>
      <c r="U188" s="8">
        <f>SUMIFS(Table1[price],Table1[order_id],Table15[[#This Row],[order_id]],Table1[side],"BUY")*Table15[[#This Row],[Buy_Quantity]]</f>
        <v>178332.12</v>
      </c>
      <c r="V188" s="8">
        <f>SUMIFS(Table1[price],Table1[order_id],Table15[[#This Row],[order_id]],Table1[side],"SELL")</f>
        <v>0</v>
      </c>
      <c r="W188" s="8">
        <f>Table15[[#This Row],[sell]]-Table15[[#This Row],[Buy]]</f>
        <v>-50646322.079999998</v>
      </c>
      <c r="X188" s="8">
        <f>IF(Table15[[#This Row],[Profit]]&gt;0,1,0)</f>
        <v>0</v>
      </c>
      <c r="Y188" s="5" t="str">
        <f>IF(Table15[[#This Row],[is Profit]]=1,"Profit","Loss")</f>
        <v>Loss</v>
      </c>
      <c r="Z188" s="5">
        <f>SUMIFS(Table1[quantity],Table1[order_id],Table15[[#This Row],[order_id]],Table1[side],"SELL")</f>
        <v>0</v>
      </c>
      <c r="AA188" s="5">
        <f>Table15[[#This Row],[Buy_value]]*Table15[[#This Row],[Buy_Quantity]]</f>
        <v>50646322.079999998</v>
      </c>
      <c r="AB188" s="5">
        <f>Table15[[#This Row],[Sell_Value]]*Table15[[#This Row],[Sell_Quantity]]</f>
        <v>0</v>
      </c>
      <c r="AC188" s="5">
        <f>SUMIFS(Table1[quantity],Table1[order_id],Table15[[#This Row],[order_id]],Table1[side],"BUY")</f>
        <v>284</v>
      </c>
      <c r="AE188" s="9" t="s">
        <v>853</v>
      </c>
      <c r="AF188" s="10" t="str">
        <f>IF(Table1[[#This Row],[Sell-Buy]]&gt;0,"Profit","Loss")</f>
        <v>Loss</v>
      </c>
      <c r="AG188">
        <f>Table1[[#This Row],[Column2]]-Table1[[#This Row],[Buy-sell]]</f>
        <v>0</v>
      </c>
    </row>
    <row r="189" spans="1:33" x14ac:dyDescent="0.3">
      <c r="A189" t="s">
        <v>765</v>
      </c>
      <c r="B189" t="s">
        <v>625</v>
      </c>
      <c r="C189" s="1">
        <v>45784.010416666664</v>
      </c>
      <c r="D189" t="s">
        <v>18</v>
      </c>
      <c r="E189" t="s">
        <v>171</v>
      </c>
      <c r="F189">
        <v>319</v>
      </c>
      <c r="G189">
        <v>664.41</v>
      </c>
      <c r="H189">
        <v>105.97</v>
      </c>
      <c r="I189" t="s">
        <v>146</v>
      </c>
      <c r="J189" t="s">
        <v>70</v>
      </c>
      <c r="L189" s="1">
        <v>45665</v>
      </c>
      <c r="N189">
        <f>IF(Table1[[#This Row],[side]]="BUY", Table1[[#This Row],[quantity]],-Table1[[#This Row],[quantity]])</f>
        <v>-319</v>
      </c>
      <c r="O189" t="s">
        <v>171</v>
      </c>
      <c r="P189">
        <f>IF(Table1[[#This Row],[side]]="Sell",Table1[[#This Row],[price]],"0")</f>
        <v>664.41</v>
      </c>
      <c r="Q189">
        <f>SUMIFS(Table1[quantity],Table1[company_id],Table8[[#This Row],[COMPANY_ID]],Table1[side],"BUY")-SUMIFS(Table1[quantity],Table1[company_id],Table8[[#This Row],[COMPANY_ID]],Table1[side],"SELL")</f>
        <v>0</v>
      </c>
      <c r="R189">
        <f>Table1[[#This Row],[Column2]]-Table1[[#This Row],[Buy-sell]]</f>
        <v>664.41</v>
      </c>
      <c r="S189" t="str">
        <f>IF(Table1[[#This Row],[Sell-Buy]]&gt;0,"Profit","Loss")</f>
        <v>Profit</v>
      </c>
      <c r="T189" s="5" t="s">
        <v>457</v>
      </c>
      <c r="U189" s="8">
        <f>SUMIFS(Table1[price],Table1[order_id],Table15[[#This Row],[order_id]],Table1[side],"BUY")*Table15[[#This Row],[Buy_Quantity]]</f>
        <v>73303.12</v>
      </c>
      <c r="V189" s="8">
        <f>SUMIFS(Table1[price],Table1[order_id],Table15[[#This Row],[order_id]],Table1[side],"SELL")</f>
        <v>1038.8</v>
      </c>
      <c r="W189" s="8">
        <f>Table15[[#This Row],[sell]]-Table15[[#This Row],[Buy]]</f>
        <v>-5616518.1600000001</v>
      </c>
      <c r="X189" s="8">
        <f>IF(Table15[[#This Row],[Profit]]&gt;0,1,0)</f>
        <v>0</v>
      </c>
      <c r="Y189" s="5" t="str">
        <f>IF(Table15[[#This Row],[is Profit]]=1,"Profit","Loss")</f>
        <v>Loss</v>
      </c>
      <c r="Z189" s="5">
        <f>SUMIFS(Table1[quantity],Table1[order_id],Table15[[#This Row],[order_id]],Table1[side],"SELL")</f>
        <v>803</v>
      </c>
      <c r="AA189" s="5">
        <f>Table15[[#This Row],[Buy_value]]*Table15[[#This Row],[Buy_Quantity]]</f>
        <v>6450674.5599999996</v>
      </c>
      <c r="AB189" s="5">
        <f>Table15[[#This Row],[Sell_Value]]*Table15[[#This Row],[Sell_Quantity]]</f>
        <v>834156.39999999991</v>
      </c>
      <c r="AC189" s="5">
        <f>SUMIFS(Table1[quantity],Table1[order_id],Table15[[#This Row],[order_id]],Table1[side],"BUY")</f>
        <v>88</v>
      </c>
      <c r="AE189" s="10" t="s">
        <v>1098</v>
      </c>
      <c r="AF189" s="10" t="str">
        <f>IF(Table1[[#This Row],[Sell-Buy]]&gt;0,"Profit","Loss")</f>
        <v>Profit</v>
      </c>
      <c r="AG189">
        <f>Table1[[#This Row],[Column2]]-Table1[[#This Row],[Buy-sell]]</f>
        <v>664.41</v>
      </c>
    </row>
    <row r="190" spans="1:33" x14ac:dyDescent="0.3">
      <c r="A190" t="s">
        <v>728</v>
      </c>
      <c r="B190" t="s">
        <v>224</v>
      </c>
      <c r="C190" s="1">
        <v>45677.008333333331</v>
      </c>
      <c r="D190" t="s">
        <v>18</v>
      </c>
      <c r="E190" t="s">
        <v>166</v>
      </c>
      <c r="F190">
        <v>383</v>
      </c>
      <c r="G190">
        <v>600.54</v>
      </c>
      <c r="H190">
        <v>115</v>
      </c>
      <c r="I190" t="s">
        <v>150</v>
      </c>
      <c r="J190" t="s">
        <v>70</v>
      </c>
      <c r="L190" s="1">
        <v>45820</v>
      </c>
      <c r="M190" t="s">
        <v>166</v>
      </c>
      <c r="N190">
        <f>IF(Table1[[#This Row],[side]]="BUY", Table1[[#This Row],[quantity]],-Table1[[#This Row],[quantity]])</f>
        <v>383</v>
      </c>
      <c r="P190" t="str">
        <f>IF(Table1[[#This Row],[side]]="Sell",Table1[[#This Row],[price]],"0")</f>
        <v>0</v>
      </c>
      <c r="Q190">
        <f>SUMIFS(Table1[quantity],Table1[company_id],Table8[[#This Row],[COMPANY_ID]],Table1[side],"BUY")-SUMIFS(Table1[quantity],Table1[company_id],Table8[[#This Row],[COMPANY_ID]],Table1[side],"SELL")</f>
        <v>0</v>
      </c>
      <c r="R190">
        <f>Table1[[#This Row],[Column2]]-Table1[[#This Row],[Buy-sell]]</f>
        <v>0</v>
      </c>
      <c r="S190" t="str">
        <f>IF(Table1[[#This Row],[Sell-Buy]]&gt;0,"Profit","Loss")</f>
        <v>Loss</v>
      </c>
      <c r="T190" s="4" t="s">
        <v>458</v>
      </c>
      <c r="U190" s="8">
        <f>SUMIFS(Table1[price],Table1[order_id],Table15[[#This Row],[order_id]],Table1[side],"BUY")*Table15[[#This Row],[Buy_Quantity]]</f>
        <v>197964.4</v>
      </c>
      <c r="V190" s="8">
        <f>SUMIFS(Table1[price],Table1[order_id],Table15[[#This Row],[order_id]],Table1[side],"SELL")</f>
        <v>814.88</v>
      </c>
      <c r="W190" s="8">
        <f>Table15[[#This Row],[sell]]-Table15[[#This Row],[Buy]]</f>
        <v>-161578673.75999999</v>
      </c>
      <c r="X190" s="8">
        <f>IF(Table15[[#This Row],[Profit]]&gt;0,1,0)</f>
        <v>0</v>
      </c>
      <c r="Y190" s="5" t="str">
        <f>IF(Table15[[#This Row],[is Profit]]=1,"Profit","Loss")</f>
        <v>Loss</v>
      </c>
      <c r="Z190" s="5">
        <f>SUMIFS(Table1[quantity],Table1[order_id],Table15[[#This Row],[order_id]],Table1[side],"SELL")</f>
        <v>923</v>
      </c>
      <c r="AA190" s="5">
        <f>Table15[[#This Row],[Buy_value]]*Table15[[#This Row],[Buy_Quantity]]</f>
        <v>162330808</v>
      </c>
      <c r="AB190" s="5">
        <f>Table15[[#This Row],[Sell_Value]]*Table15[[#This Row],[Sell_Quantity]]</f>
        <v>752134.24</v>
      </c>
      <c r="AC190" s="5">
        <f>SUMIFS(Table1[quantity],Table1[order_id],Table15[[#This Row],[order_id]],Table1[side],"BUY")</f>
        <v>820</v>
      </c>
      <c r="AE190" s="9" t="s">
        <v>789</v>
      </c>
      <c r="AF190" s="10" t="str">
        <f>IF(Table1[[#This Row],[Sell-Buy]]&gt;0,"Profit","Loss")</f>
        <v>Loss</v>
      </c>
      <c r="AG190">
        <f>Table1[[#This Row],[Column2]]-Table1[[#This Row],[Buy-sell]]</f>
        <v>0</v>
      </c>
    </row>
    <row r="191" spans="1:33" x14ac:dyDescent="0.3">
      <c r="A191" t="s">
        <v>776</v>
      </c>
      <c r="B191" t="s">
        <v>470</v>
      </c>
      <c r="C191" s="1">
        <v>45763.027083333334</v>
      </c>
      <c r="D191" t="s">
        <v>18</v>
      </c>
      <c r="E191" t="s">
        <v>171</v>
      </c>
      <c r="F191">
        <v>307</v>
      </c>
      <c r="G191">
        <v>639.54</v>
      </c>
      <c r="H191">
        <v>98.17</v>
      </c>
      <c r="I191" t="s">
        <v>104</v>
      </c>
      <c r="J191" t="s">
        <v>49</v>
      </c>
      <c r="L191" s="1">
        <v>45771</v>
      </c>
      <c r="N191">
        <f>IF(Table1[[#This Row],[side]]="BUY", Table1[[#This Row],[quantity]],-Table1[[#This Row],[quantity]])</f>
        <v>-307</v>
      </c>
      <c r="O191" t="s">
        <v>171</v>
      </c>
      <c r="P191">
        <f>IF(Table1[[#This Row],[side]]="Sell",Table1[[#This Row],[price]],"0")</f>
        <v>639.54</v>
      </c>
      <c r="Q191">
        <f>SUMIFS(Table1[quantity],Table1[company_id],Table8[[#This Row],[COMPANY_ID]],Table1[side],"BUY")-SUMIFS(Table1[quantity],Table1[company_id],Table8[[#This Row],[COMPANY_ID]],Table1[side],"SELL")</f>
        <v>0</v>
      </c>
      <c r="R191">
        <f>Table1[[#This Row],[Column2]]-Table1[[#This Row],[Buy-sell]]</f>
        <v>639.54</v>
      </c>
      <c r="S191" t="str">
        <f>IF(Table1[[#This Row],[Sell-Buy]]&gt;0,"Profit","Loss")</f>
        <v>Profit</v>
      </c>
      <c r="T191" s="5" t="s">
        <v>459</v>
      </c>
      <c r="U191" s="8">
        <f>SUMIFS(Table1[price],Table1[order_id],Table15[[#This Row],[order_id]],Table1[side],"BUY")*Table15[[#This Row],[Buy_Quantity]]</f>
        <v>0</v>
      </c>
      <c r="V191" s="8">
        <f>SUMIFS(Table1[price],Table1[order_id],Table15[[#This Row],[order_id]],Table1[side],"SELL")</f>
        <v>1236.33</v>
      </c>
      <c r="W191" s="8">
        <f>Table15[[#This Row],[sell]]-Table15[[#This Row],[Buy]]</f>
        <v>1420543.17</v>
      </c>
      <c r="X191" s="8">
        <f>IF(Table15[[#This Row],[Profit]]&gt;0,1,0)</f>
        <v>1</v>
      </c>
      <c r="Y191" s="5" t="str">
        <f>IF(Table15[[#This Row],[is Profit]]=1,"Profit","Loss")</f>
        <v>Profit</v>
      </c>
      <c r="Z191" s="5">
        <f>SUMIFS(Table1[quantity],Table1[order_id],Table15[[#This Row],[order_id]],Table1[side],"SELL")</f>
        <v>1149</v>
      </c>
      <c r="AA191" s="5">
        <f>Table15[[#This Row],[Buy_value]]*Table15[[#This Row],[Buy_Quantity]]</f>
        <v>0</v>
      </c>
      <c r="AB191" s="5">
        <f>Table15[[#This Row],[Sell_Value]]*Table15[[#This Row],[Sell_Quantity]]</f>
        <v>1420543.17</v>
      </c>
      <c r="AC191" s="5">
        <f>SUMIFS(Table1[quantity],Table1[order_id],Table15[[#This Row],[order_id]],Table1[side],"BUY")</f>
        <v>0</v>
      </c>
      <c r="AE191" s="10" t="s">
        <v>763</v>
      </c>
      <c r="AF191" s="10" t="str">
        <f>IF(Table1[[#This Row],[Sell-Buy]]&gt;0,"Profit","Loss")</f>
        <v>Profit</v>
      </c>
      <c r="AG191">
        <f>Table1[[#This Row],[Column2]]-Table1[[#This Row],[Buy-sell]]</f>
        <v>639.54</v>
      </c>
    </row>
    <row r="192" spans="1:33" x14ac:dyDescent="0.3">
      <c r="A192" t="s">
        <v>733</v>
      </c>
      <c r="B192" t="s">
        <v>424</v>
      </c>
      <c r="C192" s="1">
        <v>45778.025000000001</v>
      </c>
      <c r="D192" t="s">
        <v>18</v>
      </c>
      <c r="E192" t="s">
        <v>166</v>
      </c>
      <c r="F192">
        <v>472</v>
      </c>
      <c r="G192">
        <v>667.16</v>
      </c>
      <c r="H192">
        <v>157.44999999999999</v>
      </c>
      <c r="I192" t="s">
        <v>132</v>
      </c>
      <c r="J192" t="s">
        <v>49</v>
      </c>
      <c r="L192" s="1">
        <v>45778</v>
      </c>
      <c r="M192" t="s">
        <v>166</v>
      </c>
      <c r="N192">
        <f>IF(Table1[[#This Row],[side]]="BUY", Table1[[#This Row],[quantity]],-Table1[[#This Row],[quantity]])</f>
        <v>472</v>
      </c>
      <c r="P192" t="str">
        <f>IF(Table1[[#This Row],[side]]="Sell",Table1[[#This Row],[price]],"0")</f>
        <v>0</v>
      </c>
      <c r="Q192">
        <f>SUMIFS(Table1[quantity],Table1[company_id],Table8[[#This Row],[COMPANY_ID]],Table1[side],"BUY")-SUMIFS(Table1[quantity],Table1[company_id],Table8[[#This Row],[COMPANY_ID]],Table1[side],"SELL")</f>
        <v>0</v>
      </c>
      <c r="R192">
        <f>Table1[[#This Row],[Column2]]-Table1[[#This Row],[Buy-sell]]</f>
        <v>0</v>
      </c>
      <c r="S192" t="str">
        <f>IF(Table1[[#This Row],[Sell-Buy]]&gt;0,"Profit","Loss")</f>
        <v>Loss</v>
      </c>
      <c r="T192" s="5" t="s">
        <v>460</v>
      </c>
      <c r="U192" s="8">
        <f>SUMIFS(Table1[price],Table1[order_id],Table15[[#This Row],[order_id]],Table1[side],"BUY")*Table15[[#This Row],[Buy_Quantity]]</f>
        <v>327392.52</v>
      </c>
      <c r="V192" s="8">
        <f>SUMIFS(Table1[price],Table1[order_id],Table15[[#This Row],[order_id]],Table1[side],"SELL")</f>
        <v>2503.21</v>
      </c>
      <c r="W192" s="8">
        <f>Table15[[#This Row],[sell]]-Table15[[#This Row],[Buy]]</f>
        <v>-176335711.85000002</v>
      </c>
      <c r="X192" s="8">
        <f>IF(Table15[[#This Row],[Profit]]&gt;0,1,0)</f>
        <v>0</v>
      </c>
      <c r="Y192" s="5" t="str">
        <f>IF(Table15[[#This Row],[is Profit]]=1,"Profit","Loss")</f>
        <v>Loss</v>
      </c>
      <c r="Z192" s="5">
        <f>SUMIFS(Table1[quantity],Table1[order_id],Table15[[#This Row],[order_id]],Table1[side],"SELL")</f>
        <v>967</v>
      </c>
      <c r="AA192" s="5">
        <f>Table15[[#This Row],[Buy_value]]*Table15[[#This Row],[Buy_Quantity]]</f>
        <v>178756315.92000002</v>
      </c>
      <c r="AB192" s="5">
        <f>Table15[[#This Row],[Sell_Value]]*Table15[[#This Row],[Sell_Quantity]]</f>
        <v>2420604.0699999998</v>
      </c>
      <c r="AC192" s="5">
        <f>SUMIFS(Table1[quantity],Table1[order_id],Table15[[#This Row],[order_id]],Table1[side],"BUY")</f>
        <v>546</v>
      </c>
      <c r="AE192" s="9" t="s">
        <v>753</v>
      </c>
      <c r="AF192" s="10" t="str">
        <f>IF(Table1[[#This Row],[Sell-Buy]]&gt;0,"Profit","Loss")</f>
        <v>Loss</v>
      </c>
      <c r="AG192">
        <f>Table1[[#This Row],[Column2]]-Table1[[#This Row],[Buy-sell]]</f>
        <v>0</v>
      </c>
    </row>
    <row r="193" spans="1:33" x14ac:dyDescent="0.3">
      <c r="A193" t="s">
        <v>779</v>
      </c>
      <c r="B193" t="s">
        <v>566</v>
      </c>
      <c r="C193" s="1">
        <v>45709.02847222222</v>
      </c>
      <c r="D193" t="s">
        <v>18</v>
      </c>
      <c r="E193" t="s">
        <v>171</v>
      </c>
      <c r="F193">
        <v>407</v>
      </c>
      <c r="G193">
        <v>626.77</v>
      </c>
      <c r="H193">
        <v>127.55</v>
      </c>
      <c r="I193" t="s">
        <v>148</v>
      </c>
      <c r="J193" t="s">
        <v>76</v>
      </c>
      <c r="L193" s="1">
        <v>45672</v>
      </c>
      <c r="N193">
        <f>IF(Table1[[#This Row],[side]]="BUY", Table1[[#This Row],[quantity]],-Table1[[#This Row],[quantity]])</f>
        <v>-407</v>
      </c>
      <c r="O193" t="s">
        <v>171</v>
      </c>
      <c r="P193">
        <f>IF(Table1[[#This Row],[side]]="Sell",Table1[[#This Row],[price]],"0")</f>
        <v>626.77</v>
      </c>
      <c r="Q193">
        <f>SUMIFS(Table1[quantity],Table1[company_id],Table8[[#This Row],[COMPANY_ID]],Table1[side],"BUY")-SUMIFS(Table1[quantity],Table1[company_id],Table8[[#This Row],[COMPANY_ID]],Table1[side],"SELL")</f>
        <v>0</v>
      </c>
      <c r="R193">
        <f>Table1[[#This Row],[Column2]]-Table1[[#This Row],[Buy-sell]]</f>
        <v>626.77</v>
      </c>
      <c r="S193" t="str">
        <f>IF(Table1[[#This Row],[Sell-Buy]]&gt;0,"Profit","Loss")</f>
        <v>Profit</v>
      </c>
      <c r="T193" s="4" t="s">
        <v>462</v>
      </c>
      <c r="U193" s="8">
        <f>SUMIFS(Table1[price],Table1[order_id],Table15[[#This Row],[order_id]],Table1[side],"BUY")*Table15[[#This Row],[Buy_Quantity]]</f>
        <v>0</v>
      </c>
      <c r="V193" s="8">
        <f>SUMIFS(Table1[price],Table1[order_id],Table15[[#This Row],[order_id]],Table1[side],"SELL")</f>
        <v>2123.2399999999998</v>
      </c>
      <c r="W193" s="8">
        <f>Table15[[#This Row],[sell]]-Table15[[#This Row],[Buy]]</f>
        <v>496838.16</v>
      </c>
      <c r="X193" s="8">
        <f>IF(Table15[[#This Row],[Profit]]&gt;0,1,0)</f>
        <v>1</v>
      </c>
      <c r="Y193" s="5" t="str">
        <f>IF(Table15[[#This Row],[is Profit]]=1,"Profit","Loss")</f>
        <v>Profit</v>
      </c>
      <c r="Z193" s="5">
        <f>SUMIFS(Table1[quantity],Table1[order_id],Table15[[#This Row],[order_id]],Table1[side],"SELL")</f>
        <v>234</v>
      </c>
      <c r="AA193" s="5">
        <f>Table15[[#This Row],[Buy_value]]*Table15[[#This Row],[Buy_Quantity]]</f>
        <v>0</v>
      </c>
      <c r="AB193" s="5">
        <f>Table15[[#This Row],[Sell_Value]]*Table15[[#This Row],[Sell_Quantity]]</f>
        <v>496838.16</v>
      </c>
      <c r="AC193" s="5">
        <f>SUMIFS(Table1[quantity],Table1[order_id],Table15[[#This Row],[order_id]],Table1[side],"BUY")</f>
        <v>0</v>
      </c>
      <c r="AE193" s="10" t="s">
        <v>1031</v>
      </c>
      <c r="AF193" s="10" t="str">
        <f>IF(Table1[[#This Row],[Sell-Buy]]&gt;0,"Profit","Loss")</f>
        <v>Profit</v>
      </c>
      <c r="AG193">
        <f>Table1[[#This Row],[Column2]]-Table1[[#This Row],[Buy-sell]]</f>
        <v>626.77</v>
      </c>
    </row>
    <row r="194" spans="1:33" x14ac:dyDescent="0.3">
      <c r="A194" t="s">
        <v>734</v>
      </c>
      <c r="B194" t="s">
        <v>221</v>
      </c>
      <c r="C194" s="1">
        <v>45818.027777777781</v>
      </c>
      <c r="D194" t="s">
        <v>18</v>
      </c>
      <c r="E194" t="s">
        <v>166</v>
      </c>
      <c r="F194">
        <v>312</v>
      </c>
      <c r="G194">
        <v>675.62</v>
      </c>
      <c r="H194">
        <v>105.4</v>
      </c>
      <c r="I194" t="s">
        <v>120</v>
      </c>
      <c r="J194" t="s">
        <v>67</v>
      </c>
      <c r="L194" s="1">
        <v>45797</v>
      </c>
      <c r="M194" t="s">
        <v>166</v>
      </c>
      <c r="N194">
        <f>IF(Table1[[#This Row],[side]]="BUY", Table1[[#This Row],[quantity]],-Table1[[#This Row],[quantity]])</f>
        <v>312</v>
      </c>
      <c r="P194" t="str">
        <f>IF(Table1[[#This Row],[side]]="Sell",Table1[[#This Row],[price]],"0")</f>
        <v>0</v>
      </c>
      <c r="Q194">
        <f>SUMIFS(Table1[quantity],Table1[company_id],Table8[[#This Row],[COMPANY_ID]],Table1[side],"BUY")-SUMIFS(Table1[quantity],Table1[company_id],Table8[[#This Row],[COMPANY_ID]],Table1[side],"SELL")</f>
        <v>0</v>
      </c>
      <c r="R194">
        <f>Table1[[#This Row],[Column2]]-Table1[[#This Row],[Buy-sell]]</f>
        <v>0</v>
      </c>
      <c r="S194" t="str">
        <f>IF(Table1[[#This Row],[Sell-Buy]]&gt;0,"Profit","Loss")</f>
        <v>Loss</v>
      </c>
      <c r="T194" s="4" t="s">
        <v>463</v>
      </c>
      <c r="U194" s="8">
        <f>SUMIFS(Table1[price],Table1[order_id],Table15[[#This Row],[order_id]],Table1[side],"BUY")*Table15[[#This Row],[Buy_Quantity]]</f>
        <v>534716.27999999991</v>
      </c>
      <c r="V194" s="8">
        <f>SUMIFS(Table1[price],Table1[order_id],Table15[[#This Row],[order_id]],Table1[side],"SELL")</f>
        <v>0</v>
      </c>
      <c r="W194" s="8">
        <f>Table15[[#This Row],[sell]]-Table15[[#This Row],[Buy]]</f>
        <v>-501563870.63999993</v>
      </c>
      <c r="X194" s="8">
        <f>IF(Table15[[#This Row],[Profit]]&gt;0,1,0)</f>
        <v>0</v>
      </c>
      <c r="Y194" s="5" t="str">
        <f>IF(Table15[[#This Row],[is Profit]]=1,"Profit","Loss")</f>
        <v>Loss</v>
      </c>
      <c r="Z194" s="5">
        <f>SUMIFS(Table1[quantity],Table1[order_id],Table15[[#This Row],[order_id]],Table1[side],"SELL")</f>
        <v>0</v>
      </c>
      <c r="AA194" s="5">
        <f>Table15[[#This Row],[Buy_value]]*Table15[[#This Row],[Buy_Quantity]]</f>
        <v>501563870.63999993</v>
      </c>
      <c r="AB194" s="5">
        <f>Table15[[#This Row],[Sell_Value]]*Table15[[#This Row],[Sell_Quantity]]</f>
        <v>0</v>
      </c>
      <c r="AC194" s="5">
        <f>SUMIFS(Table1[quantity],Table1[order_id],Table15[[#This Row],[order_id]],Table1[side],"BUY")</f>
        <v>938</v>
      </c>
      <c r="AE194" s="9" t="s">
        <v>1170</v>
      </c>
      <c r="AF194" s="10" t="str">
        <f>IF(Table1[[#This Row],[Sell-Buy]]&gt;0,"Profit","Loss")</f>
        <v>Loss</v>
      </c>
      <c r="AG194">
        <f>Table1[[#This Row],[Column2]]-Table1[[#This Row],[Buy-sell]]</f>
        <v>0</v>
      </c>
    </row>
    <row r="195" spans="1:33" x14ac:dyDescent="0.3">
      <c r="A195" t="s">
        <v>736</v>
      </c>
      <c r="B195" t="s">
        <v>633</v>
      </c>
      <c r="C195" s="1">
        <v>45798.03125</v>
      </c>
      <c r="D195" t="s">
        <v>18</v>
      </c>
      <c r="E195" t="s">
        <v>166</v>
      </c>
      <c r="F195">
        <v>767</v>
      </c>
      <c r="G195">
        <v>658.14</v>
      </c>
      <c r="H195">
        <v>252.4</v>
      </c>
      <c r="I195" t="s">
        <v>110</v>
      </c>
      <c r="J195" t="s">
        <v>76</v>
      </c>
      <c r="L195" s="1">
        <v>45779</v>
      </c>
      <c r="M195" t="s">
        <v>166</v>
      </c>
      <c r="N195">
        <f>IF(Table1[[#This Row],[side]]="BUY", Table1[[#This Row],[quantity]],-Table1[[#This Row],[quantity]])</f>
        <v>767</v>
      </c>
      <c r="P195" t="str">
        <f>IF(Table1[[#This Row],[side]]="Sell",Table1[[#This Row],[price]],"0")</f>
        <v>0</v>
      </c>
      <c r="Q195">
        <f>SUMIFS(Table1[quantity],Table1[company_id],Table8[[#This Row],[COMPANY_ID]],Table1[side],"BUY")-SUMIFS(Table1[quantity],Table1[company_id],Table8[[#This Row],[COMPANY_ID]],Table1[side],"SELL")</f>
        <v>0</v>
      </c>
      <c r="R195">
        <f>Table1[[#This Row],[Column2]]-Table1[[#This Row],[Buy-sell]]</f>
        <v>0</v>
      </c>
      <c r="S195" t="str">
        <f>IF(Table1[[#This Row],[Sell-Buy]]&gt;0,"Profit","Loss")</f>
        <v>Loss</v>
      </c>
      <c r="T195" s="5" t="s">
        <v>465</v>
      </c>
      <c r="U195" s="8">
        <f>SUMIFS(Table1[price],Table1[order_id],Table15[[#This Row],[order_id]],Table1[side],"BUY")*Table15[[#This Row],[Buy_Quantity]]</f>
        <v>0</v>
      </c>
      <c r="V195" s="8">
        <f>SUMIFS(Table1[price],Table1[order_id],Table15[[#This Row],[order_id]],Table1[side],"SELL")</f>
        <v>1994.02</v>
      </c>
      <c r="W195" s="8">
        <f>Table15[[#This Row],[sell]]-Table15[[#This Row],[Buy]]</f>
        <v>175473.76</v>
      </c>
      <c r="X195" s="8">
        <f>IF(Table15[[#This Row],[Profit]]&gt;0,1,0)</f>
        <v>1</v>
      </c>
      <c r="Y195" s="5" t="str">
        <f>IF(Table15[[#This Row],[is Profit]]=1,"Profit","Loss")</f>
        <v>Profit</v>
      </c>
      <c r="Z195" s="5">
        <f>SUMIFS(Table1[quantity],Table1[order_id],Table15[[#This Row],[order_id]],Table1[side],"SELL")</f>
        <v>88</v>
      </c>
      <c r="AA195" s="5">
        <f>Table15[[#This Row],[Buy_value]]*Table15[[#This Row],[Buy_Quantity]]</f>
        <v>0</v>
      </c>
      <c r="AB195" s="5">
        <f>Table15[[#This Row],[Sell_Value]]*Table15[[#This Row],[Sell_Quantity]]</f>
        <v>175473.76</v>
      </c>
      <c r="AC195" s="5">
        <f>SUMIFS(Table1[quantity],Table1[order_id],Table15[[#This Row],[order_id]],Table1[side],"BUY")</f>
        <v>0</v>
      </c>
      <c r="AE195" s="10" t="s">
        <v>870</v>
      </c>
      <c r="AF195" s="10" t="str">
        <f>IF(Table1[[#This Row],[Sell-Buy]]&gt;0,"Profit","Loss")</f>
        <v>Loss</v>
      </c>
      <c r="AG195">
        <f>Table1[[#This Row],[Column2]]-Table1[[#This Row],[Buy-sell]]</f>
        <v>0</v>
      </c>
    </row>
    <row r="196" spans="1:33" x14ac:dyDescent="0.3">
      <c r="A196" t="s">
        <v>787</v>
      </c>
      <c r="B196" t="s">
        <v>218</v>
      </c>
      <c r="C196" s="1">
        <v>45750.031944444447</v>
      </c>
      <c r="D196" t="s">
        <v>18</v>
      </c>
      <c r="E196" t="s">
        <v>171</v>
      </c>
      <c r="F196">
        <v>864</v>
      </c>
      <c r="G196">
        <v>648.78</v>
      </c>
      <c r="H196">
        <v>280.27</v>
      </c>
      <c r="I196" t="s">
        <v>150</v>
      </c>
      <c r="J196" t="s">
        <v>70</v>
      </c>
      <c r="L196" s="1">
        <v>45659</v>
      </c>
      <c r="N196">
        <f>IF(Table1[[#This Row],[side]]="BUY", Table1[[#This Row],[quantity]],-Table1[[#This Row],[quantity]])</f>
        <v>-864</v>
      </c>
      <c r="O196" t="s">
        <v>171</v>
      </c>
      <c r="P196">
        <f>IF(Table1[[#This Row],[side]]="Sell",Table1[[#This Row],[price]],"0")</f>
        <v>648.78</v>
      </c>
      <c r="Q196">
        <f>SUMIFS(Table1[quantity],Table1[company_id],Table8[[#This Row],[COMPANY_ID]],Table1[side],"BUY")-SUMIFS(Table1[quantity],Table1[company_id],Table8[[#This Row],[COMPANY_ID]],Table1[side],"SELL")</f>
        <v>0</v>
      </c>
      <c r="R196">
        <f>Table1[[#This Row],[Column2]]-Table1[[#This Row],[Buy-sell]]</f>
        <v>648.78</v>
      </c>
      <c r="S196" t="str">
        <f>IF(Table1[[#This Row],[Sell-Buy]]&gt;0,"Profit","Loss")</f>
        <v>Profit</v>
      </c>
      <c r="T196" s="4" t="s">
        <v>466</v>
      </c>
      <c r="U196" s="8">
        <f>SUMIFS(Table1[price],Table1[order_id],Table15[[#This Row],[order_id]],Table1[side],"BUY")*Table15[[#This Row],[Buy_Quantity]]</f>
        <v>251941.62</v>
      </c>
      <c r="V196" s="8">
        <f>SUMIFS(Table1[price],Table1[order_id],Table15[[#This Row],[order_id]],Table1[side],"SELL")</f>
        <v>0</v>
      </c>
      <c r="W196" s="8">
        <f>Table15[[#This Row],[sell]]-Table15[[#This Row],[Buy]]</f>
        <v>-82888792.980000004</v>
      </c>
      <c r="X196" s="8">
        <f>IF(Table15[[#This Row],[Profit]]&gt;0,1,0)</f>
        <v>0</v>
      </c>
      <c r="Y196" s="5" t="str">
        <f>IF(Table15[[#This Row],[is Profit]]=1,"Profit","Loss")</f>
        <v>Loss</v>
      </c>
      <c r="Z196" s="5">
        <f>SUMIFS(Table1[quantity],Table1[order_id],Table15[[#This Row],[order_id]],Table1[side],"SELL")</f>
        <v>0</v>
      </c>
      <c r="AA196" s="5">
        <f>Table15[[#This Row],[Buy_value]]*Table15[[#This Row],[Buy_Quantity]]</f>
        <v>82888792.980000004</v>
      </c>
      <c r="AB196" s="5">
        <f>Table15[[#This Row],[Sell_Value]]*Table15[[#This Row],[Sell_Quantity]]</f>
        <v>0</v>
      </c>
      <c r="AC196" s="5">
        <f>SUMIFS(Table1[quantity],Table1[order_id],Table15[[#This Row],[order_id]],Table1[side],"BUY")</f>
        <v>329</v>
      </c>
      <c r="AE196" s="9" t="s">
        <v>1104</v>
      </c>
      <c r="AF196" s="10" t="str">
        <f>IF(Table1[[#This Row],[Sell-Buy]]&gt;0,"Profit","Loss")</f>
        <v>Profit</v>
      </c>
      <c r="AG196">
        <f>Table1[[#This Row],[Column2]]-Table1[[#This Row],[Buy-sell]]</f>
        <v>648.78</v>
      </c>
    </row>
    <row r="197" spans="1:33" x14ac:dyDescent="0.3">
      <c r="A197" t="s">
        <v>767</v>
      </c>
      <c r="B197" t="s">
        <v>423</v>
      </c>
      <c r="C197" s="1">
        <v>45776.002083333333</v>
      </c>
      <c r="D197" t="s">
        <v>18</v>
      </c>
      <c r="E197" t="s">
        <v>166</v>
      </c>
      <c r="F197">
        <v>944</v>
      </c>
      <c r="G197">
        <v>667.56</v>
      </c>
      <c r="H197">
        <v>315.08999999999997</v>
      </c>
      <c r="I197" t="s">
        <v>138</v>
      </c>
      <c r="J197" t="s">
        <v>64</v>
      </c>
      <c r="L197" s="1">
        <v>45667</v>
      </c>
      <c r="M197" t="s">
        <v>166</v>
      </c>
      <c r="N197">
        <f>IF(Table1[[#This Row],[side]]="BUY", Table1[[#This Row],[quantity]],-Table1[[#This Row],[quantity]])</f>
        <v>944</v>
      </c>
      <c r="P197" t="str">
        <f>IF(Table1[[#This Row],[side]]="Sell",Table1[[#This Row],[price]],"0")</f>
        <v>0</v>
      </c>
      <c r="Q197">
        <f>SUMIFS(Table1[quantity],Table1[company_id],Table8[[#This Row],[COMPANY_ID]],Table1[side],"BUY")-SUMIFS(Table1[quantity],Table1[company_id],Table8[[#This Row],[COMPANY_ID]],Table1[side],"SELL")</f>
        <v>0</v>
      </c>
      <c r="R197">
        <f>Table1[[#This Row],[Column2]]-Table1[[#This Row],[Buy-sell]]</f>
        <v>0</v>
      </c>
      <c r="S197" t="str">
        <f>IF(Table1[[#This Row],[Sell-Buy]]&gt;0,"Profit","Loss")</f>
        <v>Loss</v>
      </c>
      <c r="T197" s="5" t="s">
        <v>467</v>
      </c>
      <c r="U197" s="8">
        <f>SUMIFS(Table1[price],Table1[order_id],Table15[[#This Row],[order_id]],Table1[side],"BUY")*Table15[[#This Row],[Buy_Quantity]]</f>
        <v>0</v>
      </c>
      <c r="V197" s="8">
        <f>SUMIFS(Table1[price],Table1[order_id],Table15[[#This Row],[order_id]],Table1[side],"SELL")</f>
        <v>631.78</v>
      </c>
      <c r="W197" s="8">
        <f>Table15[[#This Row],[sell]]-Table15[[#This Row],[Buy]]</f>
        <v>605877.02</v>
      </c>
      <c r="X197" s="8">
        <f>IF(Table15[[#This Row],[Profit]]&gt;0,1,0)</f>
        <v>1</v>
      </c>
      <c r="Y197" s="5" t="str">
        <f>IF(Table15[[#This Row],[is Profit]]=1,"Profit","Loss")</f>
        <v>Profit</v>
      </c>
      <c r="Z197" s="5">
        <f>SUMIFS(Table1[quantity],Table1[order_id],Table15[[#This Row],[order_id]],Table1[side],"SELL")</f>
        <v>959</v>
      </c>
      <c r="AA197" s="5">
        <f>Table15[[#This Row],[Buy_value]]*Table15[[#This Row],[Buy_Quantity]]</f>
        <v>0</v>
      </c>
      <c r="AB197" s="5">
        <f>Table15[[#This Row],[Sell_Value]]*Table15[[#This Row],[Sell_Quantity]]</f>
        <v>605877.02</v>
      </c>
      <c r="AC197" s="5">
        <f>SUMIFS(Table1[quantity],Table1[order_id],Table15[[#This Row],[order_id]],Table1[side],"BUY")</f>
        <v>0</v>
      </c>
      <c r="AE197" s="10" t="s">
        <v>754</v>
      </c>
      <c r="AF197" s="10" t="str">
        <f>IF(Table1[[#This Row],[Sell-Buy]]&gt;0,"Profit","Loss")</f>
        <v>Loss</v>
      </c>
      <c r="AG197">
        <f>Table1[[#This Row],[Column2]]-Table1[[#This Row],[Buy-sell]]</f>
        <v>0</v>
      </c>
    </row>
    <row r="198" spans="1:33" x14ac:dyDescent="0.3">
      <c r="A198" t="s">
        <v>854</v>
      </c>
      <c r="B198" t="s">
        <v>522</v>
      </c>
      <c r="C198" s="1">
        <v>45792.034722222219</v>
      </c>
      <c r="D198" t="s">
        <v>18</v>
      </c>
      <c r="E198" t="s">
        <v>171</v>
      </c>
      <c r="F198">
        <v>202</v>
      </c>
      <c r="G198">
        <v>651.92999999999995</v>
      </c>
      <c r="H198">
        <v>65.84</v>
      </c>
      <c r="I198" t="s">
        <v>102</v>
      </c>
      <c r="J198" t="s">
        <v>61</v>
      </c>
      <c r="L198" s="1">
        <v>45784</v>
      </c>
      <c r="N198">
        <f>IF(Table1[[#This Row],[side]]="BUY", Table1[[#This Row],[quantity]],-Table1[[#This Row],[quantity]])</f>
        <v>-202</v>
      </c>
      <c r="O198" t="s">
        <v>171</v>
      </c>
      <c r="P198">
        <f>IF(Table1[[#This Row],[side]]="Sell",Table1[[#This Row],[price]],"0")</f>
        <v>651.92999999999995</v>
      </c>
      <c r="Q198">
        <f>SUMIFS(Table1[quantity],Table1[company_id],Table8[[#This Row],[COMPANY_ID]],Table1[side],"BUY")-SUMIFS(Table1[quantity],Table1[company_id],Table8[[#This Row],[COMPANY_ID]],Table1[side],"SELL")</f>
        <v>0</v>
      </c>
      <c r="R198">
        <f>Table1[[#This Row],[Column2]]-Table1[[#This Row],[Buy-sell]]</f>
        <v>651.92999999999995</v>
      </c>
      <c r="S198" t="str">
        <f>IF(Table1[[#This Row],[Sell-Buy]]&gt;0,"Profit","Loss")</f>
        <v>Profit</v>
      </c>
      <c r="T198" s="4" t="s">
        <v>468</v>
      </c>
      <c r="U198" s="8">
        <f>SUMIFS(Table1[price],Table1[order_id],Table15[[#This Row],[order_id]],Table1[side],"BUY")*Table15[[#This Row],[Buy_Quantity]]</f>
        <v>752258.88</v>
      </c>
      <c r="V198" s="8">
        <f>SUMIFS(Table1[price],Table1[order_id],Table15[[#This Row],[order_id]],Table1[side],"SELL")</f>
        <v>0</v>
      </c>
      <c r="W198" s="8">
        <f>Table15[[#This Row],[sell]]-Table15[[#This Row],[Buy]]</f>
        <v>-561937383.36000001</v>
      </c>
      <c r="X198" s="8">
        <f>IF(Table15[[#This Row],[Profit]]&gt;0,1,0)</f>
        <v>0</v>
      </c>
      <c r="Y198" s="5" t="str">
        <f>IF(Table15[[#This Row],[is Profit]]=1,"Profit","Loss")</f>
        <v>Loss</v>
      </c>
      <c r="Z198" s="5">
        <f>SUMIFS(Table1[quantity],Table1[order_id],Table15[[#This Row],[order_id]],Table1[side],"SELL")</f>
        <v>0</v>
      </c>
      <c r="AA198" s="5">
        <f>Table15[[#This Row],[Buy_value]]*Table15[[#This Row],[Buy_Quantity]]</f>
        <v>561937383.36000001</v>
      </c>
      <c r="AB198" s="5">
        <f>Table15[[#This Row],[Sell_Value]]*Table15[[#This Row],[Sell_Quantity]]</f>
        <v>0</v>
      </c>
      <c r="AC198" s="5">
        <f>SUMIFS(Table1[quantity],Table1[order_id],Table15[[#This Row],[order_id]],Table1[side],"BUY")</f>
        <v>747</v>
      </c>
      <c r="AE198" s="9" t="s">
        <v>925</v>
      </c>
      <c r="AF198" s="10" t="str">
        <f>IF(Table1[[#This Row],[Sell-Buy]]&gt;0,"Profit","Loss")</f>
        <v>Profit</v>
      </c>
      <c r="AG198">
        <f>Table1[[#This Row],[Column2]]-Table1[[#This Row],[Buy-sell]]</f>
        <v>651.92999999999995</v>
      </c>
    </row>
    <row r="199" spans="1:33" x14ac:dyDescent="0.3">
      <c r="A199" t="s">
        <v>866</v>
      </c>
      <c r="B199" t="s">
        <v>513</v>
      </c>
      <c r="C199" s="1">
        <v>45706.036805555559</v>
      </c>
      <c r="D199" t="s">
        <v>18</v>
      </c>
      <c r="E199" t="s">
        <v>171</v>
      </c>
      <c r="F199">
        <v>603</v>
      </c>
      <c r="G199">
        <v>642.07000000000005</v>
      </c>
      <c r="H199">
        <v>193.58</v>
      </c>
      <c r="I199" t="s">
        <v>134</v>
      </c>
      <c r="J199" t="s">
        <v>52</v>
      </c>
      <c r="L199" s="1">
        <v>45792</v>
      </c>
      <c r="N199">
        <f>IF(Table1[[#This Row],[side]]="BUY", Table1[[#This Row],[quantity]],-Table1[[#This Row],[quantity]])</f>
        <v>-603</v>
      </c>
      <c r="O199" t="s">
        <v>171</v>
      </c>
      <c r="P199">
        <f>IF(Table1[[#This Row],[side]]="Sell",Table1[[#This Row],[price]],"0")</f>
        <v>642.07000000000005</v>
      </c>
      <c r="Q199">
        <f>SUMIFS(Table1[quantity],Table1[company_id],Table8[[#This Row],[COMPANY_ID]],Table1[side],"BUY")-SUMIFS(Table1[quantity],Table1[company_id],Table8[[#This Row],[COMPANY_ID]],Table1[side],"SELL")</f>
        <v>0</v>
      </c>
      <c r="R199">
        <f>Table1[[#This Row],[Column2]]-Table1[[#This Row],[Buy-sell]]</f>
        <v>642.07000000000005</v>
      </c>
      <c r="S199" t="str">
        <f>IF(Table1[[#This Row],[Sell-Buy]]&gt;0,"Profit","Loss")</f>
        <v>Profit</v>
      </c>
      <c r="T199" s="5" t="s">
        <v>469</v>
      </c>
      <c r="U199" s="8">
        <f>SUMIFS(Table1[price],Table1[order_id],Table15[[#This Row],[order_id]],Table1[side],"BUY")*Table15[[#This Row],[Buy_Quantity]]</f>
        <v>1578621.3900000001</v>
      </c>
      <c r="V199" s="8">
        <f>SUMIFS(Table1[price],Table1[order_id],Table15[[#This Row],[order_id]],Table1[side],"SELL")</f>
        <v>0</v>
      </c>
      <c r="W199" s="8">
        <f>Table15[[#This Row],[sell]]-Table15[[#This Row],[Buy]]</f>
        <v>-1936968445.5300002</v>
      </c>
      <c r="X199" s="8">
        <f>IF(Table15[[#This Row],[Profit]]&gt;0,1,0)</f>
        <v>0</v>
      </c>
      <c r="Y199" s="5" t="str">
        <f>IF(Table15[[#This Row],[is Profit]]=1,"Profit","Loss")</f>
        <v>Loss</v>
      </c>
      <c r="Z199" s="5">
        <f>SUMIFS(Table1[quantity],Table1[order_id],Table15[[#This Row],[order_id]],Table1[side],"SELL")</f>
        <v>0</v>
      </c>
      <c r="AA199" s="5">
        <f>Table15[[#This Row],[Buy_value]]*Table15[[#This Row],[Buy_Quantity]]</f>
        <v>1936968445.5300002</v>
      </c>
      <c r="AB199" s="5">
        <f>Table15[[#This Row],[Sell_Value]]*Table15[[#This Row],[Sell_Quantity]]</f>
        <v>0</v>
      </c>
      <c r="AC199" s="5">
        <f>SUMIFS(Table1[quantity],Table1[order_id],Table15[[#This Row],[order_id]],Table1[side],"BUY")</f>
        <v>1227</v>
      </c>
      <c r="AE199" s="10" t="s">
        <v>934</v>
      </c>
      <c r="AF199" s="10" t="str">
        <f>IF(Table1[[#This Row],[Sell-Buy]]&gt;0,"Profit","Loss")</f>
        <v>Profit</v>
      </c>
      <c r="AG199">
        <f>Table1[[#This Row],[Column2]]-Table1[[#This Row],[Buy-sell]]</f>
        <v>642.07000000000005</v>
      </c>
    </row>
    <row r="200" spans="1:33" x14ac:dyDescent="0.3">
      <c r="A200" t="s">
        <v>822</v>
      </c>
      <c r="B200" t="s">
        <v>450</v>
      </c>
      <c r="C200" s="1">
        <v>45817.03125</v>
      </c>
      <c r="D200" t="s">
        <v>18</v>
      </c>
      <c r="E200" t="s">
        <v>166</v>
      </c>
      <c r="F200">
        <v>767</v>
      </c>
      <c r="G200">
        <v>672.18</v>
      </c>
      <c r="H200">
        <v>257.77999999999997</v>
      </c>
      <c r="I200" t="s">
        <v>134</v>
      </c>
      <c r="J200" t="s">
        <v>67</v>
      </c>
      <c r="L200" s="1">
        <v>45698</v>
      </c>
      <c r="M200" t="s">
        <v>166</v>
      </c>
      <c r="N200">
        <f>IF(Table1[[#This Row],[side]]="BUY", Table1[[#This Row],[quantity]],-Table1[[#This Row],[quantity]])</f>
        <v>767</v>
      </c>
      <c r="P200" t="str">
        <f>IF(Table1[[#This Row],[side]]="Sell",Table1[[#This Row],[price]],"0")</f>
        <v>0</v>
      </c>
      <c r="Q200">
        <f>SUMIFS(Table1[quantity],Table1[company_id],Table8[[#This Row],[COMPANY_ID]],Table1[side],"BUY")-SUMIFS(Table1[quantity],Table1[company_id],Table8[[#This Row],[COMPANY_ID]],Table1[side],"SELL")</f>
        <v>0</v>
      </c>
      <c r="R200">
        <f>Table1[[#This Row],[Column2]]-Table1[[#This Row],[Buy-sell]]</f>
        <v>0</v>
      </c>
      <c r="S200" t="str">
        <f>IF(Table1[[#This Row],[Sell-Buy]]&gt;0,"Profit","Loss")</f>
        <v>Loss</v>
      </c>
      <c r="T200" s="4" t="s">
        <v>470</v>
      </c>
      <c r="U200" s="8">
        <f>SUMIFS(Table1[price],Table1[order_id],Table15[[#This Row],[order_id]],Table1[side],"BUY")*Table15[[#This Row],[Buy_Quantity]]</f>
        <v>0</v>
      </c>
      <c r="V200" s="8">
        <f>SUMIFS(Table1[price],Table1[order_id],Table15[[#This Row],[order_id]],Table1[side],"SELL")</f>
        <v>639.54</v>
      </c>
      <c r="W200" s="8">
        <f>Table15[[#This Row],[sell]]-Table15[[#This Row],[Buy]]</f>
        <v>196338.78</v>
      </c>
      <c r="X200" s="8">
        <f>IF(Table15[[#This Row],[Profit]]&gt;0,1,0)</f>
        <v>1</v>
      </c>
      <c r="Y200" s="5" t="str">
        <f>IF(Table15[[#This Row],[is Profit]]=1,"Profit","Loss")</f>
        <v>Profit</v>
      </c>
      <c r="Z200" s="5">
        <f>SUMIFS(Table1[quantity],Table1[order_id],Table15[[#This Row],[order_id]],Table1[side],"SELL")</f>
        <v>307</v>
      </c>
      <c r="AA200" s="5">
        <f>Table15[[#This Row],[Buy_value]]*Table15[[#This Row],[Buy_Quantity]]</f>
        <v>0</v>
      </c>
      <c r="AB200" s="5">
        <f>Table15[[#This Row],[Sell_Value]]*Table15[[#This Row],[Sell_Quantity]]</f>
        <v>196338.78</v>
      </c>
      <c r="AC200" s="5">
        <f>SUMIFS(Table1[quantity],Table1[order_id],Table15[[#This Row],[order_id]],Table1[side],"BUY")</f>
        <v>0</v>
      </c>
      <c r="AE200" s="9" t="s">
        <v>886</v>
      </c>
      <c r="AF200" s="10" t="str">
        <f>IF(Table1[[#This Row],[Sell-Buy]]&gt;0,"Profit","Loss")</f>
        <v>Loss</v>
      </c>
      <c r="AG200">
        <f>Table1[[#This Row],[Column2]]-Table1[[#This Row],[Buy-sell]]</f>
        <v>0</v>
      </c>
    </row>
    <row r="201" spans="1:33" x14ac:dyDescent="0.3">
      <c r="A201" t="s">
        <v>835</v>
      </c>
      <c r="B201" t="s">
        <v>543</v>
      </c>
      <c r="C201" s="1">
        <v>45664.018055555556</v>
      </c>
      <c r="D201" t="s">
        <v>18</v>
      </c>
      <c r="E201" t="s">
        <v>166</v>
      </c>
      <c r="F201">
        <v>230</v>
      </c>
      <c r="G201">
        <v>616.86</v>
      </c>
      <c r="H201">
        <v>70.94</v>
      </c>
      <c r="I201" t="s">
        <v>114</v>
      </c>
      <c r="J201" t="s">
        <v>73</v>
      </c>
      <c r="L201" s="1">
        <v>45833</v>
      </c>
      <c r="M201" t="s">
        <v>166</v>
      </c>
      <c r="N201">
        <f>IF(Table1[[#This Row],[side]]="BUY", Table1[[#This Row],[quantity]],-Table1[[#This Row],[quantity]])</f>
        <v>230</v>
      </c>
      <c r="P201" t="str">
        <f>IF(Table1[[#This Row],[side]]="Sell",Table1[[#This Row],[price]],"0")</f>
        <v>0</v>
      </c>
      <c r="Q201">
        <f>SUMIFS(Table1[quantity],Table1[company_id],Table8[[#This Row],[COMPANY_ID]],Table1[side],"BUY")-SUMIFS(Table1[quantity],Table1[company_id],Table8[[#This Row],[COMPANY_ID]],Table1[side],"SELL")</f>
        <v>0</v>
      </c>
      <c r="R201">
        <f>Table1[[#This Row],[Column2]]-Table1[[#This Row],[Buy-sell]]</f>
        <v>0</v>
      </c>
      <c r="S201" t="str">
        <f>IF(Table1[[#This Row],[Sell-Buy]]&gt;0,"Profit","Loss")</f>
        <v>Loss</v>
      </c>
      <c r="T201" s="5" t="s">
        <v>471</v>
      </c>
      <c r="U201" s="8">
        <f>SUMIFS(Table1[price],Table1[order_id],Table15[[#This Row],[order_id]],Table1[side],"BUY")*Table15[[#This Row],[Buy_Quantity]]</f>
        <v>226064.25</v>
      </c>
      <c r="V201" s="8">
        <f>SUMIFS(Table1[price],Table1[order_id],Table15[[#This Row],[order_id]],Table1[side],"SELL")</f>
        <v>0</v>
      </c>
      <c r="W201" s="8">
        <f>Table15[[#This Row],[sell]]-Table15[[#This Row],[Buy]]</f>
        <v>-217699872.75</v>
      </c>
      <c r="X201" s="8">
        <f>IF(Table15[[#This Row],[Profit]]&gt;0,1,0)</f>
        <v>0</v>
      </c>
      <c r="Y201" s="5" t="str">
        <f>IF(Table15[[#This Row],[is Profit]]=1,"Profit","Loss")</f>
        <v>Loss</v>
      </c>
      <c r="Z201" s="5">
        <f>SUMIFS(Table1[quantity],Table1[order_id],Table15[[#This Row],[order_id]],Table1[side],"SELL")</f>
        <v>0</v>
      </c>
      <c r="AA201" s="5">
        <f>Table15[[#This Row],[Buy_value]]*Table15[[#This Row],[Buy_Quantity]]</f>
        <v>217699872.75</v>
      </c>
      <c r="AB201" s="5">
        <f>Table15[[#This Row],[Sell_Value]]*Table15[[#This Row],[Sell_Quantity]]</f>
        <v>0</v>
      </c>
      <c r="AC201" s="5">
        <f>SUMIFS(Table1[quantity],Table1[order_id],Table15[[#This Row],[order_id]],Table1[side],"BUY")</f>
        <v>963</v>
      </c>
      <c r="AE201" s="10" t="s">
        <v>707</v>
      </c>
      <c r="AF201" s="10" t="str">
        <f>IF(Table1[[#This Row],[Sell-Buy]]&gt;0,"Profit","Loss")</f>
        <v>Loss</v>
      </c>
      <c r="AG201">
        <f>Table1[[#This Row],[Column2]]-Table1[[#This Row],[Buy-sell]]</f>
        <v>0</v>
      </c>
    </row>
    <row r="202" spans="1:33" x14ac:dyDescent="0.3">
      <c r="A202" t="s">
        <v>838</v>
      </c>
      <c r="B202" t="s">
        <v>331</v>
      </c>
      <c r="C202" s="1">
        <v>45663.038888888892</v>
      </c>
      <c r="D202" t="s">
        <v>18</v>
      </c>
      <c r="E202" t="s">
        <v>166</v>
      </c>
      <c r="F202">
        <v>870</v>
      </c>
      <c r="G202">
        <v>607.21</v>
      </c>
      <c r="H202">
        <v>264.14</v>
      </c>
      <c r="I202" t="s">
        <v>140</v>
      </c>
      <c r="J202" t="s">
        <v>61</v>
      </c>
      <c r="L202" s="1">
        <v>45693</v>
      </c>
      <c r="M202" t="s">
        <v>166</v>
      </c>
      <c r="N202">
        <f>IF(Table1[[#This Row],[side]]="BUY", Table1[[#This Row],[quantity]],-Table1[[#This Row],[quantity]])</f>
        <v>870</v>
      </c>
      <c r="P202" t="str">
        <f>IF(Table1[[#This Row],[side]]="Sell",Table1[[#This Row],[price]],"0")</f>
        <v>0</v>
      </c>
      <c r="Q202">
        <f>SUMIFS(Table1[quantity],Table1[company_id],Table8[[#This Row],[COMPANY_ID]],Table1[side],"BUY")-SUMIFS(Table1[quantity],Table1[company_id],Table8[[#This Row],[COMPANY_ID]],Table1[side],"SELL")</f>
        <v>0</v>
      </c>
      <c r="R202">
        <f>Table1[[#This Row],[Column2]]-Table1[[#This Row],[Buy-sell]]</f>
        <v>0</v>
      </c>
      <c r="S202" t="str">
        <f>IF(Table1[[#This Row],[Sell-Buy]]&gt;0,"Profit","Loss")</f>
        <v>Loss</v>
      </c>
      <c r="T202" s="5" t="s">
        <v>475</v>
      </c>
      <c r="U202" s="8">
        <f>SUMIFS(Table1[price],Table1[order_id],Table15[[#This Row],[order_id]],Table1[side],"BUY")*Table15[[#This Row],[Buy_Quantity]]</f>
        <v>480780.13999999996</v>
      </c>
      <c r="V202" s="8">
        <f>SUMIFS(Table1[price],Table1[order_id],Table15[[#This Row],[order_id]],Table1[side],"SELL")</f>
        <v>0</v>
      </c>
      <c r="W202" s="8">
        <f>Table15[[#This Row],[sell]]-Table15[[#This Row],[Buy]]</f>
        <v>-395682055.21999997</v>
      </c>
      <c r="X202" s="8">
        <f>IF(Table15[[#This Row],[Profit]]&gt;0,1,0)</f>
        <v>0</v>
      </c>
      <c r="Y202" s="5" t="str">
        <f>IF(Table15[[#This Row],[is Profit]]=1,"Profit","Loss")</f>
        <v>Loss</v>
      </c>
      <c r="Z202" s="5">
        <f>SUMIFS(Table1[quantity],Table1[order_id],Table15[[#This Row],[order_id]],Table1[side],"SELL")</f>
        <v>0</v>
      </c>
      <c r="AA202" s="5">
        <f>Table15[[#This Row],[Buy_value]]*Table15[[#This Row],[Buy_Quantity]]</f>
        <v>395682055.21999997</v>
      </c>
      <c r="AB202" s="5">
        <f>Table15[[#This Row],[Sell_Value]]*Table15[[#This Row],[Sell_Quantity]]</f>
        <v>0</v>
      </c>
      <c r="AC202" s="5">
        <f>SUMIFS(Table1[quantity],Table1[order_id],Table15[[#This Row],[order_id]],Table1[side],"BUY")</f>
        <v>823</v>
      </c>
      <c r="AE202" s="9" t="s">
        <v>760</v>
      </c>
      <c r="AF202" s="10" t="str">
        <f>IF(Table1[[#This Row],[Sell-Buy]]&gt;0,"Profit","Loss")</f>
        <v>Loss</v>
      </c>
      <c r="AG202">
        <f>Table1[[#This Row],[Column2]]-Table1[[#This Row],[Buy-sell]]</f>
        <v>0</v>
      </c>
    </row>
    <row r="203" spans="1:33" x14ac:dyDescent="0.3">
      <c r="A203" t="s">
        <v>842</v>
      </c>
      <c r="B203" t="s">
        <v>591</v>
      </c>
      <c r="C203" s="1">
        <v>45831.038888888892</v>
      </c>
      <c r="D203" t="s">
        <v>18</v>
      </c>
      <c r="E203" t="s">
        <v>166</v>
      </c>
      <c r="F203">
        <v>483</v>
      </c>
      <c r="G203">
        <v>673.77</v>
      </c>
      <c r="H203">
        <v>162.72</v>
      </c>
      <c r="I203" t="s">
        <v>118</v>
      </c>
      <c r="J203" t="s">
        <v>67</v>
      </c>
      <c r="L203" s="1">
        <v>45713</v>
      </c>
      <c r="M203" t="s">
        <v>166</v>
      </c>
      <c r="N203">
        <f>IF(Table1[[#This Row],[side]]="BUY", Table1[[#This Row],[quantity]],-Table1[[#This Row],[quantity]])</f>
        <v>483</v>
      </c>
      <c r="P203" t="str">
        <f>IF(Table1[[#This Row],[side]]="Sell",Table1[[#This Row],[price]],"0")</f>
        <v>0</v>
      </c>
      <c r="Q203">
        <f>SUMIFS(Table1[quantity],Table1[company_id],Table8[[#This Row],[COMPANY_ID]],Table1[side],"BUY")-SUMIFS(Table1[quantity],Table1[company_id],Table8[[#This Row],[COMPANY_ID]],Table1[side],"SELL")</f>
        <v>0</v>
      </c>
      <c r="R203">
        <f>Table1[[#This Row],[Column2]]-Table1[[#This Row],[Buy-sell]]</f>
        <v>0</v>
      </c>
      <c r="S203" t="str">
        <f>IF(Table1[[#This Row],[Sell-Buy]]&gt;0,"Profit","Loss")</f>
        <v>Loss</v>
      </c>
      <c r="T203" s="5" t="s">
        <v>476</v>
      </c>
      <c r="U203" s="8">
        <f>SUMIFS(Table1[price],Table1[order_id],Table15[[#This Row],[order_id]],Table1[side],"BUY")*Table15[[#This Row],[Buy_Quantity]]</f>
        <v>0</v>
      </c>
      <c r="V203" s="8">
        <f>SUMIFS(Table1[price],Table1[order_id],Table15[[#This Row],[order_id]],Table1[side],"SELL")</f>
        <v>246.71</v>
      </c>
      <c r="W203" s="8">
        <f>Table15[[#This Row],[sell]]-Table15[[#This Row],[Buy]]</f>
        <v>71299.19</v>
      </c>
      <c r="X203" s="8">
        <f>IF(Table15[[#This Row],[Profit]]&gt;0,1,0)</f>
        <v>1</v>
      </c>
      <c r="Y203" s="5" t="str">
        <f>IF(Table15[[#This Row],[is Profit]]=1,"Profit","Loss")</f>
        <v>Profit</v>
      </c>
      <c r="Z203" s="5">
        <f>SUMIFS(Table1[quantity],Table1[order_id],Table15[[#This Row],[order_id]],Table1[side],"SELL")</f>
        <v>289</v>
      </c>
      <c r="AA203" s="5">
        <f>Table15[[#This Row],[Buy_value]]*Table15[[#This Row],[Buy_Quantity]]</f>
        <v>0</v>
      </c>
      <c r="AB203" s="5">
        <f>Table15[[#This Row],[Sell_Value]]*Table15[[#This Row],[Sell_Quantity]]</f>
        <v>71299.19</v>
      </c>
      <c r="AC203" s="5">
        <f>SUMIFS(Table1[quantity],Table1[order_id],Table15[[#This Row],[order_id]],Table1[side],"BUY")</f>
        <v>0</v>
      </c>
      <c r="AE203" s="10" t="s">
        <v>867</v>
      </c>
      <c r="AF203" s="10" t="str">
        <f>IF(Table1[[#This Row],[Sell-Buy]]&gt;0,"Profit","Loss")</f>
        <v>Loss</v>
      </c>
      <c r="AG203">
        <f>Table1[[#This Row],[Column2]]-Table1[[#This Row],[Buy-sell]]</f>
        <v>0</v>
      </c>
    </row>
    <row r="204" spans="1:33" x14ac:dyDescent="0.3">
      <c r="A204" t="s">
        <v>855</v>
      </c>
      <c r="B204" t="s">
        <v>452</v>
      </c>
      <c r="C204" s="1">
        <v>45734.004861111112</v>
      </c>
      <c r="D204" t="s">
        <v>18</v>
      </c>
      <c r="E204" t="s">
        <v>166</v>
      </c>
      <c r="F204">
        <v>989</v>
      </c>
      <c r="G204">
        <v>633.01</v>
      </c>
      <c r="H204">
        <v>313.02</v>
      </c>
      <c r="I204" t="s">
        <v>138</v>
      </c>
      <c r="J204" t="s">
        <v>64</v>
      </c>
      <c r="L204" s="1">
        <v>45660</v>
      </c>
      <c r="M204" t="s">
        <v>166</v>
      </c>
      <c r="N204">
        <f>IF(Table1[[#This Row],[side]]="BUY", Table1[[#This Row],[quantity]],-Table1[[#This Row],[quantity]])</f>
        <v>989</v>
      </c>
      <c r="P204" t="str">
        <f>IF(Table1[[#This Row],[side]]="Sell",Table1[[#This Row],[price]],"0")</f>
        <v>0</v>
      </c>
      <c r="Q204">
        <f>SUMIFS(Table1[quantity],Table1[company_id],Table8[[#This Row],[COMPANY_ID]],Table1[side],"BUY")-SUMIFS(Table1[quantity],Table1[company_id],Table8[[#This Row],[COMPANY_ID]],Table1[side],"SELL")</f>
        <v>0</v>
      </c>
      <c r="R204">
        <f>Table1[[#This Row],[Column2]]-Table1[[#This Row],[Buy-sell]]</f>
        <v>0</v>
      </c>
      <c r="S204" t="str">
        <f>IF(Table1[[#This Row],[Sell-Buy]]&gt;0,"Profit","Loss")</f>
        <v>Loss</v>
      </c>
      <c r="T204" s="4" t="s">
        <v>478</v>
      </c>
      <c r="U204" s="8">
        <f>SUMIFS(Table1[price],Table1[order_id],Table15[[#This Row],[order_id]],Table1[side],"BUY")*Table15[[#This Row],[Buy_Quantity]]</f>
        <v>1424488.8</v>
      </c>
      <c r="V204" s="8">
        <f>SUMIFS(Table1[price],Table1[order_id],Table15[[#This Row],[order_id]],Table1[side],"SELL")</f>
        <v>0</v>
      </c>
      <c r="W204" s="8">
        <f>Table15[[#This Row],[sell]]-Table15[[#This Row],[Buy]]</f>
        <v>-1675198828.8</v>
      </c>
      <c r="X204" s="8">
        <f>IF(Table15[[#This Row],[Profit]]&gt;0,1,0)</f>
        <v>0</v>
      </c>
      <c r="Y204" s="5" t="str">
        <f>IF(Table15[[#This Row],[is Profit]]=1,"Profit","Loss")</f>
        <v>Loss</v>
      </c>
      <c r="Z204" s="5">
        <f>SUMIFS(Table1[quantity],Table1[order_id],Table15[[#This Row],[order_id]],Table1[side],"SELL")</f>
        <v>0</v>
      </c>
      <c r="AA204" s="5">
        <f>Table15[[#This Row],[Buy_value]]*Table15[[#This Row],[Buy_Quantity]]</f>
        <v>1675198828.8</v>
      </c>
      <c r="AB204" s="5">
        <f>Table15[[#This Row],[Sell_Value]]*Table15[[#This Row],[Sell_Quantity]]</f>
        <v>0</v>
      </c>
      <c r="AC204" s="5">
        <f>SUMIFS(Table1[quantity],Table1[order_id],Table15[[#This Row],[order_id]],Table1[side],"BUY")</f>
        <v>1176</v>
      </c>
      <c r="AE204" s="9" t="s">
        <v>1094</v>
      </c>
      <c r="AF204" s="10" t="str">
        <f>IF(Table1[[#This Row],[Sell-Buy]]&gt;0,"Profit","Loss")</f>
        <v>Loss</v>
      </c>
      <c r="AG204">
        <f>Table1[[#This Row],[Column2]]-Table1[[#This Row],[Buy-sell]]</f>
        <v>0</v>
      </c>
    </row>
    <row r="205" spans="1:33" x14ac:dyDescent="0.3">
      <c r="A205" t="s">
        <v>861</v>
      </c>
      <c r="B205" t="s">
        <v>542</v>
      </c>
      <c r="C205" s="1">
        <v>45699.038194444445</v>
      </c>
      <c r="D205" t="s">
        <v>18</v>
      </c>
      <c r="E205" t="s">
        <v>166</v>
      </c>
      <c r="F205">
        <v>353</v>
      </c>
      <c r="G205">
        <v>617.36</v>
      </c>
      <c r="H205">
        <v>108.96</v>
      </c>
      <c r="I205" t="s">
        <v>94</v>
      </c>
      <c r="J205" t="s">
        <v>64</v>
      </c>
      <c r="L205" s="1">
        <v>45736</v>
      </c>
      <c r="M205" t="s">
        <v>166</v>
      </c>
      <c r="N205">
        <f>IF(Table1[[#This Row],[side]]="BUY", Table1[[#This Row],[quantity]],-Table1[[#This Row],[quantity]])</f>
        <v>353</v>
      </c>
      <c r="P205" t="str">
        <f>IF(Table1[[#This Row],[side]]="Sell",Table1[[#This Row],[price]],"0")</f>
        <v>0</v>
      </c>
      <c r="Q205">
        <f>SUMIFS(Table1[quantity],Table1[company_id],Table8[[#This Row],[COMPANY_ID]],Table1[side],"BUY")-SUMIFS(Table1[quantity],Table1[company_id],Table8[[#This Row],[COMPANY_ID]],Table1[side],"SELL")</f>
        <v>0</v>
      </c>
      <c r="R205">
        <f>Table1[[#This Row],[Column2]]-Table1[[#This Row],[Buy-sell]]</f>
        <v>0</v>
      </c>
      <c r="S205" t="str">
        <f>IF(Table1[[#This Row],[Sell-Buy]]&gt;0,"Profit","Loss")</f>
        <v>Loss</v>
      </c>
      <c r="T205" s="5" t="s">
        <v>479</v>
      </c>
      <c r="U205" s="8">
        <f>SUMIFS(Table1[price],Table1[order_id],Table15[[#This Row],[order_id]],Table1[side],"BUY")*Table15[[#This Row],[Buy_Quantity]]</f>
        <v>0</v>
      </c>
      <c r="V205" s="8">
        <f>SUMIFS(Table1[price],Table1[order_id],Table15[[#This Row],[order_id]],Table1[side],"SELL")</f>
        <v>486.92</v>
      </c>
      <c r="W205" s="8">
        <f>Table15[[#This Row],[sell]]-Table15[[#This Row],[Buy]]</f>
        <v>215218.64</v>
      </c>
      <c r="X205" s="8">
        <f>IF(Table15[[#This Row],[Profit]]&gt;0,1,0)</f>
        <v>1</v>
      </c>
      <c r="Y205" s="5" t="str">
        <f>IF(Table15[[#This Row],[is Profit]]=1,"Profit","Loss")</f>
        <v>Profit</v>
      </c>
      <c r="Z205" s="5">
        <f>SUMIFS(Table1[quantity],Table1[order_id],Table15[[#This Row],[order_id]],Table1[side],"SELL")</f>
        <v>442</v>
      </c>
      <c r="AA205" s="5">
        <f>Table15[[#This Row],[Buy_value]]*Table15[[#This Row],[Buy_Quantity]]</f>
        <v>0</v>
      </c>
      <c r="AB205" s="5">
        <f>Table15[[#This Row],[Sell_Value]]*Table15[[#This Row],[Sell_Quantity]]</f>
        <v>215218.64</v>
      </c>
      <c r="AC205" s="5">
        <f>SUMIFS(Table1[quantity],Table1[order_id],Table15[[#This Row],[order_id]],Table1[side],"BUY")</f>
        <v>0</v>
      </c>
      <c r="AE205" s="10" t="s">
        <v>703</v>
      </c>
      <c r="AF205" s="10" t="str">
        <f>IF(Table1[[#This Row],[Sell-Buy]]&gt;0,"Profit","Loss")</f>
        <v>Loss</v>
      </c>
      <c r="AG205">
        <f>Table1[[#This Row],[Column2]]-Table1[[#This Row],[Buy-sell]]</f>
        <v>0</v>
      </c>
    </row>
    <row r="206" spans="1:33" x14ac:dyDescent="0.3">
      <c r="A206" t="s">
        <v>863</v>
      </c>
      <c r="B206" t="s">
        <v>261</v>
      </c>
      <c r="C206" s="1">
        <v>45740</v>
      </c>
      <c r="D206" t="s">
        <v>18</v>
      </c>
      <c r="E206" t="s">
        <v>166</v>
      </c>
      <c r="F206">
        <v>105</v>
      </c>
      <c r="G206">
        <v>628.9</v>
      </c>
      <c r="H206">
        <v>33.020000000000003</v>
      </c>
      <c r="I206" t="s">
        <v>130</v>
      </c>
      <c r="J206" t="s">
        <v>64</v>
      </c>
      <c r="L206" s="1">
        <v>45734</v>
      </c>
      <c r="M206" t="s">
        <v>166</v>
      </c>
      <c r="N206">
        <f>IF(Table1[[#This Row],[side]]="BUY", Table1[[#This Row],[quantity]],-Table1[[#This Row],[quantity]])</f>
        <v>105</v>
      </c>
      <c r="P206" t="str">
        <f>IF(Table1[[#This Row],[side]]="Sell",Table1[[#This Row],[price]],"0")</f>
        <v>0</v>
      </c>
      <c r="Q206">
        <f>SUMIFS(Table1[quantity],Table1[company_id],Table8[[#This Row],[COMPANY_ID]],Table1[side],"BUY")-SUMIFS(Table1[quantity],Table1[company_id],Table8[[#This Row],[COMPANY_ID]],Table1[side],"SELL")</f>
        <v>0</v>
      </c>
      <c r="R206">
        <f>Table1[[#This Row],[Column2]]-Table1[[#This Row],[Buy-sell]]</f>
        <v>0</v>
      </c>
      <c r="S206" t="str">
        <f>IF(Table1[[#This Row],[Sell-Buy]]&gt;0,"Profit","Loss")</f>
        <v>Loss</v>
      </c>
      <c r="T206" s="4" t="s">
        <v>480</v>
      </c>
      <c r="U206" s="8">
        <f>SUMIFS(Table1[price],Table1[order_id],Table15[[#This Row],[order_id]],Table1[side],"BUY")*Table15[[#This Row],[Buy_Quantity]]</f>
        <v>0</v>
      </c>
      <c r="V206" s="8">
        <f>SUMIFS(Table1[price],Table1[order_id],Table15[[#This Row],[order_id]],Table1[side],"SELL")</f>
        <v>1193.78</v>
      </c>
      <c r="W206" s="8">
        <f>Table15[[#This Row],[sell]]-Table15[[#This Row],[Buy]]</f>
        <v>1049332.6199999999</v>
      </c>
      <c r="X206" s="8">
        <f>IF(Table15[[#This Row],[Profit]]&gt;0,1,0)</f>
        <v>1</v>
      </c>
      <c r="Y206" s="5" t="str">
        <f>IF(Table15[[#This Row],[is Profit]]=1,"Profit","Loss")</f>
        <v>Profit</v>
      </c>
      <c r="Z206" s="5">
        <f>SUMIFS(Table1[quantity],Table1[order_id],Table15[[#This Row],[order_id]],Table1[side],"SELL")</f>
        <v>879</v>
      </c>
      <c r="AA206" s="5">
        <f>Table15[[#This Row],[Buy_value]]*Table15[[#This Row],[Buy_Quantity]]</f>
        <v>0</v>
      </c>
      <c r="AB206" s="5">
        <f>Table15[[#This Row],[Sell_Value]]*Table15[[#This Row],[Sell_Quantity]]</f>
        <v>1049332.6199999999</v>
      </c>
      <c r="AC206" s="5">
        <f>SUMIFS(Table1[quantity],Table1[order_id],Table15[[#This Row],[order_id]],Table1[side],"BUY")</f>
        <v>0</v>
      </c>
      <c r="AE206" s="9" t="s">
        <v>979</v>
      </c>
      <c r="AF206" s="10" t="str">
        <f>IF(Table1[[#This Row],[Sell-Buy]]&gt;0,"Profit","Loss")</f>
        <v>Loss</v>
      </c>
      <c r="AG206">
        <f>Table1[[#This Row],[Column2]]-Table1[[#This Row],[Buy-sell]]</f>
        <v>0</v>
      </c>
    </row>
    <row r="207" spans="1:33" x14ac:dyDescent="0.3">
      <c r="A207" t="s">
        <v>894</v>
      </c>
      <c r="B207" t="s">
        <v>605</v>
      </c>
      <c r="C207" s="1">
        <v>45783.010416666664</v>
      </c>
      <c r="D207" t="s">
        <v>18</v>
      </c>
      <c r="E207" t="s">
        <v>166</v>
      </c>
      <c r="F207">
        <v>239</v>
      </c>
      <c r="G207">
        <v>675.78</v>
      </c>
      <c r="H207">
        <v>80.760000000000005</v>
      </c>
      <c r="I207" t="s">
        <v>102</v>
      </c>
      <c r="J207" t="s">
        <v>55</v>
      </c>
      <c r="L207" s="1">
        <v>45833</v>
      </c>
      <c r="M207" t="s">
        <v>166</v>
      </c>
      <c r="N207">
        <f>IF(Table1[[#This Row],[side]]="BUY", Table1[[#This Row],[quantity]],-Table1[[#This Row],[quantity]])</f>
        <v>239</v>
      </c>
      <c r="P207" t="str">
        <f>IF(Table1[[#This Row],[side]]="Sell",Table1[[#This Row],[price]],"0")</f>
        <v>0</v>
      </c>
      <c r="Q207">
        <f>SUMIFS(Table1[quantity],Table1[company_id],Table8[[#This Row],[COMPANY_ID]],Table1[side],"BUY")-SUMIFS(Table1[quantity],Table1[company_id],Table8[[#This Row],[COMPANY_ID]],Table1[side],"SELL")</f>
        <v>0</v>
      </c>
      <c r="R207">
        <f>Table1[[#This Row],[Column2]]-Table1[[#This Row],[Buy-sell]]</f>
        <v>0</v>
      </c>
      <c r="S207" t="str">
        <f>IF(Table1[[#This Row],[Sell-Buy]]&gt;0,"Profit","Loss")</f>
        <v>Loss</v>
      </c>
      <c r="T207" s="5" t="s">
        <v>481</v>
      </c>
      <c r="U207" s="8">
        <f>SUMIFS(Table1[price],Table1[order_id],Table15[[#This Row],[order_id]],Table1[side],"BUY")*Table15[[#This Row],[Buy_Quantity]]</f>
        <v>558796.82999999996</v>
      </c>
      <c r="V207" s="8">
        <f>SUMIFS(Table1[price],Table1[order_id],Table15[[#This Row],[order_id]],Table1[side],"SELL")</f>
        <v>0</v>
      </c>
      <c r="W207" s="8">
        <f>Table15[[#This Row],[sell]]-Table15[[#This Row],[Buy]]</f>
        <v>-300073897.70999998</v>
      </c>
      <c r="X207" s="8">
        <f>IF(Table15[[#This Row],[Profit]]&gt;0,1,0)</f>
        <v>0</v>
      </c>
      <c r="Y207" s="5" t="str">
        <f>IF(Table15[[#This Row],[is Profit]]=1,"Profit","Loss")</f>
        <v>Loss</v>
      </c>
      <c r="Z207" s="5">
        <f>SUMIFS(Table1[quantity],Table1[order_id],Table15[[#This Row],[order_id]],Table1[side],"SELL")</f>
        <v>0</v>
      </c>
      <c r="AA207" s="5">
        <f>Table15[[#This Row],[Buy_value]]*Table15[[#This Row],[Buy_Quantity]]</f>
        <v>300073897.70999998</v>
      </c>
      <c r="AB207" s="5">
        <f>Table15[[#This Row],[Sell_Value]]*Table15[[#This Row],[Sell_Quantity]]</f>
        <v>0</v>
      </c>
      <c r="AC207" s="5">
        <f>SUMIFS(Table1[quantity],Table1[order_id],Table15[[#This Row],[order_id]],Table1[side],"BUY")</f>
        <v>537</v>
      </c>
      <c r="AE207" s="10" t="s">
        <v>1043</v>
      </c>
      <c r="AF207" s="10" t="str">
        <f>IF(Table1[[#This Row],[Sell-Buy]]&gt;0,"Profit","Loss")</f>
        <v>Loss</v>
      </c>
      <c r="AG207">
        <f>Table1[[#This Row],[Column2]]-Table1[[#This Row],[Buy-sell]]</f>
        <v>0</v>
      </c>
    </row>
    <row r="208" spans="1:33" x14ac:dyDescent="0.3">
      <c r="A208" t="s">
        <v>897</v>
      </c>
      <c r="B208" t="s">
        <v>394</v>
      </c>
      <c r="C208" s="1">
        <v>45818.025000000001</v>
      </c>
      <c r="D208" t="s">
        <v>18</v>
      </c>
      <c r="E208" t="s">
        <v>166</v>
      </c>
      <c r="F208">
        <v>968</v>
      </c>
      <c r="G208">
        <v>677.81</v>
      </c>
      <c r="H208">
        <v>328.06</v>
      </c>
      <c r="I208" t="s">
        <v>128</v>
      </c>
      <c r="J208" t="s">
        <v>61</v>
      </c>
      <c r="L208" s="1">
        <v>45803</v>
      </c>
      <c r="M208" t="s">
        <v>166</v>
      </c>
      <c r="N208">
        <f>IF(Table1[[#This Row],[side]]="BUY", Table1[[#This Row],[quantity]],-Table1[[#This Row],[quantity]])</f>
        <v>968</v>
      </c>
      <c r="P208" t="str">
        <f>IF(Table1[[#This Row],[side]]="Sell",Table1[[#This Row],[price]],"0")</f>
        <v>0</v>
      </c>
      <c r="Q208">
        <f>SUMIFS(Table1[quantity],Table1[company_id],Table8[[#This Row],[COMPANY_ID]],Table1[side],"BUY")-SUMIFS(Table1[quantity],Table1[company_id],Table8[[#This Row],[COMPANY_ID]],Table1[side],"SELL")</f>
        <v>0</v>
      </c>
      <c r="R208">
        <f>Table1[[#This Row],[Column2]]-Table1[[#This Row],[Buy-sell]]</f>
        <v>0</v>
      </c>
      <c r="S208" t="str">
        <f>IF(Table1[[#This Row],[Sell-Buy]]&gt;0,"Profit","Loss")</f>
        <v>Loss</v>
      </c>
      <c r="T208" s="5" t="s">
        <v>482</v>
      </c>
      <c r="U208" s="8">
        <f>SUMIFS(Table1[price],Table1[order_id],Table15[[#This Row],[order_id]],Table1[side],"BUY")*Table15[[#This Row],[Buy_Quantity]]</f>
        <v>579839.46</v>
      </c>
      <c r="V208" s="8">
        <f>SUMIFS(Table1[price],Table1[order_id],Table15[[#This Row],[order_id]],Table1[side],"SELL")</f>
        <v>1366.78</v>
      </c>
      <c r="W208" s="8">
        <f>Table15[[#This Row],[sell]]-Table15[[#This Row],[Buy]]</f>
        <v>-273524961.33999997</v>
      </c>
      <c r="X208" s="8">
        <f>IF(Table15[[#This Row],[Profit]]&gt;0,1,0)</f>
        <v>0</v>
      </c>
      <c r="Y208" s="5" t="str">
        <f>IF(Table15[[#This Row],[is Profit]]=1,"Profit","Loss")</f>
        <v>Loss</v>
      </c>
      <c r="Z208" s="5">
        <f>SUMIFS(Table1[quantity],Table1[order_id],Table15[[#This Row],[order_id]],Table1[side],"SELL")</f>
        <v>965</v>
      </c>
      <c r="AA208" s="5">
        <f>Table15[[#This Row],[Buy_value]]*Table15[[#This Row],[Buy_Quantity]]</f>
        <v>274843904.03999996</v>
      </c>
      <c r="AB208" s="5">
        <f>Table15[[#This Row],[Sell_Value]]*Table15[[#This Row],[Sell_Quantity]]</f>
        <v>1318942.7</v>
      </c>
      <c r="AC208" s="5">
        <f>SUMIFS(Table1[quantity],Table1[order_id],Table15[[#This Row],[order_id]],Table1[side],"BUY")</f>
        <v>474</v>
      </c>
      <c r="AE208" s="9" t="s">
        <v>988</v>
      </c>
      <c r="AF208" s="10" t="str">
        <f>IF(Table1[[#This Row],[Sell-Buy]]&gt;0,"Profit","Loss")</f>
        <v>Loss</v>
      </c>
      <c r="AG208">
        <f>Table1[[#This Row],[Column2]]-Table1[[#This Row],[Buy-sell]]</f>
        <v>0</v>
      </c>
    </row>
    <row r="209" spans="1:33" x14ac:dyDescent="0.3">
      <c r="A209" t="s">
        <v>910</v>
      </c>
      <c r="B209" t="s">
        <v>639</v>
      </c>
      <c r="C209" s="1">
        <v>45740.022222222222</v>
      </c>
      <c r="D209" t="s">
        <v>18</v>
      </c>
      <c r="E209" t="s">
        <v>166</v>
      </c>
      <c r="F209">
        <v>48</v>
      </c>
      <c r="G209">
        <v>628.62</v>
      </c>
      <c r="H209">
        <v>15.09</v>
      </c>
      <c r="I209" t="s">
        <v>97</v>
      </c>
      <c r="J209" t="s">
        <v>55</v>
      </c>
      <c r="L209" s="1">
        <v>45765</v>
      </c>
      <c r="M209" t="s">
        <v>166</v>
      </c>
      <c r="N209">
        <f>IF(Table1[[#This Row],[side]]="BUY", Table1[[#This Row],[quantity]],-Table1[[#This Row],[quantity]])</f>
        <v>48</v>
      </c>
      <c r="P209" t="str">
        <f>IF(Table1[[#This Row],[side]]="Sell",Table1[[#This Row],[price]],"0")</f>
        <v>0</v>
      </c>
      <c r="Q209">
        <f>SUMIFS(Table1[quantity],Table1[company_id],Table8[[#This Row],[COMPANY_ID]],Table1[side],"BUY")-SUMIFS(Table1[quantity],Table1[company_id],Table8[[#This Row],[COMPANY_ID]],Table1[side],"SELL")</f>
        <v>0</v>
      </c>
      <c r="R209">
        <f>Table1[[#This Row],[Column2]]-Table1[[#This Row],[Buy-sell]]</f>
        <v>0</v>
      </c>
      <c r="S209" t="str">
        <f>IF(Table1[[#This Row],[Sell-Buy]]&gt;0,"Profit","Loss")</f>
        <v>Loss</v>
      </c>
      <c r="T209" s="5" t="s">
        <v>483</v>
      </c>
      <c r="U209" s="8">
        <f>SUMIFS(Table1[price],Table1[order_id],Table15[[#This Row],[order_id]],Table1[side],"BUY")*Table15[[#This Row],[Buy_Quantity]]</f>
        <v>0</v>
      </c>
      <c r="V209" s="8">
        <f>SUMIFS(Table1[price],Table1[order_id],Table15[[#This Row],[order_id]],Table1[side],"SELL")</f>
        <v>2383.3000000000002</v>
      </c>
      <c r="W209" s="8">
        <f>Table15[[#This Row],[sell]]-Table15[[#This Row],[Buy]]</f>
        <v>1000986.0000000001</v>
      </c>
      <c r="X209" s="8">
        <f>IF(Table15[[#This Row],[Profit]]&gt;0,1,0)</f>
        <v>1</v>
      </c>
      <c r="Y209" s="5" t="str">
        <f>IF(Table15[[#This Row],[is Profit]]=1,"Profit","Loss")</f>
        <v>Profit</v>
      </c>
      <c r="Z209" s="5">
        <f>SUMIFS(Table1[quantity],Table1[order_id],Table15[[#This Row],[order_id]],Table1[side],"SELL")</f>
        <v>420</v>
      </c>
      <c r="AA209" s="5">
        <f>Table15[[#This Row],[Buy_value]]*Table15[[#This Row],[Buy_Quantity]]</f>
        <v>0</v>
      </c>
      <c r="AB209" s="5">
        <f>Table15[[#This Row],[Sell_Value]]*Table15[[#This Row],[Sell_Quantity]]</f>
        <v>1000986.0000000001</v>
      </c>
      <c r="AC209" s="5">
        <f>SUMIFS(Table1[quantity],Table1[order_id],Table15[[#This Row],[order_id]],Table1[side],"BUY")</f>
        <v>0</v>
      </c>
      <c r="AE209" s="10" t="s">
        <v>1013</v>
      </c>
      <c r="AF209" s="10" t="str">
        <f>IF(Table1[[#This Row],[Sell-Buy]]&gt;0,"Profit","Loss")</f>
        <v>Loss</v>
      </c>
      <c r="AG209">
        <f>Table1[[#This Row],[Column2]]-Table1[[#This Row],[Buy-sell]]</f>
        <v>0</v>
      </c>
    </row>
    <row r="210" spans="1:33" x14ac:dyDescent="0.3">
      <c r="A210" t="s">
        <v>913</v>
      </c>
      <c r="B210" t="s">
        <v>356</v>
      </c>
      <c r="C210" s="1">
        <v>45806.03125</v>
      </c>
      <c r="D210" t="s">
        <v>18</v>
      </c>
      <c r="E210" t="s">
        <v>166</v>
      </c>
      <c r="F210">
        <v>118</v>
      </c>
      <c r="G210">
        <v>672.47</v>
      </c>
      <c r="H210">
        <v>39.68</v>
      </c>
      <c r="I210" t="s">
        <v>97</v>
      </c>
      <c r="J210" t="s">
        <v>58</v>
      </c>
      <c r="L210" s="1">
        <v>45764</v>
      </c>
      <c r="M210" t="s">
        <v>166</v>
      </c>
      <c r="N210">
        <f>IF(Table1[[#This Row],[side]]="BUY", Table1[[#This Row],[quantity]],-Table1[[#This Row],[quantity]])</f>
        <v>118</v>
      </c>
      <c r="P210" t="str">
        <f>IF(Table1[[#This Row],[side]]="Sell",Table1[[#This Row],[price]],"0")</f>
        <v>0</v>
      </c>
      <c r="Q210">
        <f>SUMIFS(Table1[quantity],Table1[company_id],Table8[[#This Row],[COMPANY_ID]],Table1[side],"BUY")-SUMIFS(Table1[quantity],Table1[company_id],Table8[[#This Row],[COMPANY_ID]],Table1[side],"SELL")</f>
        <v>0</v>
      </c>
      <c r="R210">
        <f>Table1[[#This Row],[Column2]]-Table1[[#This Row],[Buy-sell]]</f>
        <v>0</v>
      </c>
      <c r="S210" t="str">
        <f>IF(Table1[[#This Row],[Sell-Buy]]&gt;0,"Profit","Loss")</f>
        <v>Loss</v>
      </c>
      <c r="T210" s="5" t="s">
        <v>485</v>
      </c>
      <c r="U210" s="8">
        <f>SUMIFS(Table1[price],Table1[order_id],Table15[[#This Row],[order_id]],Table1[side],"BUY")*Table15[[#This Row],[Buy_Quantity]]</f>
        <v>1375172.26</v>
      </c>
      <c r="V210" s="8">
        <f>SUMIFS(Table1[price],Table1[order_id],Table15[[#This Row],[order_id]],Table1[side],"SELL")</f>
        <v>0</v>
      </c>
      <c r="W210" s="8">
        <f>Table15[[#This Row],[sell]]-Table15[[#This Row],[Buy]]</f>
        <v>-1164770904.22</v>
      </c>
      <c r="X210" s="8">
        <f>IF(Table15[[#This Row],[Profit]]&gt;0,1,0)</f>
        <v>0</v>
      </c>
      <c r="Y210" s="5" t="str">
        <f>IF(Table15[[#This Row],[is Profit]]=1,"Profit","Loss")</f>
        <v>Loss</v>
      </c>
      <c r="Z210" s="5">
        <f>SUMIFS(Table1[quantity],Table1[order_id],Table15[[#This Row],[order_id]],Table1[side],"SELL")</f>
        <v>0</v>
      </c>
      <c r="AA210" s="5">
        <f>Table15[[#This Row],[Buy_value]]*Table15[[#This Row],[Buy_Quantity]]</f>
        <v>1164770904.22</v>
      </c>
      <c r="AB210" s="5">
        <f>Table15[[#This Row],[Sell_Value]]*Table15[[#This Row],[Sell_Quantity]]</f>
        <v>0</v>
      </c>
      <c r="AC210" s="5">
        <f>SUMIFS(Table1[quantity],Table1[order_id],Table15[[#This Row],[order_id]],Table1[side],"BUY")</f>
        <v>847</v>
      </c>
      <c r="AE210" s="9" t="s">
        <v>841</v>
      </c>
      <c r="AF210" s="10" t="str">
        <f>IF(Table1[[#This Row],[Sell-Buy]]&gt;0,"Profit","Loss")</f>
        <v>Loss</v>
      </c>
      <c r="AG210">
        <f>Table1[[#This Row],[Column2]]-Table1[[#This Row],[Buy-sell]]</f>
        <v>0</v>
      </c>
    </row>
    <row r="211" spans="1:33" x14ac:dyDescent="0.3">
      <c r="A211" t="s">
        <v>888</v>
      </c>
      <c r="B211" t="s">
        <v>334</v>
      </c>
      <c r="C211" s="1">
        <v>45730.027083333334</v>
      </c>
      <c r="D211" t="s">
        <v>18</v>
      </c>
      <c r="E211" t="s">
        <v>171</v>
      </c>
      <c r="F211">
        <v>920</v>
      </c>
      <c r="G211">
        <v>644.04</v>
      </c>
      <c r="H211">
        <v>296.26</v>
      </c>
      <c r="I211" t="s">
        <v>122</v>
      </c>
      <c r="J211" t="s">
        <v>70</v>
      </c>
      <c r="L211" s="1">
        <v>45667</v>
      </c>
      <c r="N211">
        <f>IF(Table1[[#This Row],[side]]="BUY", Table1[[#This Row],[quantity]],-Table1[[#This Row],[quantity]])</f>
        <v>-920</v>
      </c>
      <c r="O211" t="s">
        <v>171</v>
      </c>
      <c r="P211">
        <f>IF(Table1[[#This Row],[side]]="Sell",Table1[[#This Row],[price]],"0")</f>
        <v>644.04</v>
      </c>
      <c r="Q211">
        <f>SUMIFS(Table1[quantity],Table1[company_id],Table8[[#This Row],[COMPANY_ID]],Table1[side],"BUY")-SUMIFS(Table1[quantity],Table1[company_id],Table8[[#This Row],[COMPANY_ID]],Table1[side],"SELL")</f>
        <v>0</v>
      </c>
      <c r="R211">
        <f>Table1[[#This Row],[Column2]]-Table1[[#This Row],[Buy-sell]]</f>
        <v>644.04</v>
      </c>
      <c r="S211" t="str">
        <f>IF(Table1[[#This Row],[Sell-Buy]]&gt;0,"Profit","Loss")</f>
        <v>Profit</v>
      </c>
      <c r="T211" s="4" t="s">
        <v>486</v>
      </c>
      <c r="U211" s="8">
        <f>SUMIFS(Table1[price],Table1[order_id],Table15[[#This Row],[order_id]],Table1[side],"BUY")*Table15[[#This Row],[Buy_Quantity]]</f>
        <v>399132.8</v>
      </c>
      <c r="V211" s="8">
        <f>SUMIFS(Table1[price],Table1[order_id],Table15[[#This Row],[order_id]],Table1[side],"SELL")</f>
        <v>0</v>
      </c>
      <c r="W211" s="8">
        <f>Table15[[#This Row],[sell]]-Table15[[#This Row],[Buy]]</f>
        <v>-127323363.2</v>
      </c>
      <c r="X211" s="8">
        <f>IF(Table15[[#This Row],[Profit]]&gt;0,1,0)</f>
        <v>0</v>
      </c>
      <c r="Y211" s="5" t="str">
        <f>IF(Table15[[#This Row],[is Profit]]=1,"Profit","Loss")</f>
        <v>Loss</v>
      </c>
      <c r="Z211" s="5">
        <f>SUMIFS(Table1[quantity],Table1[order_id],Table15[[#This Row],[order_id]],Table1[side],"SELL")</f>
        <v>0</v>
      </c>
      <c r="AA211" s="5">
        <f>Table15[[#This Row],[Buy_value]]*Table15[[#This Row],[Buy_Quantity]]</f>
        <v>127323363.2</v>
      </c>
      <c r="AB211" s="5">
        <f>Table15[[#This Row],[Sell_Value]]*Table15[[#This Row],[Sell_Quantity]]</f>
        <v>0</v>
      </c>
      <c r="AC211" s="5">
        <f>SUMIFS(Table1[quantity],Table1[order_id],Table15[[#This Row],[order_id]],Table1[side],"BUY")</f>
        <v>319</v>
      </c>
      <c r="AE211" s="10" t="s">
        <v>1100</v>
      </c>
      <c r="AF211" s="10" t="str">
        <f>IF(Table1[[#This Row],[Sell-Buy]]&gt;0,"Profit","Loss")</f>
        <v>Profit</v>
      </c>
      <c r="AG211">
        <f>Table1[[#This Row],[Column2]]-Table1[[#This Row],[Buy-sell]]</f>
        <v>644.04</v>
      </c>
    </row>
    <row r="212" spans="1:33" x14ac:dyDescent="0.3">
      <c r="A212" t="s">
        <v>889</v>
      </c>
      <c r="B212" t="s">
        <v>338</v>
      </c>
      <c r="C212" s="1">
        <v>45663.02847222222</v>
      </c>
      <c r="D212" t="s">
        <v>18</v>
      </c>
      <c r="E212" t="s">
        <v>171</v>
      </c>
      <c r="F212">
        <v>903</v>
      </c>
      <c r="G212">
        <v>608.29</v>
      </c>
      <c r="H212">
        <v>274.64</v>
      </c>
      <c r="I212" t="s">
        <v>94</v>
      </c>
      <c r="J212" t="s">
        <v>49</v>
      </c>
      <c r="L212" s="1">
        <v>45715</v>
      </c>
      <c r="N212">
        <f>IF(Table1[[#This Row],[side]]="BUY", Table1[[#This Row],[quantity]],-Table1[[#This Row],[quantity]])</f>
        <v>-903</v>
      </c>
      <c r="O212" t="s">
        <v>171</v>
      </c>
      <c r="P212">
        <f>IF(Table1[[#This Row],[side]]="Sell",Table1[[#This Row],[price]],"0")</f>
        <v>608.29</v>
      </c>
      <c r="Q212">
        <f>SUMIFS(Table1[quantity],Table1[company_id],Table8[[#This Row],[COMPANY_ID]],Table1[side],"BUY")-SUMIFS(Table1[quantity],Table1[company_id],Table8[[#This Row],[COMPANY_ID]],Table1[side],"SELL")</f>
        <v>0</v>
      </c>
      <c r="R212">
        <f>Table1[[#This Row],[Column2]]-Table1[[#This Row],[Buy-sell]]</f>
        <v>608.29</v>
      </c>
      <c r="S212" t="str">
        <f>IF(Table1[[#This Row],[Sell-Buy]]&gt;0,"Profit","Loss")</f>
        <v>Profit</v>
      </c>
      <c r="T212" s="5" t="s">
        <v>488</v>
      </c>
      <c r="U212" s="8">
        <f>SUMIFS(Table1[price],Table1[order_id],Table15[[#This Row],[order_id]],Table1[side],"BUY")*Table15[[#This Row],[Buy_Quantity]]</f>
        <v>180775.44</v>
      </c>
      <c r="V212" s="8">
        <f>SUMIFS(Table1[price],Table1[order_id],Table15[[#This Row],[order_id]],Table1[side],"SELL")</f>
        <v>2205.96</v>
      </c>
      <c r="W212" s="8">
        <f>Table15[[#This Row],[sell]]-Table15[[#This Row],[Buy]]</f>
        <v>-138245866.92000002</v>
      </c>
      <c r="X212" s="8">
        <f>IF(Table15[[#This Row],[Profit]]&gt;0,1,0)</f>
        <v>0</v>
      </c>
      <c r="Y212" s="5" t="str">
        <f>IF(Table15[[#This Row],[is Profit]]=1,"Profit","Loss")</f>
        <v>Loss</v>
      </c>
      <c r="Z212" s="5">
        <f>SUMIFS(Table1[quantity],Table1[order_id],Table15[[#This Row],[order_id]],Table1[side],"SELL")</f>
        <v>759</v>
      </c>
      <c r="AA212" s="5">
        <f>Table15[[#This Row],[Buy_value]]*Table15[[#This Row],[Buy_Quantity]]</f>
        <v>139920190.56</v>
      </c>
      <c r="AB212" s="5">
        <f>Table15[[#This Row],[Sell_Value]]*Table15[[#This Row],[Sell_Quantity]]</f>
        <v>1674323.6400000001</v>
      </c>
      <c r="AC212" s="5">
        <f>SUMIFS(Table1[quantity],Table1[order_id],Table15[[#This Row],[order_id]],Table1[side],"BUY")</f>
        <v>774</v>
      </c>
      <c r="AE212" s="9" t="s">
        <v>788</v>
      </c>
      <c r="AF212" s="10" t="str">
        <f>IF(Table1[[#This Row],[Sell-Buy]]&gt;0,"Profit","Loss")</f>
        <v>Profit</v>
      </c>
      <c r="AG212">
        <f>Table1[[#This Row],[Column2]]-Table1[[#This Row],[Buy-sell]]</f>
        <v>608.29</v>
      </c>
    </row>
    <row r="213" spans="1:33" x14ac:dyDescent="0.3">
      <c r="A213" t="s">
        <v>917</v>
      </c>
      <c r="B213" t="s">
        <v>584</v>
      </c>
      <c r="C213" s="1">
        <v>45698.015277777777</v>
      </c>
      <c r="D213" t="s">
        <v>18</v>
      </c>
      <c r="E213" t="s">
        <v>171</v>
      </c>
      <c r="F213">
        <v>400</v>
      </c>
      <c r="G213">
        <v>618.51</v>
      </c>
      <c r="H213">
        <v>123.7</v>
      </c>
      <c r="I213" t="s">
        <v>146</v>
      </c>
      <c r="J213" t="s">
        <v>64</v>
      </c>
      <c r="L213" s="1">
        <v>45824</v>
      </c>
      <c r="N213">
        <f>IF(Table1[[#This Row],[side]]="BUY", Table1[[#This Row],[quantity]],-Table1[[#This Row],[quantity]])</f>
        <v>-400</v>
      </c>
      <c r="O213" t="s">
        <v>171</v>
      </c>
      <c r="P213">
        <f>IF(Table1[[#This Row],[side]]="Sell",Table1[[#This Row],[price]],"0")</f>
        <v>618.51</v>
      </c>
      <c r="Q213">
        <f>SUMIFS(Table1[quantity],Table1[company_id],Table8[[#This Row],[COMPANY_ID]],Table1[side],"BUY")-SUMIFS(Table1[quantity],Table1[company_id],Table8[[#This Row],[COMPANY_ID]],Table1[side],"SELL")</f>
        <v>0</v>
      </c>
      <c r="R213">
        <f>Table1[[#This Row],[Column2]]-Table1[[#This Row],[Buy-sell]]</f>
        <v>618.51</v>
      </c>
      <c r="S213" t="str">
        <f>IF(Table1[[#This Row],[Sell-Buy]]&gt;0,"Profit","Loss")</f>
        <v>Profit</v>
      </c>
      <c r="T213" s="5" t="s">
        <v>491</v>
      </c>
      <c r="U213" s="8">
        <f>SUMIFS(Table1[price],Table1[order_id],Table15[[#This Row],[order_id]],Table1[side],"BUY")*Table15[[#This Row],[Buy_Quantity]]</f>
        <v>1012577.94</v>
      </c>
      <c r="V213" s="8">
        <f>SUMIFS(Table1[price],Table1[order_id],Table15[[#This Row],[order_id]],Table1[side],"SELL")</f>
        <v>230.82</v>
      </c>
      <c r="W213" s="8">
        <f>Table15[[#This Row],[sell]]-Table15[[#This Row],[Buy]]</f>
        <v>-543600627.65999997</v>
      </c>
      <c r="X213" s="8">
        <f>IF(Table15[[#This Row],[Profit]]&gt;0,1,0)</f>
        <v>0</v>
      </c>
      <c r="Y213" s="5" t="str">
        <f>IF(Table15[[#This Row],[is Profit]]=1,"Profit","Loss")</f>
        <v>Loss</v>
      </c>
      <c r="Z213" s="5">
        <f>SUMIFS(Table1[quantity],Table1[order_id],Table15[[#This Row],[order_id]],Table1[side],"SELL")</f>
        <v>666</v>
      </c>
      <c r="AA213" s="5">
        <f>Table15[[#This Row],[Buy_value]]*Table15[[#This Row],[Buy_Quantity]]</f>
        <v>543754353.77999997</v>
      </c>
      <c r="AB213" s="5">
        <f>Table15[[#This Row],[Sell_Value]]*Table15[[#This Row],[Sell_Quantity]]</f>
        <v>153726.12</v>
      </c>
      <c r="AC213" s="5">
        <f>SUMIFS(Table1[quantity],Table1[order_id],Table15[[#This Row],[order_id]],Table1[side],"BUY")</f>
        <v>537</v>
      </c>
      <c r="AE213" s="10" t="s">
        <v>897</v>
      </c>
      <c r="AF213" s="10" t="str">
        <f>IF(Table1[[#This Row],[Sell-Buy]]&gt;0,"Profit","Loss")</f>
        <v>Profit</v>
      </c>
      <c r="AG213">
        <f>Table1[[#This Row],[Column2]]-Table1[[#This Row],[Buy-sell]]</f>
        <v>618.51</v>
      </c>
    </row>
    <row r="214" spans="1:33" x14ac:dyDescent="0.3">
      <c r="A214" t="s">
        <v>936</v>
      </c>
      <c r="B214" t="s">
        <v>636</v>
      </c>
      <c r="C214" s="1">
        <v>45814.018750000003</v>
      </c>
      <c r="D214" t="s">
        <v>18</v>
      </c>
      <c r="E214" t="s">
        <v>171</v>
      </c>
      <c r="F214">
        <v>655</v>
      </c>
      <c r="G214">
        <v>664.52</v>
      </c>
      <c r="H214">
        <v>217.63</v>
      </c>
      <c r="I214" t="s">
        <v>102</v>
      </c>
      <c r="J214" t="s">
        <v>70</v>
      </c>
      <c r="L214" s="1">
        <v>45791</v>
      </c>
      <c r="N214">
        <f>IF(Table1[[#This Row],[side]]="BUY", Table1[[#This Row],[quantity]],-Table1[[#This Row],[quantity]])</f>
        <v>-655</v>
      </c>
      <c r="O214" t="s">
        <v>171</v>
      </c>
      <c r="P214">
        <f>IF(Table1[[#This Row],[side]]="Sell",Table1[[#This Row],[price]],"0")</f>
        <v>664.52</v>
      </c>
      <c r="Q214">
        <f>SUMIFS(Table1[quantity],Table1[company_id],Table8[[#This Row],[COMPANY_ID]],Table1[side],"BUY")-SUMIFS(Table1[quantity],Table1[company_id],Table8[[#This Row],[COMPANY_ID]],Table1[side],"SELL")</f>
        <v>0</v>
      </c>
      <c r="R214">
        <f>Table1[[#This Row],[Column2]]-Table1[[#This Row],[Buy-sell]]</f>
        <v>664.52</v>
      </c>
      <c r="S214" t="str">
        <f>IF(Table1[[#This Row],[Sell-Buy]]&gt;0,"Profit","Loss")</f>
        <v>Profit</v>
      </c>
      <c r="T214" s="4" t="s">
        <v>492</v>
      </c>
      <c r="U214" s="8">
        <f>SUMIFS(Table1[price],Table1[order_id],Table15[[#This Row],[order_id]],Table1[side],"BUY")*Table15[[#This Row],[Buy_Quantity]]</f>
        <v>0</v>
      </c>
      <c r="V214" s="8">
        <f>SUMIFS(Table1[price],Table1[order_id],Table15[[#This Row],[order_id]],Table1[side],"SELL")</f>
        <v>732.03</v>
      </c>
      <c r="W214" s="8">
        <f>Table15[[#This Row],[sell]]-Table15[[#This Row],[Buy]]</f>
        <v>127373.22</v>
      </c>
      <c r="X214" s="8">
        <f>IF(Table15[[#This Row],[Profit]]&gt;0,1,0)</f>
        <v>1</v>
      </c>
      <c r="Y214" s="5" t="str">
        <f>IF(Table15[[#This Row],[is Profit]]=1,"Profit","Loss")</f>
        <v>Profit</v>
      </c>
      <c r="Z214" s="5">
        <f>SUMIFS(Table1[quantity],Table1[order_id],Table15[[#This Row],[order_id]],Table1[side],"SELL")</f>
        <v>174</v>
      </c>
      <c r="AA214" s="5">
        <f>Table15[[#This Row],[Buy_value]]*Table15[[#This Row],[Buy_Quantity]]</f>
        <v>0</v>
      </c>
      <c r="AB214" s="5">
        <f>Table15[[#This Row],[Sell_Value]]*Table15[[#This Row],[Sell_Quantity]]</f>
        <v>127373.22</v>
      </c>
      <c r="AC214" s="5">
        <f>SUMIFS(Table1[quantity],Table1[order_id],Table15[[#This Row],[order_id]],Table1[side],"BUY")</f>
        <v>0</v>
      </c>
      <c r="AE214" s="9" t="s">
        <v>724</v>
      </c>
      <c r="AF214" s="10" t="str">
        <f>IF(Table1[[#This Row],[Sell-Buy]]&gt;0,"Profit","Loss")</f>
        <v>Profit</v>
      </c>
      <c r="AG214">
        <f>Table1[[#This Row],[Column2]]-Table1[[#This Row],[Buy-sell]]</f>
        <v>664.52</v>
      </c>
    </row>
    <row r="215" spans="1:33" x14ac:dyDescent="0.3">
      <c r="A215" t="s">
        <v>950</v>
      </c>
      <c r="B215" t="s">
        <v>424</v>
      </c>
      <c r="C215" s="1">
        <v>45686.03125</v>
      </c>
      <c r="D215" t="s">
        <v>18</v>
      </c>
      <c r="E215" t="s">
        <v>166</v>
      </c>
      <c r="F215">
        <v>67</v>
      </c>
      <c r="G215">
        <v>608.52</v>
      </c>
      <c r="H215">
        <v>20.39</v>
      </c>
      <c r="I215" t="s">
        <v>134</v>
      </c>
      <c r="J215" t="s">
        <v>67</v>
      </c>
      <c r="L215" s="1">
        <v>45807</v>
      </c>
      <c r="M215" t="s">
        <v>166</v>
      </c>
      <c r="N215">
        <f>IF(Table1[[#This Row],[side]]="BUY", Table1[[#This Row],[quantity]],-Table1[[#This Row],[quantity]])</f>
        <v>67</v>
      </c>
      <c r="P215" t="str">
        <f>IF(Table1[[#This Row],[side]]="Sell",Table1[[#This Row],[price]],"0")</f>
        <v>0</v>
      </c>
      <c r="Q215">
        <f>SUMIFS(Table1[quantity],Table1[company_id],Table8[[#This Row],[COMPANY_ID]],Table1[side],"BUY")-SUMIFS(Table1[quantity],Table1[company_id],Table8[[#This Row],[COMPANY_ID]],Table1[side],"SELL")</f>
        <v>0</v>
      </c>
      <c r="R215">
        <f>Table1[[#This Row],[Column2]]-Table1[[#This Row],[Buy-sell]]</f>
        <v>0</v>
      </c>
      <c r="S215" t="str">
        <f>IF(Table1[[#This Row],[Sell-Buy]]&gt;0,"Profit","Loss")</f>
        <v>Loss</v>
      </c>
      <c r="T215" s="5" t="s">
        <v>493</v>
      </c>
      <c r="U215" s="8">
        <f>SUMIFS(Table1[price],Table1[order_id],Table15[[#This Row],[order_id]],Table1[side],"BUY")*Table15[[#This Row],[Buy_Quantity]]</f>
        <v>264022</v>
      </c>
      <c r="V215" s="8">
        <f>SUMIFS(Table1[price],Table1[order_id],Table15[[#This Row],[order_id]],Table1[side],"SELL")</f>
        <v>0</v>
      </c>
      <c r="W215" s="8">
        <f>Table15[[#This Row],[sell]]-Table15[[#This Row],[Buy]]</f>
        <v>-58084840</v>
      </c>
      <c r="X215" s="8">
        <f>IF(Table15[[#This Row],[Profit]]&gt;0,1,0)</f>
        <v>0</v>
      </c>
      <c r="Y215" s="5" t="str">
        <f>IF(Table15[[#This Row],[is Profit]]=1,"Profit","Loss")</f>
        <v>Loss</v>
      </c>
      <c r="Z215" s="5">
        <f>SUMIFS(Table1[quantity],Table1[order_id],Table15[[#This Row],[order_id]],Table1[side],"SELL")</f>
        <v>0</v>
      </c>
      <c r="AA215" s="5">
        <f>Table15[[#This Row],[Buy_value]]*Table15[[#This Row],[Buy_Quantity]]</f>
        <v>58084840</v>
      </c>
      <c r="AB215" s="5">
        <f>Table15[[#This Row],[Sell_Value]]*Table15[[#This Row],[Sell_Quantity]]</f>
        <v>0</v>
      </c>
      <c r="AC215" s="5">
        <f>SUMIFS(Table1[quantity],Table1[order_id],Table15[[#This Row],[order_id]],Table1[side],"BUY")</f>
        <v>220</v>
      </c>
      <c r="AE215" s="10" t="s">
        <v>823</v>
      </c>
      <c r="AF215" s="10" t="str">
        <f>IF(Table1[[#This Row],[Sell-Buy]]&gt;0,"Profit","Loss")</f>
        <v>Loss</v>
      </c>
      <c r="AG215">
        <f>Table1[[#This Row],[Column2]]-Table1[[#This Row],[Buy-sell]]</f>
        <v>0</v>
      </c>
    </row>
    <row r="216" spans="1:33" x14ac:dyDescent="0.3">
      <c r="A216" t="s">
        <v>963</v>
      </c>
      <c r="B216" t="s">
        <v>252</v>
      </c>
      <c r="C216" s="1">
        <v>45769.015277777777</v>
      </c>
      <c r="D216" t="s">
        <v>18</v>
      </c>
      <c r="E216" t="s">
        <v>171</v>
      </c>
      <c r="F216">
        <v>16</v>
      </c>
      <c r="G216">
        <v>645.04</v>
      </c>
      <c r="H216">
        <v>5.16</v>
      </c>
      <c r="I216" t="s">
        <v>136</v>
      </c>
      <c r="J216" t="s">
        <v>49</v>
      </c>
      <c r="L216" s="1">
        <v>45826</v>
      </c>
      <c r="N216">
        <f>IF(Table1[[#This Row],[side]]="BUY", Table1[[#This Row],[quantity]],-Table1[[#This Row],[quantity]])</f>
        <v>-16</v>
      </c>
      <c r="O216" t="s">
        <v>171</v>
      </c>
      <c r="P216">
        <f>IF(Table1[[#This Row],[side]]="Sell",Table1[[#This Row],[price]],"0")</f>
        <v>645.04</v>
      </c>
      <c r="Q216">
        <f>SUMIFS(Table1[quantity],Table1[company_id],Table8[[#This Row],[COMPANY_ID]],Table1[side],"BUY")-SUMIFS(Table1[quantity],Table1[company_id],Table8[[#This Row],[COMPANY_ID]],Table1[side],"SELL")</f>
        <v>0</v>
      </c>
      <c r="R216">
        <f>Table1[[#This Row],[Column2]]-Table1[[#This Row],[Buy-sell]]</f>
        <v>645.04</v>
      </c>
      <c r="S216" t="str">
        <f>IF(Table1[[#This Row],[Sell-Buy]]&gt;0,"Profit","Loss")</f>
        <v>Profit</v>
      </c>
      <c r="T216" s="4" t="s">
        <v>494</v>
      </c>
      <c r="U216" s="8">
        <f>SUMIFS(Table1[price],Table1[order_id],Table15[[#This Row],[order_id]],Table1[side],"BUY")*Table15[[#This Row],[Buy_Quantity]]</f>
        <v>0</v>
      </c>
      <c r="V216" s="8">
        <f>SUMIFS(Table1[price],Table1[order_id],Table15[[#This Row],[order_id]],Table1[side],"SELL")</f>
        <v>1235.9099999999999</v>
      </c>
      <c r="W216" s="8">
        <f>Table15[[#This Row],[sell]]-Table15[[#This Row],[Buy]]</f>
        <v>955358.42999999993</v>
      </c>
      <c r="X216" s="8">
        <f>IF(Table15[[#This Row],[Profit]]&gt;0,1,0)</f>
        <v>1</v>
      </c>
      <c r="Y216" s="5" t="str">
        <f>IF(Table15[[#This Row],[is Profit]]=1,"Profit","Loss")</f>
        <v>Profit</v>
      </c>
      <c r="Z216" s="5">
        <f>SUMIFS(Table1[quantity],Table1[order_id],Table15[[#This Row],[order_id]],Table1[side],"SELL")</f>
        <v>773</v>
      </c>
      <c r="AA216" s="5">
        <f>Table15[[#This Row],[Buy_value]]*Table15[[#This Row],[Buy_Quantity]]</f>
        <v>0</v>
      </c>
      <c r="AB216" s="5">
        <f>Table15[[#This Row],[Sell_Value]]*Table15[[#This Row],[Sell_Quantity]]</f>
        <v>955358.42999999993</v>
      </c>
      <c r="AC216" s="5">
        <f>SUMIFS(Table1[quantity],Table1[order_id],Table15[[#This Row],[order_id]],Table1[side],"BUY")</f>
        <v>0</v>
      </c>
      <c r="AE216" s="9" t="s">
        <v>830</v>
      </c>
      <c r="AF216" s="10" t="str">
        <f>IF(Table1[[#This Row],[Sell-Buy]]&gt;0,"Profit","Loss")</f>
        <v>Profit</v>
      </c>
      <c r="AG216">
        <f>Table1[[#This Row],[Column2]]-Table1[[#This Row],[Buy-sell]]</f>
        <v>645.04</v>
      </c>
    </row>
    <row r="217" spans="1:33" x14ac:dyDescent="0.3">
      <c r="A217" t="s">
        <v>967</v>
      </c>
      <c r="B217" t="s">
        <v>455</v>
      </c>
      <c r="C217" s="1">
        <v>45680.009722222225</v>
      </c>
      <c r="D217" t="s">
        <v>18</v>
      </c>
      <c r="E217" t="s">
        <v>166</v>
      </c>
      <c r="F217">
        <v>919</v>
      </c>
      <c r="G217">
        <v>600.16999999999996</v>
      </c>
      <c r="H217">
        <v>275.77999999999997</v>
      </c>
      <c r="I217" t="s">
        <v>140</v>
      </c>
      <c r="J217" t="s">
        <v>58</v>
      </c>
      <c r="L217" s="1">
        <v>45765</v>
      </c>
      <c r="M217" t="s">
        <v>166</v>
      </c>
      <c r="N217">
        <f>IF(Table1[[#This Row],[side]]="BUY", Table1[[#This Row],[quantity]],-Table1[[#This Row],[quantity]])</f>
        <v>919</v>
      </c>
      <c r="P217" t="str">
        <f>IF(Table1[[#This Row],[side]]="Sell",Table1[[#This Row],[price]],"0")</f>
        <v>0</v>
      </c>
      <c r="Q217">
        <f>SUMIFS(Table1[quantity],Table1[company_id],Table8[[#This Row],[COMPANY_ID]],Table1[side],"BUY")-SUMIFS(Table1[quantity],Table1[company_id],Table8[[#This Row],[COMPANY_ID]],Table1[side],"SELL")</f>
        <v>0</v>
      </c>
      <c r="R217">
        <f>Table1[[#This Row],[Column2]]-Table1[[#This Row],[Buy-sell]]</f>
        <v>0</v>
      </c>
      <c r="S217" t="str">
        <f>IF(Table1[[#This Row],[Sell-Buy]]&gt;0,"Profit","Loss")</f>
        <v>Loss</v>
      </c>
      <c r="T217" s="4" t="s">
        <v>495</v>
      </c>
      <c r="U217" s="8">
        <f>SUMIFS(Table1[price],Table1[order_id],Table15[[#This Row],[order_id]],Table1[side],"BUY")*Table15[[#This Row],[Buy_Quantity]]</f>
        <v>0</v>
      </c>
      <c r="V217" s="8">
        <f>SUMIFS(Table1[price],Table1[order_id],Table15[[#This Row],[order_id]],Table1[side],"SELL")</f>
        <v>1285.6500000000001</v>
      </c>
      <c r="W217" s="8">
        <f>Table15[[#This Row],[sell]]-Table15[[#This Row],[Buy]]</f>
        <v>591399</v>
      </c>
      <c r="X217" s="8">
        <f>IF(Table15[[#This Row],[Profit]]&gt;0,1,0)</f>
        <v>1</v>
      </c>
      <c r="Y217" s="5" t="str">
        <f>IF(Table15[[#This Row],[is Profit]]=1,"Profit","Loss")</f>
        <v>Profit</v>
      </c>
      <c r="Z217" s="5">
        <f>SUMIFS(Table1[quantity],Table1[order_id],Table15[[#This Row],[order_id]],Table1[side],"SELL")</f>
        <v>460</v>
      </c>
      <c r="AA217" s="5">
        <f>Table15[[#This Row],[Buy_value]]*Table15[[#This Row],[Buy_Quantity]]</f>
        <v>0</v>
      </c>
      <c r="AB217" s="5">
        <f>Table15[[#This Row],[Sell_Value]]*Table15[[#This Row],[Sell_Quantity]]</f>
        <v>591399</v>
      </c>
      <c r="AC217" s="5">
        <f>SUMIFS(Table1[quantity],Table1[order_id],Table15[[#This Row],[order_id]],Table1[side],"BUY")</f>
        <v>0</v>
      </c>
      <c r="AE217" s="10" t="s">
        <v>1088</v>
      </c>
      <c r="AF217" s="10" t="str">
        <f>IF(Table1[[#This Row],[Sell-Buy]]&gt;0,"Profit","Loss")</f>
        <v>Loss</v>
      </c>
      <c r="AG217">
        <f>Table1[[#This Row],[Column2]]-Table1[[#This Row],[Buy-sell]]</f>
        <v>0</v>
      </c>
    </row>
    <row r="218" spans="1:33" x14ac:dyDescent="0.3">
      <c r="A218" t="s">
        <v>977</v>
      </c>
      <c r="B218" t="s">
        <v>450</v>
      </c>
      <c r="C218" s="1">
        <v>45792.004861111112</v>
      </c>
      <c r="D218" t="s">
        <v>18</v>
      </c>
      <c r="E218" t="s">
        <v>171</v>
      </c>
      <c r="F218">
        <v>977</v>
      </c>
      <c r="G218">
        <v>652.03</v>
      </c>
      <c r="H218">
        <v>318.52</v>
      </c>
      <c r="I218" t="s">
        <v>88</v>
      </c>
      <c r="J218" t="s">
        <v>64</v>
      </c>
      <c r="L218" s="1">
        <v>45685</v>
      </c>
      <c r="N218">
        <f>IF(Table1[[#This Row],[side]]="BUY", Table1[[#This Row],[quantity]],-Table1[[#This Row],[quantity]])</f>
        <v>-977</v>
      </c>
      <c r="O218" t="s">
        <v>171</v>
      </c>
      <c r="P218">
        <f>IF(Table1[[#This Row],[side]]="Sell",Table1[[#This Row],[price]],"0")</f>
        <v>652.03</v>
      </c>
      <c r="Q218">
        <f>SUMIFS(Table1[quantity],Table1[company_id],Table8[[#This Row],[COMPANY_ID]],Table1[side],"BUY")-SUMIFS(Table1[quantity],Table1[company_id],Table8[[#This Row],[COMPANY_ID]],Table1[side],"SELL")</f>
        <v>0</v>
      </c>
      <c r="R218">
        <f>Table1[[#This Row],[Column2]]-Table1[[#This Row],[Buy-sell]]</f>
        <v>652.03</v>
      </c>
      <c r="S218" t="str">
        <f>IF(Table1[[#This Row],[Sell-Buy]]&gt;0,"Profit","Loss")</f>
        <v>Profit</v>
      </c>
      <c r="T218" s="4" t="s">
        <v>496</v>
      </c>
      <c r="U218" s="8">
        <f>SUMIFS(Table1[price],Table1[order_id],Table15[[#This Row],[order_id]],Table1[side],"BUY")*Table15[[#This Row],[Buy_Quantity]]</f>
        <v>478602.25999999995</v>
      </c>
      <c r="V218" s="8">
        <f>SUMIFS(Table1[price],Table1[order_id],Table15[[#This Row],[order_id]],Table1[side],"SELL")</f>
        <v>0</v>
      </c>
      <c r="W218" s="8">
        <f>Table15[[#This Row],[sell]]-Table15[[#This Row],[Buy]]</f>
        <v>-372352558.27999997</v>
      </c>
      <c r="X218" s="8">
        <f>IF(Table15[[#This Row],[Profit]]&gt;0,1,0)</f>
        <v>0</v>
      </c>
      <c r="Y218" s="5" t="str">
        <f>IF(Table15[[#This Row],[is Profit]]=1,"Profit","Loss")</f>
        <v>Loss</v>
      </c>
      <c r="Z218" s="5">
        <f>SUMIFS(Table1[quantity],Table1[order_id],Table15[[#This Row],[order_id]],Table1[side],"SELL")</f>
        <v>0</v>
      </c>
      <c r="AA218" s="5">
        <f>Table15[[#This Row],[Buy_value]]*Table15[[#This Row],[Buy_Quantity]]</f>
        <v>372352558.27999997</v>
      </c>
      <c r="AB218" s="5">
        <f>Table15[[#This Row],[Sell_Value]]*Table15[[#This Row],[Sell_Quantity]]</f>
        <v>0</v>
      </c>
      <c r="AC218" s="5">
        <f>SUMIFS(Table1[quantity],Table1[order_id],Table15[[#This Row],[order_id]],Table1[side],"BUY")</f>
        <v>778</v>
      </c>
      <c r="AE218" s="9" t="s">
        <v>931</v>
      </c>
      <c r="AF218" s="10" t="str">
        <f>IF(Table1[[#This Row],[Sell-Buy]]&gt;0,"Profit","Loss")</f>
        <v>Profit</v>
      </c>
      <c r="AG218">
        <f>Table1[[#This Row],[Column2]]-Table1[[#This Row],[Buy-sell]]</f>
        <v>652.03</v>
      </c>
    </row>
    <row r="219" spans="1:33" x14ac:dyDescent="0.3">
      <c r="A219" t="s">
        <v>996</v>
      </c>
      <c r="B219" t="s">
        <v>443</v>
      </c>
      <c r="C219" s="1">
        <v>45733.040972222225</v>
      </c>
      <c r="D219" t="s">
        <v>18</v>
      </c>
      <c r="E219" t="s">
        <v>166</v>
      </c>
      <c r="F219">
        <v>430</v>
      </c>
      <c r="G219">
        <v>646.72</v>
      </c>
      <c r="H219">
        <v>139.04</v>
      </c>
      <c r="I219" t="s">
        <v>126</v>
      </c>
      <c r="J219" t="s">
        <v>52</v>
      </c>
      <c r="L219" s="1">
        <v>45723</v>
      </c>
      <c r="M219" t="s">
        <v>166</v>
      </c>
      <c r="N219">
        <f>IF(Table1[[#This Row],[side]]="BUY", Table1[[#This Row],[quantity]],-Table1[[#This Row],[quantity]])</f>
        <v>430</v>
      </c>
      <c r="P219" t="str">
        <f>IF(Table1[[#This Row],[side]]="Sell",Table1[[#This Row],[price]],"0")</f>
        <v>0</v>
      </c>
      <c r="Q219">
        <f>SUMIFS(Table1[quantity],Table1[company_id],Table8[[#This Row],[COMPANY_ID]],Table1[side],"BUY")-SUMIFS(Table1[quantity],Table1[company_id],Table8[[#This Row],[COMPANY_ID]],Table1[side],"SELL")</f>
        <v>0</v>
      </c>
      <c r="R219">
        <f>Table1[[#This Row],[Column2]]-Table1[[#This Row],[Buy-sell]]</f>
        <v>0</v>
      </c>
      <c r="S219" t="str">
        <f>IF(Table1[[#This Row],[Sell-Buy]]&gt;0,"Profit","Loss")</f>
        <v>Loss</v>
      </c>
      <c r="T219" s="4" t="s">
        <v>497</v>
      </c>
      <c r="U219" s="8">
        <f>SUMIFS(Table1[price],Table1[order_id],Table15[[#This Row],[order_id]],Table1[side],"BUY")*Table15[[#This Row],[Buy_Quantity]]</f>
        <v>0</v>
      </c>
      <c r="V219" s="8">
        <f>SUMIFS(Table1[price],Table1[order_id],Table15[[#This Row],[order_id]],Table1[side],"SELL")</f>
        <v>231.43</v>
      </c>
      <c r="W219" s="8">
        <f>Table15[[#This Row],[sell]]-Table15[[#This Row],[Buy]]</f>
        <v>156678.11000000002</v>
      </c>
      <c r="X219" s="8">
        <f>IF(Table15[[#This Row],[Profit]]&gt;0,1,0)</f>
        <v>1</v>
      </c>
      <c r="Y219" s="5" t="str">
        <f>IF(Table15[[#This Row],[is Profit]]=1,"Profit","Loss")</f>
        <v>Profit</v>
      </c>
      <c r="Z219" s="5">
        <f>SUMIFS(Table1[quantity],Table1[order_id],Table15[[#This Row],[order_id]],Table1[side],"SELL")</f>
        <v>677</v>
      </c>
      <c r="AA219" s="5">
        <f>Table15[[#This Row],[Buy_value]]*Table15[[#This Row],[Buy_Quantity]]</f>
        <v>0</v>
      </c>
      <c r="AB219" s="5">
        <f>Table15[[#This Row],[Sell_Value]]*Table15[[#This Row],[Sell_Quantity]]</f>
        <v>156678.11000000002</v>
      </c>
      <c r="AC219" s="5">
        <f>SUMIFS(Table1[quantity],Table1[order_id],Table15[[#This Row],[order_id]],Table1[side],"BUY")</f>
        <v>0</v>
      </c>
      <c r="AE219" s="10" t="s">
        <v>1089</v>
      </c>
      <c r="AF219" s="10" t="str">
        <f>IF(Table1[[#This Row],[Sell-Buy]]&gt;0,"Profit","Loss")</f>
        <v>Loss</v>
      </c>
      <c r="AG219">
        <f>Table1[[#This Row],[Column2]]-Table1[[#This Row],[Buy-sell]]</f>
        <v>0</v>
      </c>
    </row>
    <row r="220" spans="1:33" x14ac:dyDescent="0.3">
      <c r="A220" t="s">
        <v>1008</v>
      </c>
      <c r="B220" t="s">
        <v>599</v>
      </c>
      <c r="C220" s="1">
        <v>45708.011805555558</v>
      </c>
      <c r="D220" t="s">
        <v>18</v>
      </c>
      <c r="E220" t="s">
        <v>166</v>
      </c>
      <c r="F220">
        <v>128</v>
      </c>
      <c r="G220">
        <v>627.71</v>
      </c>
      <c r="H220">
        <v>40.17</v>
      </c>
      <c r="I220" t="s">
        <v>132</v>
      </c>
      <c r="J220" t="s">
        <v>76</v>
      </c>
      <c r="L220" s="1">
        <v>45744</v>
      </c>
      <c r="M220" t="s">
        <v>166</v>
      </c>
      <c r="N220">
        <f>IF(Table1[[#This Row],[side]]="BUY", Table1[[#This Row],[quantity]],-Table1[[#This Row],[quantity]])</f>
        <v>128</v>
      </c>
      <c r="P220" t="str">
        <f>IF(Table1[[#This Row],[side]]="Sell",Table1[[#This Row],[price]],"0")</f>
        <v>0</v>
      </c>
      <c r="Q220">
        <f>SUMIFS(Table1[quantity],Table1[company_id],Table8[[#This Row],[COMPANY_ID]],Table1[side],"BUY")-SUMIFS(Table1[quantity],Table1[company_id],Table8[[#This Row],[COMPANY_ID]],Table1[side],"SELL")</f>
        <v>0</v>
      </c>
      <c r="R220">
        <f>Table1[[#This Row],[Column2]]-Table1[[#This Row],[Buy-sell]]</f>
        <v>0</v>
      </c>
      <c r="S220" t="str">
        <f>IF(Table1[[#This Row],[Sell-Buy]]&gt;0,"Profit","Loss")</f>
        <v>Loss</v>
      </c>
      <c r="T220" s="4" t="s">
        <v>499</v>
      </c>
      <c r="U220" s="8">
        <f>SUMIFS(Table1[price],Table1[order_id],Table15[[#This Row],[order_id]],Table1[side],"BUY")*Table15[[#This Row],[Buy_Quantity]]</f>
        <v>3244803.03</v>
      </c>
      <c r="V220" s="8">
        <f>SUMIFS(Table1[price],Table1[order_id],Table15[[#This Row],[order_id]],Table1[side],"SELL")</f>
        <v>2151.77</v>
      </c>
      <c r="W220" s="8">
        <f>Table15[[#This Row],[sell]]-Table15[[#This Row],[Buy]]</f>
        <v>-4292431144.0699997</v>
      </c>
      <c r="X220" s="8">
        <f>IF(Table15[[#This Row],[Profit]]&gt;0,1,0)</f>
        <v>0</v>
      </c>
      <c r="Y220" s="5" t="str">
        <f>IF(Table15[[#This Row],[is Profit]]=1,"Profit","Loss")</f>
        <v>Loss</v>
      </c>
      <c r="Z220" s="5">
        <f>SUMIFS(Table1[quantity],Table1[order_id],Table15[[#This Row],[order_id]],Table1[side],"SELL")</f>
        <v>206</v>
      </c>
      <c r="AA220" s="5">
        <f>Table15[[#This Row],[Buy_value]]*Table15[[#This Row],[Buy_Quantity]]</f>
        <v>4292874408.6899996</v>
      </c>
      <c r="AB220" s="5">
        <f>Table15[[#This Row],[Sell_Value]]*Table15[[#This Row],[Sell_Quantity]]</f>
        <v>443264.62</v>
      </c>
      <c r="AC220" s="5">
        <f>SUMIFS(Table1[quantity],Table1[order_id],Table15[[#This Row],[order_id]],Table1[side],"BUY")</f>
        <v>1323</v>
      </c>
      <c r="AE220" s="9" t="s">
        <v>990</v>
      </c>
      <c r="AF220" s="10" t="str">
        <f>IF(Table1[[#This Row],[Sell-Buy]]&gt;0,"Profit","Loss")</f>
        <v>Loss</v>
      </c>
      <c r="AG220">
        <f>Table1[[#This Row],[Column2]]-Table1[[#This Row],[Buy-sell]]</f>
        <v>0</v>
      </c>
    </row>
    <row r="221" spans="1:33" x14ac:dyDescent="0.3">
      <c r="A221" t="s">
        <v>1029</v>
      </c>
      <c r="B221" t="s">
        <v>547</v>
      </c>
      <c r="C221" s="1">
        <v>45800.03125</v>
      </c>
      <c r="D221" t="s">
        <v>18</v>
      </c>
      <c r="E221" t="s">
        <v>166</v>
      </c>
      <c r="F221">
        <v>988</v>
      </c>
      <c r="G221">
        <v>666.38</v>
      </c>
      <c r="H221">
        <v>329.19</v>
      </c>
      <c r="I221" t="s">
        <v>97</v>
      </c>
      <c r="J221" t="s">
        <v>58</v>
      </c>
      <c r="L221" s="1">
        <v>45800</v>
      </c>
      <c r="M221" t="s">
        <v>166</v>
      </c>
      <c r="N221">
        <f>IF(Table1[[#This Row],[side]]="BUY", Table1[[#This Row],[quantity]],-Table1[[#This Row],[quantity]])</f>
        <v>988</v>
      </c>
      <c r="P221" t="str">
        <f>IF(Table1[[#This Row],[side]]="Sell",Table1[[#This Row],[price]],"0")</f>
        <v>0</v>
      </c>
      <c r="Q221">
        <f>SUMIFS(Table1[quantity],Table1[company_id],Table8[[#This Row],[COMPANY_ID]],Table1[side],"BUY")-SUMIFS(Table1[quantity],Table1[company_id],Table8[[#This Row],[COMPANY_ID]],Table1[side],"SELL")</f>
        <v>0</v>
      </c>
      <c r="R221">
        <f>Table1[[#This Row],[Column2]]-Table1[[#This Row],[Buy-sell]]</f>
        <v>0</v>
      </c>
      <c r="S221" t="str">
        <f>IF(Table1[[#This Row],[Sell-Buy]]&gt;0,"Profit","Loss")</f>
        <v>Loss</v>
      </c>
      <c r="T221" s="4" t="s">
        <v>501</v>
      </c>
      <c r="U221" s="8">
        <f>SUMIFS(Table1[price],Table1[order_id],Table15[[#This Row],[order_id]],Table1[side],"BUY")*Table15[[#This Row],[Buy_Quantity]]</f>
        <v>0</v>
      </c>
      <c r="V221" s="8">
        <f>SUMIFS(Table1[price],Table1[order_id],Table15[[#This Row],[order_id]],Table1[side],"SELL")</f>
        <v>1232.26</v>
      </c>
      <c r="W221" s="8">
        <f>Table15[[#This Row],[sell]]-Table15[[#This Row],[Buy]]</f>
        <v>1106569.48</v>
      </c>
      <c r="X221" s="8">
        <f>IF(Table15[[#This Row],[Profit]]&gt;0,1,0)</f>
        <v>1</v>
      </c>
      <c r="Y221" s="5" t="str">
        <f>IF(Table15[[#This Row],[is Profit]]=1,"Profit","Loss")</f>
        <v>Profit</v>
      </c>
      <c r="Z221" s="5">
        <f>SUMIFS(Table1[quantity],Table1[order_id],Table15[[#This Row],[order_id]],Table1[side],"SELL")</f>
        <v>898</v>
      </c>
      <c r="AA221" s="5">
        <f>Table15[[#This Row],[Buy_value]]*Table15[[#This Row],[Buy_Quantity]]</f>
        <v>0</v>
      </c>
      <c r="AB221" s="5">
        <f>Table15[[#This Row],[Sell_Value]]*Table15[[#This Row],[Sell_Quantity]]</f>
        <v>1106569.48</v>
      </c>
      <c r="AC221" s="5">
        <f>SUMIFS(Table1[quantity],Table1[order_id],Table15[[#This Row],[order_id]],Table1[side],"BUY")</f>
        <v>0</v>
      </c>
      <c r="AE221" s="10" t="s">
        <v>1129</v>
      </c>
      <c r="AF221" s="10" t="str">
        <f>IF(Table1[[#This Row],[Sell-Buy]]&gt;0,"Profit","Loss")</f>
        <v>Loss</v>
      </c>
      <c r="AG221">
        <f>Table1[[#This Row],[Column2]]-Table1[[#This Row],[Buy-sell]]</f>
        <v>0</v>
      </c>
    </row>
    <row r="222" spans="1:33" x14ac:dyDescent="0.3">
      <c r="A222" t="s">
        <v>1030</v>
      </c>
      <c r="B222" t="s">
        <v>327</v>
      </c>
      <c r="C222" s="1">
        <v>45751.000694444447</v>
      </c>
      <c r="D222" t="s">
        <v>18</v>
      </c>
      <c r="E222" t="s">
        <v>166</v>
      </c>
      <c r="F222">
        <v>707</v>
      </c>
      <c r="G222">
        <v>651.9</v>
      </c>
      <c r="H222">
        <v>230.45</v>
      </c>
      <c r="I222" t="s">
        <v>140</v>
      </c>
      <c r="J222" t="s">
        <v>49</v>
      </c>
      <c r="L222" s="1">
        <v>45825</v>
      </c>
      <c r="M222" t="s">
        <v>166</v>
      </c>
      <c r="N222">
        <f>IF(Table1[[#This Row],[side]]="BUY", Table1[[#This Row],[quantity]],-Table1[[#This Row],[quantity]])</f>
        <v>707</v>
      </c>
      <c r="P222" t="str">
        <f>IF(Table1[[#This Row],[side]]="Sell",Table1[[#This Row],[price]],"0")</f>
        <v>0</v>
      </c>
      <c r="Q222">
        <f>SUMIFS(Table1[quantity],Table1[company_id],Table8[[#This Row],[COMPANY_ID]],Table1[side],"BUY")-SUMIFS(Table1[quantity],Table1[company_id],Table8[[#This Row],[COMPANY_ID]],Table1[side],"SELL")</f>
        <v>0</v>
      </c>
      <c r="R222">
        <f>Table1[[#This Row],[Column2]]-Table1[[#This Row],[Buy-sell]]</f>
        <v>0</v>
      </c>
      <c r="S222" t="str">
        <f>IF(Table1[[#This Row],[Sell-Buy]]&gt;0,"Profit","Loss")</f>
        <v>Loss</v>
      </c>
      <c r="T222" s="5" t="s">
        <v>505</v>
      </c>
      <c r="U222" s="8">
        <f>SUMIFS(Table1[price],Table1[order_id],Table15[[#This Row],[order_id]],Table1[side],"BUY")*Table15[[#This Row],[Buy_Quantity]]</f>
        <v>0</v>
      </c>
      <c r="V222" s="8">
        <f>SUMIFS(Table1[price],Table1[order_id],Table15[[#This Row],[order_id]],Table1[side],"SELL")</f>
        <v>1306.0500000000002</v>
      </c>
      <c r="W222" s="8">
        <f>Table15[[#This Row],[sell]]-Table15[[#This Row],[Buy]]</f>
        <v>1470612.3000000003</v>
      </c>
      <c r="X222" s="8">
        <f>IF(Table15[[#This Row],[Profit]]&gt;0,1,0)</f>
        <v>1</v>
      </c>
      <c r="Y222" s="5" t="str">
        <f>IF(Table15[[#This Row],[is Profit]]=1,"Profit","Loss")</f>
        <v>Profit</v>
      </c>
      <c r="Z222" s="5">
        <f>SUMIFS(Table1[quantity],Table1[order_id],Table15[[#This Row],[order_id]],Table1[side],"SELL")</f>
        <v>1126</v>
      </c>
      <c r="AA222" s="5">
        <f>Table15[[#This Row],[Buy_value]]*Table15[[#This Row],[Buy_Quantity]]</f>
        <v>0</v>
      </c>
      <c r="AB222" s="5">
        <f>Table15[[#This Row],[Sell_Value]]*Table15[[#This Row],[Sell_Quantity]]</f>
        <v>1470612.3000000003</v>
      </c>
      <c r="AC222" s="5">
        <f>SUMIFS(Table1[quantity],Table1[order_id],Table15[[#This Row],[order_id]],Table1[side],"BUY")</f>
        <v>0</v>
      </c>
      <c r="AE222" s="9" t="s">
        <v>1137</v>
      </c>
      <c r="AF222" s="10" t="str">
        <f>IF(Table1[[#This Row],[Sell-Buy]]&gt;0,"Profit","Loss")</f>
        <v>Loss</v>
      </c>
      <c r="AG222">
        <f>Table1[[#This Row],[Column2]]-Table1[[#This Row],[Buy-sell]]</f>
        <v>0</v>
      </c>
    </row>
    <row r="223" spans="1:33" x14ac:dyDescent="0.3">
      <c r="A223" t="s">
        <v>1033</v>
      </c>
      <c r="B223" t="s">
        <v>360</v>
      </c>
      <c r="C223" s="1">
        <v>45730.038194444445</v>
      </c>
      <c r="D223" t="s">
        <v>18</v>
      </c>
      <c r="E223" t="s">
        <v>171</v>
      </c>
      <c r="F223">
        <v>666</v>
      </c>
      <c r="G223">
        <v>643.51</v>
      </c>
      <c r="H223">
        <v>214.29</v>
      </c>
      <c r="I223" t="s">
        <v>118</v>
      </c>
      <c r="J223" t="s">
        <v>70</v>
      </c>
      <c r="L223" s="1">
        <v>45663</v>
      </c>
      <c r="N223">
        <f>IF(Table1[[#This Row],[side]]="BUY", Table1[[#This Row],[quantity]],-Table1[[#This Row],[quantity]])</f>
        <v>-666</v>
      </c>
      <c r="O223" t="s">
        <v>171</v>
      </c>
      <c r="P223">
        <f>IF(Table1[[#This Row],[side]]="Sell",Table1[[#This Row],[price]],"0")</f>
        <v>643.51</v>
      </c>
      <c r="Q223">
        <f>SUMIFS(Table1[quantity],Table1[company_id],Table8[[#This Row],[COMPANY_ID]],Table1[side],"BUY")-SUMIFS(Table1[quantity],Table1[company_id],Table8[[#This Row],[COMPANY_ID]],Table1[side],"SELL")</f>
        <v>0</v>
      </c>
      <c r="R223">
        <f>Table1[[#This Row],[Column2]]-Table1[[#This Row],[Buy-sell]]</f>
        <v>643.51</v>
      </c>
      <c r="S223" t="str">
        <f>IF(Table1[[#This Row],[Sell-Buy]]&gt;0,"Profit","Loss")</f>
        <v>Profit</v>
      </c>
      <c r="T223" s="4" t="s">
        <v>508</v>
      </c>
      <c r="U223" s="8">
        <f>SUMIFS(Table1[price],Table1[order_id],Table15[[#This Row],[order_id]],Table1[side],"BUY")*Table15[[#This Row],[Buy_Quantity]]</f>
        <v>0</v>
      </c>
      <c r="V223" s="8">
        <f>SUMIFS(Table1[price],Table1[order_id],Table15[[#This Row],[order_id]],Table1[side],"SELL")</f>
        <v>798.76</v>
      </c>
      <c r="W223" s="8">
        <f>Table15[[#This Row],[sell]]-Table15[[#This Row],[Buy]]</f>
        <v>611850.16</v>
      </c>
      <c r="X223" s="8">
        <f>IF(Table15[[#This Row],[Profit]]&gt;0,1,0)</f>
        <v>1</v>
      </c>
      <c r="Y223" s="5" t="str">
        <f>IF(Table15[[#This Row],[is Profit]]=1,"Profit","Loss")</f>
        <v>Profit</v>
      </c>
      <c r="Z223" s="5">
        <f>SUMIFS(Table1[quantity],Table1[order_id],Table15[[#This Row],[order_id]],Table1[side],"SELL")</f>
        <v>766</v>
      </c>
      <c r="AA223" s="5">
        <f>Table15[[#This Row],[Buy_value]]*Table15[[#This Row],[Buy_Quantity]]</f>
        <v>0</v>
      </c>
      <c r="AB223" s="5">
        <f>Table15[[#This Row],[Sell_Value]]*Table15[[#This Row],[Sell_Quantity]]</f>
        <v>611850.16</v>
      </c>
      <c r="AC223" s="5">
        <f>SUMIFS(Table1[quantity],Table1[order_id],Table15[[#This Row],[order_id]],Table1[side],"BUY")</f>
        <v>0</v>
      </c>
      <c r="AE223" s="10" t="s">
        <v>704</v>
      </c>
      <c r="AF223" s="10" t="str">
        <f>IF(Table1[[#This Row],[Sell-Buy]]&gt;0,"Profit","Loss")</f>
        <v>Profit</v>
      </c>
      <c r="AG223">
        <f>Table1[[#This Row],[Column2]]-Table1[[#This Row],[Buy-sell]]</f>
        <v>643.51</v>
      </c>
    </row>
    <row r="224" spans="1:33" x14ac:dyDescent="0.3">
      <c r="A224" t="s">
        <v>1034</v>
      </c>
      <c r="B224" t="s">
        <v>301</v>
      </c>
      <c r="C224" s="1">
        <v>45663.024305555555</v>
      </c>
      <c r="D224" t="s">
        <v>18</v>
      </c>
      <c r="E224" t="s">
        <v>171</v>
      </c>
      <c r="F224">
        <v>685</v>
      </c>
      <c r="G224">
        <v>605.70000000000005</v>
      </c>
      <c r="H224">
        <v>207.45</v>
      </c>
      <c r="I224" t="s">
        <v>146</v>
      </c>
      <c r="J224" t="s">
        <v>67</v>
      </c>
      <c r="L224" s="1">
        <v>45779</v>
      </c>
      <c r="N224">
        <f>IF(Table1[[#This Row],[side]]="BUY", Table1[[#This Row],[quantity]],-Table1[[#This Row],[quantity]])</f>
        <v>-685</v>
      </c>
      <c r="O224" t="s">
        <v>171</v>
      </c>
      <c r="P224">
        <f>IF(Table1[[#This Row],[side]]="Sell",Table1[[#This Row],[price]],"0")</f>
        <v>605.70000000000005</v>
      </c>
      <c r="Q224">
        <f>SUMIFS(Table1[quantity],Table1[company_id],Table8[[#This Row],[COMPANY_ID]],Table1[side],"BUY")-SUMIFS(Table1[quantity],Table1[company_id],Table8[[#This Row],[COMPANY_ID]],Table1[side],"SELL")</f>
        <v>0</v>
      </c>
      <c r="R224">
        <f>Table1[[#This Row],[Column2]]-Table1[[#This Row],[Buy-sell]]</f>
        <v>605.70000000000005</v>
      </c>
      <c r="S224" t="str">
        <f>IF(Table1[[#This Row],[Sell-Buy]]&gt;0,"Profit","Loss")</f>
        <v>Profit</v>
      </c>
      <c r="T224" s="5" t="s">
        <v>509</v>
      </c>
      <c r="U224" s="8">
        <f>SUMIFS(Table1[price],Table1[order_id],Table15[[#This Row],[order_id]],Table1[side],"BUY")*Table15[[#This Row],[Buy_Quantity]]</f>
        <v>649512.93000000005</v>
      </c>
      <c r="V224" s="8">
        <f>SUMIFS(Table1[price],Table1[order_id],Table15[[#This Row],[order_id]],Table1[side],"SELL")</f>
        <v>0</v>
      </c>
      <c r="W224" s="8">
        <f>Table15[[#This Row],[sell]]-Table15[[#This Row],[Buy]]</f>
        <v>-337097210.67000002</v>
      </c>
      <c r="X224" s="8">
        <f>IF(Table15[[#This Row],[Profit]]&gt;0,1,0)</f>
        <v>0</v>
      </c>
      <c r="Y224" s="5" t="str">
        <f>IF(Table15[[#This Row],[is Profit]]=1,"Profit","Loss")</f>
        <v>Loss</v>
      </c>
      <c r="Z224" s="5">
        <f>SUMIFS(Table1[quantity],Table1[order_id],Table15[[#This Row],[order_id]],Table1[side],"SELL")</f>
        <v>0</v>
      </c>
      <c r="AA224" s="5">
        <f>Table15[[#This Row],[Buy_value]]*Table15[[#This Row],[Buy_Quantity]]</f>
        <v>337097210.67000002</v>
      </c>
      <c r="AB224" s="5">
        <f>Table15[[#This Row],[Sell_Value]]*Table15[[#This Row],[Sell_Quantity]]</f>
        <v>0</v>
      </c>
      <c r="AC224" s="5">
        <f>SUMIFS(Table1[quantity],Table1[order_id],Table15[[#This Row],[order_id]],Table1[side],"BUY")</f>
        <v>519</v>
      </c>
      <c r="AE224" s="9" t="s">
        <v>1146</v>
      </c>
      <c r="AF224" s="10" t="str">
        <f>IF(Table1[[#This Row],[Sell-Buy]]&gt;0,"Profit","Loss")</f>
        <v>Profit</v>
      </c>
      <c r="AG224">
        <f>Table1[[#This Row],[Column2]]-Table1[[#This Row],[Buy-sell]]</f>
        <v>605.70000000000005</v>
      </c>
    </row>
    <row r="225" spans="1:33" x14ac:dyDescent="0.3">
      <c r="A225" t="s">
        <v>1044</v>
      </c>
      <c r="B225" t="s">
        <v>301</v>
      </c>
      <c r="C225" s="1">
        <v>45835.030555555553</v>
      </c>
      <c r="D225" t="s">
        <v>18</v>
      </c>
      <c r="E225" t="s">
        <v>171</v>
      </c>
      <c r="F225">
        <v>296</v>
      </c>
      <c r="G225">
        <v>676.3</v>
      </c>
      <c r="H225">
        <v>100.09</v>
      </c>
      <c r="I225" t="s">
        <v>116</v>
      </c>
      <c r="J225" t="s">
        <v>58</v>
      </c>
      <c r="L225" s="1">
        <v>45712</v>
      </c>
      <c r="N225">
        <f>IF(Table1[[#This Row],[side]]="BUY", Table1[[#This Row],[quantity]],-Table1[[#This Row],[quantity]])</f>
        <v>-296</v>
      </c>
      <c r="O225" t="s">
        <v>171</v>
      </c>
      <c r="P225">
        <f>IF(Table1[[#This Row],[side]]="Sell",Table1[[#This Row],[price]],"0")</f>
        <v>676.3</v>
      </c>
      <c r="Q225">
        <f>SUMIFS(Table1[quantity],Table1[company_id],Table8[[#This Row],[COMPANY_ID]],Table1[side],"BUY")-SUMIFS(Table1[quantity],Table1[company_id],Table8[[#This Row],[COMPANY_ID]],Table1[side],"SELL")</f>
        <v>0</v>
      </c>
      <c r="R225">
        <f>Table1[[#This Row],[Column2]]-Table1[[#This Row],[Buy-sell]]</f>
        <v>676.3</v>
      </c>
      <c r="S225" t="str">
        <f>IF(Table1[[#This Row],[Sell-Buy]]&gt;0,"Profit","Loss")</f>
        <v>Profit</v>
      </c>
      <c r="T225" s="5" t="s">
        <v>511</v>
      </c>
      <c r="U225" s="8">
        <f>SUMIFS(Table1[price],Table1[order_id],Table15[[#This Row],[order_id]],Table1[side],"BUY")*Table15[[#This Row],[Buy_Quantity]]</f>
        <v>0</v>
      </c>
      <c r="V225" s="8">
        <f>SUMIFS(Table1[price],Table1[order_id],Table15[[#This Row],[order_id]],Table1[side],"SELL")</f>
        <v>588.69000000000005</v>
      </c>
      <c r="W225" s="8">
        <f>Table15[[#This Row],[sell]]-Table15[[#This Row],[Buy]]</f>
        <v>450347.85000000003</v>
      </c>
      <c r="X225" s="8">
        <f>IF(Table15[[#This Row],[Profit]]&gt;0,1,0)</f>
        <v>1</v>
      </c>
      <c r="Y225" s="5" t="str">
        <f>IF(Table15[[#This Row],[is Profit]]=1,"Profit","Loss")</f>
        <v>Profit</v>
      </c>
      <c r="Z225" s="5">
        <f>SUMIFS(Table1[quantity],Table1[order_id],Table15[[#This Row],[order_id]],Table1[side],"SELL")</f>
        <v>765</v>
      </c>
      <c r="AA225" s="5">
        <f>Table15[[#This Row],[Buy_value]]*Table15[[#This Row],[Buy_Quantity]]</f>
        <v>0</v>
      </c>
      <c r="AB225" s="5">
        <f>Table15[[#This Row],[Sell_Value]]*Table15[[#This Row],[Sell_Quantity]]</f>
        <v>450347.85000000003</v>
      </c>
      <c r="AC225" s="5">
        <f>SUMIFS(Table1[quantity],Table1[order_id],Table15[[#This Row],[order_id]],Table1[side],"BUY")</f>
        <v>0</v>
      </c>
      <c r="AE225" s="10" t="s">
        <v>1165</v>
      </c>
      <c r="AF225" s="10" t="str">
        <f>IF(Table1[[#This Row],[Sell-Buy]]&gt;0,"Profit","Loss")</f>
        <v>Profit</v>
      </c>
      <c r="AG225">
        <f>Table1[[#This Row],[Column2]]-Table1[[#This Row],[Buy-sell]]</f>
        <v>676.3</v>
      </c>
    </row>
    <row r="226" spans="1:33" x14ac:dyDescent="0.3">
      <c r="A226" t="s">
        <v>1065</v>
      </c>
      <c r="B226" t="s">
        <v>627</v>
      </c>
      <c r="C226" s="1">
        <v>45742.007638888892</v>
      </c>
      <c r="D226" t="s">
        <v>18</v>
      </c>
      <c r="E226" t="s">
        <v>166</v>
      </c>
      <c r="F226">
        <v>925</v>
      </c>
      <c r="G226">
        <v>629.05999999999995</v>
      </c>
      <c r="H226">
        <v>290.94</v>
      </c>
      <c r="I226" t="s">
        <v>104</v>
      </c>
      <c r="J226" t="s">
        <v>73</v>
      </c>
      <c r="L226" s="1">
        <v>45804</v>
      </c>
      <c r="M226" t="s">
        <v>166</v>
      </c>
      <c r="N226">
        <f>IF(Table1[[#This Row],[side]]="BUY", Table1[[#This Row],[quantity]],-Table1[[#This Row],[quantity]])</f>
        <v>925</v>
      </c>
      <c r="P226" t="str">
        <f>IF(Table1[[#This Row],[side]]="Sell",Table1[[#This Row],[price]],"0")</f>
        <v>0</v>
      </c>
      <c r="Q226">
        <f>SUMIFS(Table1[quantity],Table1[company_id],Table8[[#This Row],[COMPANY_ID]],Table1[side],"BUY")-SUMIFS(Table1[quantity],Table1[company_id],Table8[[#This Row],[COMPANY_ID]],Table1[side],"SELL")</f>
        <v>0</v>
      </c>
      <c r="R226">
        <f>Table1[[#This Row],[Column2]]-Table1[[#This Row],[Buy-sell]]</f>
        <v>0</v>
      </c>
      <c r="S226" t="str">
        <f>IF(Table1[[#This Row],[Sell-Buy]]&gt;0,"Profit","Loss")</f>
        <v>Loss</v>
      </c>
      <c r="T226" s="4" t="s">
        <v>513</v>
      </c>
      <c r="U226" s="8">
        <f>SUMIFS(Table1[price],Table1[order_id],Table15[[#This Row],[order_id]],Table1[side],"BUY")*Table15[[#This Row],[Buy_Quantity]]</f>
        <v>0</v>
      </c>
      <c r="V226" s="8">
        <f>SUMIFS(Table1[price],Table1[order_id],Table15[[#This Row],[order_id]],Table1[side],"SELL")</f>
        <v>1978.0900000000001</v>
      </c>
      <c r="W226" s="8">
        <f>Table15[[#This Row],[sell]]-Table15[[#This Row],[Buy]]</f>
        <v>1782259.09</v>
      </c>
      <c r="X226" s="8">
        <f>IF(Table15[[#This Row],[Profit]]&gt;0,1,0)</f>
        <v>1</v>
      </c>
      <c r="Y226" s="5" t="str">
        <f>IF(Table15[[#This Row],[is Profit]]=1,"Profit","Loss")</f>
        <v>Profit</v>
      </c>
      <c r="Z226" s="5">
        <f>SUMIFS(Table1[quantity],Table1[order_id],Table15[[#This Row],[order_id]],Table1[side],"SELL")</f>
        <v>901</v>
      </c>
      <c r="AA226" s="5">
        <f>Table15[[#This Row],[Buy_value]]*Table15[[#This Row],[Buy_Quantity]]</f>
        <v>0</v>
      </c>
      <c r="AB226" s="5">
        <f>Table15[[#This Row],[Sell_Value]]*Table15[[#This Row],[Sell_Quantity]]</f>
        <v>1782259.09</v>
      </c>
      <c r="AC226" s="5">
        <f>SUMIFS(Table1[quantity],Table1[order_id],Table15[[#This Row],[order_id]],Table1[side],"BUY")</f>
        <v>0</v>
      </c>
      <c r="AE226" s="9" t="s">
        <v>1046</v>
      </c>
      <c r="AF226" s="10" t="str">
        <f>IF(Table1[[#This Row],[Sell-Buy]]&gt;0,"Profit","Loss")</f>
        <v>Loss</v>
      </c>
      <c r="AG226">
        <f>Table1[[#This Row],[Column2]]-Table1[[#This Row],[Buy-sell]]</f>
        <v>0</v>
      </c>
    </row>
    <row r="227" spans="1:33" x14ac:dyDescent="0.3">
      <c r="A227" t="s">
        <v>1069</v>
      </c>
      <c r="B227" t="s">
        <v>280</v>
      </c>
      <c r="C227" s="1">
        <v>45740.029861111114</v>
      </c>
      <c r="D227" t="s">
        <v>18</v>
      </c>
      <c r="E227" t="s">
        <v>171</v>
      </c>
      <c r="F227">
        <v>955</v>
      </c>
      <c r="G227">
        <v>630.6</v>
      </c>
      <c r="H227">
        <v>301.11</v>
      </c>
      <c r="I227" t="s">
        <v>88</v>
      </c>
      <c r="J227" t="s">
        <v>49</v>
      </c>
      <c r="L227" s="1">
        <v>45799</v>
      </c>
      <c r="N227">
        <f>IF(Table1[[#This Row],[side]]="BUY", Table1[[#This Row],[quantity]],-Table1[[#This Row],[quantity]])</f>
        <v>-955</v>
      </c>
      <c r="O227" t="s">
        <v>171</v>
      </c>
      <c r="P227">
        <f>IF(Table1[[#This Row],[side]]="Sell",Table1[[#This Row],[price]],"0")</f>
        <v>630.6</v>
      </c>
      <c r="Q227">
        <f>SUMIFS(Table1[quantity],Table1[company_id],Table8[[#This Row],[COMPANY_ID]],Table1[side],"BUY")-SUMIFS(Table1[quantity],Table1[company_id],Table8[[#This Row],[COMPANY_ID]],Table1[side],"SELL")</f>
        <v>0</v>
      </c>
      <c r="R227">
        <f>Table1[[#This Row],[Column2]]-Table1[[#This Row],[Buy-sell]]</f>
        <v>630.6</v>
      </c>
      <c r="S227" t="str">
        <f>IF(Table1[[#This Row],[Sell-Buy]]&gt;0,"Profit","Loss")</f>
        <v>Profit</v>
      </c>
      <c r="T227" s="4" t="s">
        <v>516</v>
      </c>
      <c r="U227" s="8">
        <f>SUMIFS(Table1[price],Table1[order_id],Table15[[#This Row],[order_id]],Table1[side],"BUY")*Table15[[#This Row],[Buy_Quantity]]</f>
        <v>1104899.74</v>
      </c>
      <c r="V227" s="8">
        <f>SUMIFS(Table1[price],Table1[order_id],Table15[[#This Row],[order_id]],Table1[side],"SELL")</f>
        <v>0</v>
      </c>
      <c r="W227" s="8">
        <f>Table15[[#This Row],[sell]]-Table15[[#This Row],[Buy]]</f>
        <v>-1539125337.8199999</v>
      </c>
      <c r="X227" s="8">
        <f>IF(Table15[[#This Row],[Profit]]&gt;0,1,0)</f>
        <v>0</v>
      </c>
      <c r="Y227" s="5" t="str">
        <f>IF(Table15[[#This Row],[is Profit]]=1,"Profit","Loss")</f>
        <v>Loss</v>
      </c>
      <c r="Z227" s="5">
        <f>SUMIFS(Table1[quantity],Table1[order_id],Table15[[#This Row],[order_id]],Table1[side],"SELL")</f>
        <v>0</v>
      </c>
      <c r="AA227" s="5">
        <f>Table15[[#This Row],[Buy_value]]*Table15[[#This Row],[Buy_Quantity]]</f>
        <v>1539125337.8199999</v>
      </c>
      <c r="AB227" s="5">
        <f>Table15[[#This Row],[Sell_Value]]*Table15[[#This Row],[Sell_Quantity]]</f>
        <v>0</v>
      </c>
      <c r="AC227" s="5">
        <f>SUMIFS(Table1[quantity],Table1[order_id],Table15[[#This Row],[order_id]],Table1[side],"BUY")</f>
        <v>1393</v>
      </c>
      <c r="AE227" s="10" t="s">
        <v>1147</v>
      </c>
      <c r="AF227" s="10" t="str">
        <f>IF(Table1[[#This Row],[Sell-Buy]]&gt;0,"Profit","Loss")</f>
        <v>Profit</v>
      </c>
      <c r="AG227">
        <f>Table1[[#This Row],[Column2]]-Table1[[#This Row],[Buy-sell]]</f>
        <v>630.6</v>
      </c>
    </row>
    <row r="228" spans="1:33" x14ac:dyDescent="0.3">
      <c r="A228" t="s">
        <v>1070</v>
      </c>
      <c r="B228" t="s">
        <v>448</v>
      </c>
      <c r="C228" s="1">
        <v>45708.029861111114</v>
      </c>
      <c r="D228" t="s">
        <v>18</v>
      </c>
      <c r="E228" t="s">
        <v>171</v>
      </c>
      <c r="F228">
        <v>906</v>
      </c>
      <c r="G228">
        <v>627.29999999999995</v>
      </c>
      <c r="H228">
        <v>284.17</v>
      </c>
      <c r="I228" t="s">
        <v>134</v>
      </c>
      <c r="J228" t="s">
        <v>73</v>
      </c>
      <c r="L228" s="1">
        <v>45670</v>
      </c>
      <c r="N228">
        <f>IF(Table1[[#This Row],[side]]="BUY", Table1[[#This Row],[quantity]],-Table1[[#This Row],[quantity]])</f>
        <v>-906</v>
      </c>
      <c r="O228" t="s">
        <v>171</v>
      </c>
      <c r="P228">
        <f>IF(Table1[[#This Row],[side]]="Sell",Table1[[#This Row],[price]],"0")</f>
        <v>627.29999999999995</v>
      </c>
      <c r="Q228">
        <f>SUMIFS(Table1[quantity],Table1[company_id],Table8[[#This Row],[COMPANY_ID]],Table1[side],"BUY")-SUMIFS(Table1[quantity],Table1[company_id],Table8[[#This Row],[COMPANY_ID]],Table1[side],"SELL")</f>
        <v>0</v>
      </c>
      <c r="R228">
        <f>Table1[[#This Row],[Column2]]-Table1[[#This Row],[Buy-sell]]</f>
        <v>627.29999999999995</v>
      </c>
      <c r="S228" t="str">
        <f>IF(Table1[[#This Row],[Sell-Buy]]&gt;0,"Profit","Loss")</f>
        <v>Profit</v>
      </c>
      <c r="T228" s="5" t="s">
        <v>517</v>
      </c>
      <c r="U228" s="8">
        <f>SUMIFS(Table1[price],Table1[order_id],Table15[[#This Row],[order_id]],Table1[side],"BUY")*Table15[[#This Row],[Buy_Quantity]]</f>
        <v>0</v>
      </c>
      <c r="V228" s="8">
        <f>SUMIFS(Table1[price],Table1[order_id],Table15[[#This Row],[order_id]],Table1[side],"SELL")</f>
        <v>567.42999999999995</v>
      </c>
      <c r="W228" s="8">
        <f>Table15[[#This Row],[sell]]-Table15[[#This Row],[Buy]]</f>
        <v>94193.37999999999</v>
      </c>
      <c r="X228" s="8">
        <f>IF(Table15[[#This Row],[Profit]]&gt;0,1,0)</f>
        <v>1</v>
      </c>
      <c r="Y228" s="5" t="str">
        <f>IF(Table15[[#This Row],[is Profit]]=1,"Profit","Loss")</f>
        <v>Profit</v>
      </c>
      <c r="Z228" s="5">
        <f>SUMIFS(Table1[quantity],Table1[order_id],Table15[[#This Row],[order_id]],Table1[side],"SELL")</f>
        <v>166</v>
      </c>
      <c r="AA228" s="5">
        <f>Table15[[#This Row],[Buy_value]]*Table15[[#This Row],[Buy_Quantity]]</f>
        <v>0</v>
      </c>
      <c r="AB228" s="5">
        <f>Table15[[#This Row],[Sell_Value]]*Table15[[#This Row],[Sell_Quantity]]</f>
        <v>94193.37999999999</v>
      </c>
      <c r="AC228" s="5">
        <f>SUMIFS(Table1[quantity],Table1[order_id],Table15[[#This Row],[order_id]],Table1[side],"BUY")</f>
        <v>0</v>
      </c>
      <c r="AE228" s="9" t="s">
        <v>1027</v>
      </c>
      <c r="AF228" s="10" t="str">
        <f>IF(Table1[[#This Row],[Sell-Buy]]&gt;0,"Profit","Loss")</f>
        <v>Profit</v>
      </c>
      <c r="AG228">
        <f>Table1[[#This Row],[Column2]]-Table1[[#This Row],[Buy-sell]]</f>
        <v>627.29999999999995</v>
      </c>
    </row>
    <row r="229" spans="1:33" x14ac:dyDescent="0.3">
      <c r="A229" t="s">
        <v>1076</v>
      </c>
      <c r="B229" t="s">
        <v>270</v>
      </c>
      <c r="C229" s="1">
        <v>45762.013888888891</v>
      </c>
      <c r="D229" t="s">
        <v>18</v>
      </c>
      <c r="E229" t="s">
        <v>171</v>
      </c>
      <c r="F229">
        <v>985</v>
      </c>
      <c r="G229">
        <v>631.66</v>
      </c>
      <c r="H229">
        <v>311.08999999999997</v>
      </c>
      <c r="I229" t="s">
        <v>114</v>
      </c>
      <c r="J229" t="s">
        <v>73</v>
      </c>
      <c r="L229" s="1">
        <v>45712</v>
      </c>
      <c r="N229">
        <f>IF(Table1[[#This Row],[side]]="BUY", Table1[[#This Row],[quantity]],-Table1[[#This Row],[quantity]])</f>
        <v>-985</v>
      </c>
      <c r="O229" t="s">
        <v>171</v>
      </c>
      <c r="P229">
        <f>IF(Table1[[#This Row],[side]]="Sell",Table1[[#This Row],[price]],"0")</f>
        <v>631.66</v>
      </c>
      <c r="Q229">
        <f>SUMIFS(Table1[quantity],Table1[company_id],Table8[[#This Row],[COMPANY_ID]],Table1[side],"BUY")-SUMIFS(Table1[quantity],Table1[company_id],Table8[[#This Row],[COMPANY_ID]],Table1[side],"SELL")</f>
        <v>0</v>
      </c>
      <c r="R229">
        <f>Table1[[#This Row],[Column2]]-Table1[[#This Row],[Buy-sell]]</f>
        <v>631.66</v>
      </c>
      <c r="S229" t="str">
        <f>IF(Table1[[#This Row],[Sell-Buy]]&gt;0,"Profit","Loss")</f>
        <v>Profit</v>
      </c>
      <c r="T229" s="4" t="s">
        <v>518</v>
      </c>
      <c r="U229" s="8">
        <f>SUMIFS(Table1[price],Table1[order_id],Table15[[#This Row],[order_id]],Table1[side],"BUY")*Table15[[#This Row],[Buy_Quantity]]</f>
        <v>591318.49</v>
      </c>
      <c r="V229" s="8">
        <f>SUMIFS(Table1[price],Table1[order_id],Table15[[#This Row],[order_id]],Table1[side],"SELL")</f>
        <v>0</v>
      </c>
      <c r="W229" s="8">
        <f>Table15[[#This Row],[sell]]-Table15[[#This Row],[Buy]]</f>
        <v>-159064673.81</v>
      </c>
      <c r="X229" s="8">
        <f>IF(Table15[[#This Row],[Profit]]&gt;0,1,0)</f>
        <v>0</v>
      </c>
      <c r="Y229" s="5" t="str">
        <f>IF(Table15[[#This Row],[is Profit]]=1,"Profit","Loss")</f>
        <v>Loss</v>
      </c>
      <c r="Z229" s="5">
        <f>SUMIFS(Table1[quantity],Table1[order_id],Table15[[#This Row],[order_id]],Table1[side],"SELL")</f>
        <v>0</v>
      </c>
      <c r="AA229" s="5">
        <f>Table15[[#This Row],[Buy_value]]*Table15[[#This Row],[Buy_Quantity]]</f>
        <v>159064673.81</v>
      </c>
      <c r="AB229" s="5">
        <f>Table15[[#This Row],[Sell_Value]]*Table15[[#This Row],[Sell_Quantity]]</f>
        <v>0</v>
      </c>
      <c r="AC229" s="5">
        <f>SUMIFS(Table1[quantity],Table1[order_id],Table15[[#This Row],[order_id]],Table1[side],"BUY")</f>
        <v>269</v>
      </c>
      <c r="AE229" s="10" t="s">
        <v>920</v>
      </c>
      <c r="AF229" s="10" t="str">
        <f>IF(Table1[[#This Row],[Sell-Buy]]&gt;0,"Profit","Loss")</f>
        <v>Profit</v>
      </c>
      <c r="AG229">
        <f>Table1[[#This Row],[Column2]]-Table1[[#This Row],[Buy-sell]]</f>
        <v>631.66</v>
      </c>
    </row>
    <row r="230" spans="1:33" x14ac:dyDescent="0.3">
      <c r="A230" t="s">
        <v>1079</v>
      </c>
      <c r="B230" t="s">
        <v>467</v>
      </c>
      <c r="C230" s="1">
        <v>45791.004166666666</v>
      </c>
      <c r="D230" t="s">
        <v>18</v>
      </c>
      <c r="E230" t="s">
        <v>171</v>
      </c>
      <c r="F230">
        <v>959</v>
      </c>
      <c r="G230">
        <v>631.78</v>
      </c>
      <c r="H230">
        <v>302.94</v>
      </c>
      <c r="I230" t="s">
        <v>116</v>
      </c>
      <c r="J230" t="s">
        <v>58</v>
      </c>
      <c r="L230" s="1">
        <v>45721</v>
      </c>
      <c r="N230">
        <f>IF(Table1[[#This Row],[side]]="BUY", Table1[[#This Row],[quantity]],-Table1[[#This Row],[quantity]])</f>
        <v>-959</v>
      </c>
      <c r="O230" t="s">
        <v>171</v>
      </c>
      <c r="P230">
        <f>IF(Table1[[#This Row],[side]]="Sell",Table1[[#This Row],[price]],"0")</f>
        <v>631.78</v>
      </c>
      <c r="Q230">
        <f>SUMIFS(Table1[quantity],Table1[company_id],Table8[[#This Row],[COMPANY_ID]],Table1[side],"BUY")-SUMIFS(Table1[quantity],Table1[company_id],Table8[[#This Row],[COMPANY_ID]],Table1[side],"SELL")</f>
        <v>0</v>
      </c>
      <c r="R230">
        <f>Table1[[#This Row],[Column2]]-Table1[[#This Row],[Buy-sell]]</f>
        <v>631.78</v>
      </c>
      <c r="S230" t="str">
        <f>IF(Table1[[#This Row],[Sell-Buy]]&gt;0,"Profit","Loss")</f>
        <v>Profit</v>
      </c>
      <c r="T230" s="4" t="s">
        <v>520</v>
      </c>
      <c r="U230" s="8">
        <f>SUMIFS(Table1[price],Table1[order_id],Table15[[#This Row],[order_id]],Table1[side],"BUY")*Table15[[#This Row],[Buy_Quantity]]</f>
        <v>0</v>
      </c>
      <c r="V230" s="8">
        <f>SUMIFS(Table1[price],Table1[order_id],Table15[[#This Row],[order_id]],Table1[side],"SELL")</f>
        <v>240.8</v>
      </c>
      <c r="W230" s="8">
        <f>Table15[[#This Row],[sell]]-Table15[[#This Row],[Buy]]</f>
        <v>240559.2</v>
      </c>
      <c r="X230" s="8">
        <f>IF(Table15[[#This Row],[Profit]]&gt;0,1,0)</f>
        <v>1</v>
      </c>
      <c r="Y230" s="5" t="str">
        <f>IF(Table15[[#This Row],[is Profit]]=1,"Profit","Loss")</f>
        <v>Profit</v>
      </c>
      <c r="Z230" s="5">
        <f>SUMIFS(Table1[quantity],Table1[order_id],Table15[[#This Row],[order_id]],Table1[side],"SELL")</f>
        <v>999</v>
      </c>
      <c r="AA230" s="5">
        <f>Table15[[#This Row],[Buy_value]]*Table15[[#This Row],[Buy_Quantity]]</f>
        <v>0</v>
      </c>
      <c r="AB230" s="5">
        <f>Table15[[#This Row],[Sell_Value]]*Table15[[#This Row],[Sell_Quantity]]</f>
        <v>240559.2</v>
      </c>
      <c r="AC230" s="5">
        <f>SUMIFS(Table1[quantity],Table1[order_id],Table15[[#This Row],[order_id]],Table1[side],"BUY")</f>
        <v>0</v>
      </c>
      <c r="AE230" s="9" t="s">
        <v>1061</v>
      </c>
      <c r="AF230" s="10" t="str">
        <f>IF(Table1[[#This Row],[Sell-Buy]]&gt;0,"Profit","Loss")</f>
        <v>Profit</v>
      </c>
      <c r="AG230">
        <f>Table1[[#This Row],[Column2]]-Table1[[#This Row],[Buy-sell]]</f>
        <v>631.78</v>
      </c>
    </row>
    <row r="231" spans="1:33" x14ac:dyDescent="0.3">
      <c r="A231" t="s">
        <v>1087</v>
      </c>
      <c r="B231" t="s">
        <v>456</v>
      </c>
      <c r="C231" s="1">
        <v>45737.040277777778</v>
      </c>
      <c r="D231" t="s">
        <v>18</v>
      </c>
      <c r="E231" t="s">
        <v>166</v>
      </c>
      <c r="F231">
        <v>284</v>
      </c>
      <c r="G231">
        <v>627.92999999999995</v>
      </c>
      <c r="H231">
        <v>89.17</v>
      </c>
      <c r="I231" t="s">
        <v>118</v>
      </c>
      <c r="J231" t="s">
        <v>55</v>
      </c>
      <c r="L231" s="1">
        <v>45811</v>
      </c>
      <c r="M231" t="s">
        <v>166</v>
      </c>
      <c r="N231">
        <f>IF(Table1[[#This Row],[side]]="BUY", Table1[[#This Row],[quantity]],-Table1[[#This Row],[quantity]])</f>
        <v>284</v>
      </c>
      <c r="P231" t="str">
        <f>IF(Table1[[#This Row],[side]]="Sell",Table1[[#This Row],[price]],"0")</f>
        <v>0</v>
      </c>
      <c r="Q231">
        <f>SUMIFS(Table1[quantity],Table1[company_id],Table8[[#This Row],[COMPANY_ID]],Table1[side],"BUY")-SUMIFS(Table1[quantity],Table1[company_id],Table8[[#This Row],[COMPANY_ID]],Table1[side],"SELL")</f>
        <v>0</v>
      </c>
      <c r="R231">
        <f>Table1[[#This Row],[Column2]]-Table1[[#This Row],[Buy-sell]]</f>
        <v>0</v>
      </c>
      <c r="S231" t="str">
        <f>IF(Table1[[#This Row],[Sell-Buy]]&gt;0,"Profit","Loss")</f>
        <v>Loss</v>
      </c>
      <c r="T231" s="4" t="s">
        <v>521</v>
      </c>
      <c r="U231" s="8">
        <f>SUMIFS(Table1[price],Table1[order_id],Table15[[#This Row],[order_id]],Table1[side],"BUY")*Table15[[#This Row],[Buy_Quantity]]</f>
        <v>0</v>
      </c>
      <c r="V231" s="8">
        <f>SUMIFS(Table1[price],Table1[order_id],Table15[[#This Row],[order_id]],Table1[side],"SELL")</f>
        <v>2715.4900000000002</v>
      </c>
      <c r="W231" s="8">
        <f>Table15[[#This Row],[sell]]-Table15[[#This Row],[Buy]]</f>
        <v>2340752.3800000004</v>
      </c>
      <c r="X231" s="8">
        <f>IF(Table15[[#This Row],[Profit]]&gt;0,1,0)</f>
        <v>1</v>
      </c>
      <c r="Y231" s="5" t="str">
        <f>IF(Table15[[#This Row],[is Profit]]=1,"Profit","Loss")</f>
        <v>Profit</v>
      </c>
      <c r="Z231" s="5">
        <f>SUMIFS(Table1[quantity],Table1[order_id],Table15[[#This Row],[order_id]],Table1[side],"SELL")</f>
        <v>862</v>
      </c>
      <c r="AA231" s="5">
        <f>Table15[[#This Row],[Buy_value]]*Table15[[#This Row],[Buy_Quantity]]</f>
        <v>0</v>
      </c>
      <c r="AB231" s="5">
        <f>Table15[[#This Row],[Sell_Value]]*Table15[[#This Row],[Sell_Quantity]]</f>
        <v>2340752.3800000004</v>
      </c>
      <c r="AC231" s="5">
        <f>SUMIFS(Table1[quantity],Table1[order_id],Table15[[#This Row],[order_id]],Table1[side],"BUY")</f>
        <v>0</v>
      </c>
      <c r="AE231" s="10" t="s">
        <v>709</v>
      </c>
      <c r="AF231" s="10" t="str">
        <f>IF(Table1[[#This Row],[Sell-Buy]]&gt;0,"Profit","Loss")</f>
        <v>Loss</v>
      </c>
      <c r="AG231">
        <f>Table1[[#This Row],[Column2]]-Table1[[#This Row],[Buy-sell]]</f>
        <v>0</v>
      </c>
    </row>
    <row r="232" spans="1:33" x14ac:dyDescent="0.3">
      <c r="A232" t="s">
        <v>1088</v>
      </c>
      <c r="B232" t="s">
        <v>398</v>
      </c>
      <c r="C232" s="1">
        <v>45749.035416666666</v>
      </c>
      <c r="D232" t="s">
        <v>18</v>
      </c>
      <c r="E232" t="s">
        <v>171</v>
      </c>
      <c r="F232">
        <v>787</v>
      </c>
      <c r="G232">
        <v>647.63</v>
      </c>
      <c r="H232">
        <v>254.84</v>
      </c>
      <c r="I232" t="s">
        <v>97</v>
      </c>
      <c r="J232" t="s">
        <v>49</v>
      </c>
      <c r="L232" s="1">
        <v>45807</v>
      </c>
      <c r="N232">
        <f>IF(Table1[[#This Row],[side]]="BUY", Table1[[#This Row],[quantity]],-Table1[[#This Row],[quantity]])</f>
        <v>-787</v>
      </c>
      <c r="O232" t="s">
        <v>171</v>
      </c>
      <c r="P232">
        <f>IF(Table1[[#This Row],[side]]="Sell",Table1[[#This Row],[price]],"0")</f>
        <v>647.63</v>
      </c>
      <c r="Q232">
        <f>SUMIFS(Table1[quantity],Table1[company_id],Table8[[#This Row],[COMPANY_ID]],Table1[side],"BUY")-SUMIFS(Table1[quantity],Table1[company_id],Table8[[#This Row],[COMPANY_ID]],Table1[side],"SELL")</f>
        <v>0</v>
      </c>
      <c r="R232">
        <f>Table1[[#This Row],[Column2]]-Table1[[#This Row],[Buy-sell]]</f>
        <v>647.63</v>
      </c>
      <c r="S232" t="str">
        <f>IF(Table1[[#This Row],[Sell-Buy]]&gt;0,"Profit","Loss")</f>
        <v>Profit</v>
      </c>
      <c r="T232" s="4" t="s">
        <v>522</v>
      </c>
      <c r="U232" s="8">
        <f>SUMIFS(Table1[price],Table1[order_id],Table15[[#This Row],[order_id]],Table1[side],"BUY")*Table15[[#This Row],[Buy_Quantity]]</f>
        <v>0</v>
      </c>
      <c r="V232" s="8">
        <f>SUMIFS(Table1[price],Table1[order_id],Table15[[#This Row],[order_id]],Table1[side],"SELL")</f>
        <v>2384.77</v>
      </c>
      <c r="W232" s="8">
        <f>Table15[[#This Row],[sell]]-Table15[[#This Row],[Buy]]</f>
        <v>2504008.5</v>
      </c>
      <c r="X232" s="8">
        <f>IF(Table15[[#This Row],[Profit]]&gt;0,1,0)</f>
        <v>1</v>
      </c>
      <c r="Y232" s="5" t="str">
        <f>IF(Table15[[#This Row],[is Profit]]=1,"Profit","Loss")</f>
        <v>Profit</v>
      </c>
      <c r="Z232" s="5">
        <f>SUMIFS(Table1[quantity],Table1[order_id],Table15[[#This Row],[order_id]],Table1[side],"SELL")</f>
        <v>1050</v>
      </c>
      <c r="AA232" s="5">
        <f>Table15[[#This Row],[Buy_value]]*Table15[[#This Row],[Buy_Quantity]]</f>
        <v>0</v>
      </c>
      <c r="AB232" s="5">
        <f>Table15[[#This Row],[Sell_Value]]*Table15[[#This Row],[Sell_Quantity]]</f>
        <v>2504008.5</v>
      </c>
      <c r="AC232" s="5">
        <f>SUMIFS(Table1[quantity],Table1[order_id],Table15[[#This Row],[order_id]],Table1[side],"BUY")</f>
        <v>0</v>
      </c>
      <c r="AE232" s="9" t="s">
        <v>958</v>
      </c>
      <c r="AF232" s="10" t="str">
        <f>IF(Table1[[#This Row],[Sell-Buy]]&gt;0,"Profit","Loss")</f>
        <v>Profit</v>
      </c>
      <c r="AG232">
        <f>Table1[[#This Row],[Column2]]-Table1[[#This Row],[Buy-sell]]</f>
        <v>647.63</v>
      </c>
    </row>
    <row r="233" spans="1:33" x14ac:dyDescent="0.3">
      <c r="A233" t="s">
        <v>1090</v>
      </c>
      <c r="B233" t="s">
        <v>578</v>
      </c>
      <c r="C233" s="1">
        <v>45813.027777777781</v>
      </c>
      <c r="D233" t="s">
        <v>18</v>
      </c>
      <c r="E233" t="s">
        <v>166</v>
      </c>
      <c r="F233">
        <v>665</v>
      </c>
      <c r="G233">
        <v>662.23</v>
      </c>
      <c r="H233">
        <v>220.19</v>
      </c>
      <c r="I233" t="s">
        <v>112</v>
      </c>
      <c r="J233" t="s">
        <v>67</v>
      </c>
      <c r="L233" s="1">
        <v>45769</v>
      </c>
      <c r="M233" t="s">
        <v>166</v>
      </c>
      <c r="N233">
        <f>IF(Table1[[#This Row],[side]]="BUY", Table1[[#This Row],[quantity]],-Table1[[#This Row],[quantity]])</f>
        <v>665</v>
      </c>
      <c r="P233" t="str">
        <f>IF(Table1[[#This Row],[side]]="Sell",Table1[[#This Row],[price]],"0")</f>
        <v>0</v>
      </c>
      <c r="Q233">
        <f>SUMIFS(Table1[quantity],Table1[company_id],Table8[[#This Row],[COMPANY_ID]],Table1[side],"BUY")-SUMIFS(Table1[quantity],Table1[company_id],Table8[[#This Row],[COMPANY_ID]],Table1[side],"SELL")</f>
        <v>0</v>
      </c>
      <c r="R233">
        <f>Table1[[#This Row],[Column2]]-Table1[[#This Row],[Buy-sell]]</f>
        <v>0</v>
      </c>
      <c r="S233" t="str">
        <f>IF(Table1[[#This Row],[Sell-Buy]]&gt;0,"Profit","Loss")</f>
        <v>Loss</v>
      </c>
      <c r="T233" s="4" t="s">
        <v>523</v>
      </c>
      <c r="U233" s="8">
        <f>SUMIFS(Table1[price],Table1[order_id],Table15[[#This Row],[order_id]],Table1[side],"BUY")*Table15[[#This Row],[Buy_Quantity]]</f>
        <v>0</v>
      </c>
      <c r="V233" s="8">
        <f>SUMIFS(Table1[price],Table1[order_id],Table15[[#This Row],[order_id]],Table1[side],"SELL")</f>
        <v>260.02</v>
      </c>
      <c r="W233" s="8">
        <f>Table15[[#This Row],[sell]]-Table15[[#This Row],[Buy]]</f>
        <v>82166.319999999992</v>
      </c>
      <c r="X233" s="8">
        <f>IF(Table15[[#This Row],[Profit]]&gt;0,1,0)</f>
        <v>1</v>
      </c>
      <c r="Y233" s="5" t="str">
        <f>IF(Table15[[#This Row],[is Profit]]=1,"Profit","Loss")</f>
        <v>Profit</v>
      </c>
      <c r="Z233" s="5">
        <f>SUMIFS(Table1[quantity],Table1[order_id],Table15[[#This Row],[order_id]],Table1[side],"SELL")</f>
        <v>316</v>
      </c>
      <c r="AA233" s="5">
        <f>Table15[[#This Row],[Buy_value]]*Table15[[#This Row],[Buy_Quantity]]</f>
        <v>0</v>
      </c>
      <c r="AB233" s="5">
        <f>Table15[[#This Row],[Sell_Value]]*Table15[[#This Row],[Sell_Quantity]]</f>
        <v>82166.319999999992</v>
      </c>
      <c r="AC233" s="5">
        <f>SUMIFS(Table1[quantity],Table1[order_id],Table15[[#This Row],[order_id]],Table1[side],"BUY")</f>
        <v>0</v>
      </c>
      <c r="AE233" s="10" t="s">
        <v>840</v>
      </c>
      <c r="AF233" s="10" t="str">
        <f>IF(Table1[[#This Row],[Sell-Buy]]&gt;0,"Profit","Loss")</f>
        <v>Loss</v>
      </c>
      <c r="AG233">
        <f>Table1[[#This Row],[Column2]]-Table1[[#This Row],[Buy-sell]]</f>
        <v>0</v>
      </c>
    </row>
    <row r="234" spans="1:33" x14ac:dyDescent="0.3">
      <c r="A234" t="s">
        <v>1092</v>
      </c>
      <c r="B234" t="s">
        <v>588</v>
      </c>
      <c r="C234" s="1">
        <v>45699.020833333336</v>
      </c>
      <c r="D234" t="s">
        <v>18</v>
      </c>
      <c r="E234" t="s">
        <v>171</v>
      </c>
      <c r="F234">
        <v>964</v>
      </c>
      <c r="G234">
        <v>617.91</v>
      </c>
      <c r="H234">
        <v>297.83</v>
      </c>
      <c r="I234" t="s">
        <v>144</v>
      </c>
      <c r="J234" t="s">
        <v>73</v>
      </c>
      <c r="L234" s="1">
        <v>45772</v>
      </c>
      <c r="N234">
        <f>IF(Table1[[#This Row],[side]]="BUY", Table1[[#This Row],[quantity]],-Table1[[#This Row],[quantity]])</f>
        <v>-964</v>
      </c>
      <c r="O234" t="s">
        <v>171</v>
      </c>
      <c r="P234">
        <f>IF(Table1[[#This Row],[side]]="Sell",Table1[[#This Row],[price]],"0")</f>
        <v>617.91</v>
      </c>
      <c r="Q234">
        <f>SUMIFS(Table1[quantity],Table1[company_id],Table8[[#This Row],[COMPANY_ID]],Table1[side],"BUY")-SUMIFS(Table1[quantity],Table1[company_id],Table8[[#This Row],[COMPANY_ID]],Table1[side],"SELL")</f>
        <v>0</v>
      </c>
      <c r="R234">
        <f>Table1[[#This Row],[Column2]]-Table1[[#This Row],[Buy-sell]]</f>
        <v>617.91</v>
      </c>
      <c r="S234" t="str">
        <f>IF(Table1[[#This Row],[Sell-Buy]]&gt;0,"Profit","Loss")</f>
        <v>Profit</v>
      </c>
      <c r="T234" s="5" t="s">
        <v>526</v>
      </c>
      <c r="U234" s="8">
        <f>SUMIFS(Table1[price],Table1[order_id],Table15[[#This Row],[order_id]],Table1[side],"BUY")*Table15[[#This Row],[Buy_Quantity]]</f>
        <v>2907027.98</v>
      </c>
      <c r="V234" s="8">
        <f>SUMIFS(Table1[price],Table1[order_id],Table15[[#This Row],[order_id]],Table1[side],"SELL")</f>
        <v>0</v>
      </c>
      <c r="W234" s="8">
        <f>Table15[[#This Row],[sell]]-Table15[[#This Row],[Buy]]</f>
        <v>-3273313505.48</v>
      </c>
      <c r="X234" s="8">
        <f>IF(Table15[[#This Row],[Profit]]&gt;0,1,0)</f>
        <v>0</v>
      </c>
      <c r="Y234" s="5" t="str">
        <f>IF(Table15[[#This Row],[is Profit]]=1,"Profit","Loss")</f>
        <v>Loss</v>
      </c>
      <c r="Z234" s="5">
        <f>SUMIFS(Table1[quantity],Table1[order_id],Table15[[#This Row],[order_id]],Table1[side],"SELL")</f>
        <v>0</v>
      </c>
      <c r="AA234" s="5">
        <f>Table15[[#This Row],[Buy_value]]*Table15[[#This Row],[Buy_Quantity]]</f>
        <v>3273313505.48</v>
      </c>
      <c r="AB234" s="5">
        <f>Table15[[#This Row],[Sell_Value]]*Table15[[#This Row],[Sell_Quantity]]</f>
        <v>0</v>
      </c>
      <c r="AC234" s="5">
        <f>SUMIFS(Table1[quantity],Table1[order_id],Table15[[#This Row],[order_id]],Table1[side],"BUY")</f>
        <v>1126</v>
      </c>
      <c r="AE234" s="9" t="s">
        <v>1116</v>
      </c>
      <c r="AF234" s="10" t="str">
        <f>IF(Table1[[#This Row],[Sell-Buy]]&gt;0,"Profit","Loss")</f>
        <v>Profit</v>
      </c>
      <c r="AG234">
        <f>Table1[[#This Row],[Column2]]-Table1[[#This Row],[Buy-sell]]</f>
        <v>617.91</v>
      </c>
    </row>
    <row r="235" spans="1:33" x14ac:dyDescent="0.3">
      <c r="A235" t="s">
        <v>1106</v>
      </c>
      <c r="B235" t="s">
        <v>491</v>
      </c>
      <c r="C235" s="1">
        <v>45789.013194444444</v>
      </c>
      <c r="D235" t="s">
        <v>18</v>
      </c>
      <c r="E235" t="s">
        <v>166</v>
      </c>
      <c r="F235">
        <v>443</v>
      </c>
      <c r="G235">
        <v>646.51</v>
      </c>
      <c r="H235">
        <v>143.19999999999999</v>
      </c>
      <c r="I235" t="s">
        <v>130</v>
      </c>
      <c r="J235" t="s">
        <v>64</v>
      </c>
      <c r="L235" s="1">
        <v>45734</v>
      </c>
      <c r="M235" t="s">
        <v>166</v>
      </c>
      <c r="N235">
        <f>IF(Table1[[#This Row],[side]]="BUY", Table1[[#This Row],[quantity]],-Table1[[#This Row],[quantity]])</f>
        <v>443</v>
      </c>
      <c r="P235" t="str">
        <f>IF(Table1[[#This Row],[side]]="Sell",Table1[[#This Row],[price]],"0")</f>
        <v>0</v>
      </c>
      <c r="Q235">
        <f>SUMIFS(Table1[quantity],Table1[company_id],Table8[[#This Row],[COMPANY_ID]],Table1[side],"BUY")-SUMIFS(Table1[quantity],Table1[company_id],Table8[[#This Row],[COMPANY_ID]],Table1[side],"SELL")</f>
        <v>0</v>
      </c>
      <c r="R235">
        <f>Table1[[#This Row],[Column2]]-Table1[[#This Row],[Buy-sell]]</f>
        <v>0</v>
      </c>
      <c r="S235" t="str">
        <f>IF(Table1[[#This Row],[Sell-Buy]]&gt;0,"Profit","Loss")</f>
        <v>Loss</v>
      </c>
      <c r="T235" s="4" t="s">
        <v>528</v>
      </c>
      <c r="U235" s="8">
        <f>SUMIFS(Table1[price],Table1[order_id],Table15[[#This Row],[order_id]],Table1[side],"BUY")*Table15[[#This Row],[Buy_Quantity]]</f>
        <v>557522</v>
      </c>
      <c r="V235" s="8">
        <f>SUMIFS(Table1[price],Table1[order_id],Table15[[#This Row],[order_id]],Table1[side],"SELL")</f>
        <v>582.94000000000005</v>
      </c>
      <c r="W235" s="8">
        <f>Table15[[#This Row],[sell]]-Table15[[#This Row],[Buy]]</f>
        <v>-155568689.31999999</v>
      </c>
      <c r="X235" s="8">
        <f>IF(Table15[[#This Row],[Profit]]&gt;0,1,0)</f>
        <v>0</v>
      </c>
      <c r="Y235" s="5" t="str">
        <f>IF(Table15[[#This Row],[is Profit]]=1,"Profit","Loss")</f>
        <v>Loss</v>
      </c>
      <c r="Z235" s="5">
        <f>SUMIFS(Table1[quantity],Table1[order_id],Table15[[#This Row],[order_id]],Table1[side],"SELL")</f>
        <v>922</v>
      </c>
      <c r="AA235" s="5">
        <f>Table15[[#This Row],[Buy_value]]*Table15[[#This Row],[Buy_Quantity]]</f>
        <v>156106160</v>
      </c>
      <c r="AB235" s="5">
        <f>Table15[[#This Row],[Sell_Value]]*Table15[[#This Row],[Sell_Quantity]]</f>
        <v>537470.68000000005</v>
      </c>
      <c r="AC235" s="5">
        <f>SUMIFS(Table1[quantity],Table1[order_id],Table15[[#This Row],[order_id]],Table1[side],"BUY")</f>
        <v>280</v>
      </c>
      <c r="AE235" s="10" t="s">
        <v>947</v>
      </c>
      <c r="AF235" s="10" t="str">
        <f>IF(Table1[[#This Row],[Sell-Buy]]&gt;0,"Profit","Loss")</f>
        <v>Loss</v>
      </c>
      <c r="AG235">
        <f>Table1[[#This Row],[Column2]]-Table1[[#This Row],[Buy-sell]]</f>
        <v>0</v>
      </c>
    </row>
    <row r="236" spans="1:33" x14ac:dyDescent="0.3">
      <c r="A236" t="s">
        <v>1107</v>
      </c>
      <c r="B236" t="s">
        <v>420</v>
      </c>
      <c r="C236" s="1">
        <v>45677.024305555555</v>
      </c>
      <c r="D236" t="s">
        <v>18</v>
      </c>
      <c r="E236" t="s">
        <v>171</v>
      </c>
      <c r="F236">
        <v>230</v>
      </c>
      <c r="G236">
        <v>600.99</v>
      </c>
      <c r="H236">
        <v>69.11</v>
      </c>
      <c r="I236" t="s">
        <v>108</v>
      </c>
      <c r="J236" t="s">
        <v>55</v>
      </c>
      <c r="L236" s="1">
        <v>45838</v>
      </c>
      <c r="N236">
        <f>IF(Table1[[#This Row],[side]]="BUY", Table1[[#This Row],[quantity]],-Table1[[#This Row],[quantity]])</f>
        <v>-230</v>
      </c>
      <c r="O236" t="s">
        <v>171</v>
      </c>
      <c r="P236">
        <f>IF(Table1[[#This Row],[side]]="Sell",Table1[[#This Row],[price]],"0")</f>
        <v>600.99</v>
      </c>
      <c r="Q236">
        <f>SUMIFS(Table1[quantity],Table1[company_id],Table8[[#This Row],[COMPANY_ID]],Table1[side],"BUY")-SUMIFS(Table1[quantity],Table1[company_id],Table8[[#This Row],[COMPANY_ID]],Table1[side],"SELL")</f>
        <v>0</v>
      </c>
      <c r="R236">
        <f>Table1[[#This Row],[Column2]]-Table1[[#This Row],[Buy-sell]]</f>
        <v>600.99</v>
      </c>
      <c r="S236" t="str">
        <f>IF(Table1[[#This Row],[Sell-Buy]]&gt;0,"Profit","Loss")</f>
        <v>Profit</v>
      </c>
      <c r="T236" s="5" t="s">
        <v>531</v>
      </c>
      <c r="U236" s="8">
        <f>SUMIFS(Table1[price],Table1[order_id],Table15[[#This Row],[order_id]],Table1[side],"BUY")*Table15[[#This Row],[Buy_Quantity]]</f>
        <v>182306.40000000002</v>
      </c>
      <c r="V236" s="8">
        <f>SUMIFS(Table1[price],Table1[order_id],Table15[[#This Row],[order_id]],Table1[side],"SELL")</f>
        <v>0</v>
      </c>
      <c r="W236" s="8">
        <f>Table15[[#This Row],[sell]]-Table15[[#This Row],[Buy]]</f>
        <v>-134906736.00000003</v>
      </c>
      <c r="X236" s="8">
        <f>IF(Table15[[#This Row],[Profit]]&gt;0,1,0)</f>
        <v>0</v>
      </c>
      <c r="Y236" s="5" t="str">
        <f>IF(Table15[[#This Row],[is Profit]]=1,"Profit","Loss")</f>
        <v>Loss</v>
      </c>
      <c r="Z236" s="5">
        <f>SUMIFS(Table1[quantity],Table1[order_id],Table15[[#This Row],[order_id]],Table1[side],"SELL")</f>
        <v>0</v>
      </c>
      <c r="AA236" s="5">
        <f>Table15[[#This Row],[Buy_value]]*Table15[[#This Row],[Buy_Quantity]]</f>
        <v>134906736.00000003</v>
      </c>
      <c r="AB236" s="5">
        <f>Table15[[#This Row],[Sell_Value]]*Table15[[#This Row],[Sell_Quantity]]</f>
        <v>0</v>
      </c>
      <c r="AC236" s="5">
        <f>SUMIFS(Table1[quantity],Table1[order_id],Table15[[#This Row],[order_id]],Table1[side],"BUY")</f>
        <v>740</v>
      </c>
      <c r="AE236" s="9" t="s">
        <v>680</v>
      </c>
      <c r="AF236" s="10" t="str">
        <f>IF(Table1[[#This Row],[Sell-Buy]]&gt;0,"Profit","Loss")</f>
        <v>Profit</v>
      </c>
      <c r="AG236">
        <f>Table1[[#This Row],[Column2]]-Table1[[#This Row],[Buy-sell]]</f>
        <v>600.99</v>
      </c>
    </row>
    <row r="237" spans="1:33" x14ac:dyDescent="0.3">
      <c r="A237" t="s">
        <v>1121</v>
      </c>
      <c r="B237" t="s">
        <v>272</v>
      </c>
      <c r="C237" s="1">
        <v>45758.003472222219</v>
      </c>
      <c r="D237" t="s">
        <v>18</v>
      </c>
      <c r="E237" t="s">
        <v>171</v>
      </c>
      <c r="F237">
        <v>878</v>
      </c>
      <c r="G237">
        <v>625.25</v>
      </c>
      <c r="H237">
        <v>274.48</v>
      </c>
      <c r="I237" t="s">
        <v>88</v>
      </c>
      <c r="J237" t="s">
        <v>55</v>
      </c>
      <c r="L237" s="1">
        <v>45702</v>
      </c>
      <c r="N237">
        <f>IF(Table1[[#This Row],[side]]="BUY", Table1[[#This Row],[quantity]],-Table1[[#This Row],[quantity]])</f>
        <v>-878</v>
      </c>
      <c r="O237" t="s">
        <v>171</v>
      </c>
      <c r="P237">
        <f>IF(Table1[[#This Row],[side]]="Sell",Table1[[#This Row],[price]],"0")</f>
        <v>625.25</v>
      </c>
      <c r="Q237">
        <f>SUMIFS(Table1[quantity],Table1[company_id],Table8[[#This Row],[COMPANY_ID]],Table1[side],"BUY")-SUMIFS(Table1[quantity],Table1[company_id],Table8[[#This Row],[COMPANY_ID]],Table1[side],"SELL")</f>
        <v>0</v>
      </c>
      <c r="R237">
        <f>Table1[[#This Row],[Column2]]-Table1[[#This Row],[Buy-sell]]</f>
        <v>625.25</v>
      </c>
      <c r="S237" t="str">
        <f>IF(Table1[[#This Row],[Sell-Buy]]&gt;0,"Profit","Loss")</f>
        <v>Profit</v>
      </c>
      <c r="T237" s="4" t="s">
        <v>532</v>
      </c>
      <c r="U237" s="8">
        <f>SUMIFS(Table1[price],Table1[order_id],Table15[[#This Row],[order_id]],Table1[side],"BUY")*Table15[[#This Row],[Buy_Quantity]]</f>
        <v>0</v>
      </c>
      <c r="V237" s="8">
        <f>SUMIFS(Table1[price],Table1[order_id],Table15[[#This Row],[order_id]],Table1[side],"SELL")</f>
        <v>756.52</v>
      </c>
      <c r="W237" s="8">
        <f>Table15[[#This Row],[sell]]-Table15[[#This Row],[Buy]]</f>
        <v>652876.76</v>
      </c>
      <c r="X237" s="8">
        <f>IF(Table15[[#This Row],[Profit]]&gt;0,1,0)</f>
        <v>1</v>
      </c>
      <c r="Y237" s="5" t="str">
        <f>IF(Table15[[#This Row],[is Profit]]=1,"Profit","Loss")</f>
        <v>Profit</v>
      </c>
      <c r="Z237" s="5">
        <f>SUMIFS(Table1[quantity],Table1[order_id],Table15[[#This Row],[order_id]],Table1[side],"SELL")</f>
        <v>863</v>
      </c>
      <c r="AA237" s="5">
        <f>Table15[[#This Row],[Buy_value]]*Table15[[#This Row],[Buy_Quantity]]</f>
        <v>0</v>
      </c>
      <c r="AB237" s="5">
        <f>Table15[[#This Row],[Sell_Value]]*Table15[[#This Row],[Sell_Quantity]]</f>
        <v>652876.76</v>
      </c>
      <c r="AC237" s="5">
        <f>SUMIFS(Table1[quantity],Table1[order_id],Table15[[#This Row],[order_id]],Table1[side],"BUY")</f>
        <v>0</v>
      </c>
      <c r="AE237" s="10" t="s">
        <v>899</v>
      </c>
      <c r="AF237" s="10" t="str">
        <f>IF(Table1[[#This Row],[Sell-Buy]]&gt;0,"Profit","Loss")</f>
        <v>Profit</v>
      </c>
      <c r="AG237">
        <f>Table1[[#This Row],[Column2]]-Table1[[#This Row],[Buy-sell]]</f>
        <v>625.25</v>
      </c>
    </row>
    <row r="238" spans="1:33" x14ac:dyDescent="0.3">
      <c r="A238" t="s">
        <v>1149</v>
      </c>
      <c r="B238" t="s">
        <v>505</v>
      </c>
      <c r="C238" s="1">
        <v>45820.022222222222</v>
      </c>
      <c r="D238" t="s">
        <v>18</v>
      </c>
      <c r="E238" t="s">
        <v>171</v>
      </c>
      <c r="F238">
        <v>564</v>
      </c>
      <c r="G238">
        <v>684.35</v>
      </c>
      <c r="H238">
        <v>192.99</v>
      </c>
      <c r="I238" t="s">
        <v>118</v>
      </c>
      <c r="J238" t="s">
        <v>55</v>
      </c>
      <c r="L238" s="1">
        <v>45791</v>
      </c>
      <c r="N238">
        <f>IF(Table1[[#This Row],[side]]="BUY", Table1[[#This Row],[quantity]],-Table1[[#This Row],[quantity]])</f>
        <v>-564</v>
      </c>
      <c r="O238" t="s">
        <v>171</v>
      </c>
      <c r="P238">
        <f>IF(Table1[[#This Row],[side]]="Sell",Table1[[#This Row],[price]],"0")</f>
        <v>684.35</v>
      </c>
      <c r="Q238">
        <f>SUMIFS(Table1[quantity],Table1[company_id],Table8[[#This Row],[COMPANY_ID]],Table1[side],"BUY")-SUMIFS(Table1[quantity],Table1[company_id],Table8[[#This Row],[COMPANY_ID]],Table1[side],"SELL")</f>
        <v>0</v>
      </c>
      <c r="R238">
        <f>Table1[[#This Row],[Column2]]-Table1[[#This Row],[Buy-sell]]</f>
        <v>684.35</v>
      </c>
      <c r="S238" t="str">
        <f>IF(Table1[[#This Row],[Sell-Buy]]&gt;0,"Profit","Loss")</f>
        <v>Profit</v>
      </c>
      <c r="T238" s="4" t="s">
        <v>533</v>
      </c>
      <c r="U238" s="8">
        <f>SUMIFS(Table1[price],Table1[order_id],Table15[[#This Row],[order_id]],Table1[side],"BUY")*Table15[[#This Row],[Buy_Quantity]]</f>
        <v>352938.23999999999</v>
      </c>
      <c r="V238" s="8">
        <f>SUMIFS(Table1[price],Table1[order_id],Table15[[#This Row],[order_id]],Table1[side],"SELL")</f>
        <v>439.81</v>
      </c>
      <c r="W238" s="8">
        <f>Table15[[#This Row],[sell]]-Table15[[#This Row],[Buy]]</f>
        <v>-202754978.42000002</v>
      </c>
      <c r="X238" s="8">
        <f>IF(Table15[[#This Row],[Profit]]&gt;0,1,0)</f>
        <v>0</v>
      </c>
      <c r="Y238" s="5" t="str">
        <f>IF(Table15[[#This Row],[is Profit]]=1,"Profit","Loss")</f>
        <v>Loss</v>
      </c>
      <c r="Z238" s="5">
        <f>SUMIFS(Table1[quantity],Table1[order_id],Table15[[#This Row],[order_id]],Table1[side],"SELL")</f>
        <v>1222</v>
      </c>
      <c r="AA238" s="5">
        <f>Table15[[#This Row],[Buy_value]]*Table15[[#This Row],[Buy_Quantity]]</f>
        <v>203292426.24000001</v>
      </c>
      <c r="AB238" s="5">
        <f>Table15[[#This Row],[Sell_Value]]*Table15[[#This Row],[Sell_Quantity]]</f>
        <v>537447.81999999995</v>
      </c>
      <c r="AC238" s="5">
        <f>SUMIFS(Table1[quantity],Table1[order_id],Table15[[#This Row],[order_id]],Table1[side],"BUY")</f>
        <v>576</v>
      </c>
      <c r="AE238" s="9" t="s">
        <v>923</v>
      </c>
      <c r="AF238" s="10" t="str">
        <f>IF(Table1[[#This Row],[Sell-Buy]]&gt;0,"Profit","Loss")</f>
        <v>Profit</v>
      </c>
      <c r="AG238">
        <f>Table1[[#This Row],[Column2]]-Table1[[#This Row],[Buy-sell]]</f>
        <v>684.35</v>
      </c>
    </row>
    <row r="239" spans="1:33" x14ac:dyDescent="0.3">
      <c r="A239" t="s">
        <v>1150</v>
      </c>
      <c r="B239" t="s">
        <v>569</v>
      </c>
      <c r="C239" s="1">
        <v>45769.033333333333</v>
      </c>
      <c r="D239" t="s">
        <v>18</v>
      </c>
      <c r="E239" t="s">
        <v>171</v>
      </c>
      <c r="F239">
        <v>345</v>
      </c>
      <c r="G239">
        <v>644.21</v>
      </c>
      <c r="H239">
        <v>111.13</v>
      </c>
      <c r="I239" t="s">
        <v>104</v>
      </c>
      <c r="J239" t="s">
        <v>76</v>
      </c>
      <c r="L239" s="1">
        <v>45674</v>
      </c>
      <c r="N239">
        <f>IF(Table1[[#This Row],[side]]="BUY", Table1[[#This Row],[quantity]],-Table1[[#This Row],[quantity]])</f>
        <v>-345</v>
      </c>
      <c r="O239" t="s">
        <v>171</v>
      </c>
      <c r="P239">
        <f>IF(Table1[[#This Row],[side]]="Sell",Table1[[#This Row],[price]],"0")</f>
        <v>644.21</v>
      </c>
      <c r="Q239">
        <f>SUMIFS(Table1[quantity],Table1[company_id],Table8[[#This Row],[COMPANY_ID]],Table1[side],"BUY")-SUMIFS(Table1[quantity],Table1[company_id],Table8[[#This Row],[COMPANY_ID]],Table1[side],"SELL")</f>
        <v>0</v>
      </c>
      <c r="R239">
        <f>Table1[[#This Row],[Column2]]-Table1[[#This Row],[Buy-sell]]</f>
        <v>644.21</v>
      </c>
      <c r="S239" t="str">
        <f>IF(Table1[[#This Row],[Sell-Buy]]&gt;0,"Profit","Loss")</f>
        <v>Profit</v>
      </c>
      <c r="T239" s="5" t="s">
        <v>534</v>
      </c>
      <c r="U239" s="8">
        <f>SUMIFS(Table1[price],Table1[order_id],Table15[[#This Row],[order_id]],Table1[side],"BUY")*Table15[[#This Row],[Buy_Quantity]]</f>
        <v>0</v>
      </c>
      <c r="V239" s="8">
        <f>SUMIFS(Table1[price],Table1[order_id],Table15[[#This Row],[order_id]],Table1[side],"SELL")</f>
        <v>1435.97</v>
      </c>
      <c r="W239" s="8">
        <f>Table15[[#This Row],[sell]]-Table15[[#This Row],[Buy]]</f>
        <v>387711.9</v>
      </c>
      <c r="X239" s="8">
        <f>IF(Table15[[#This Row],[Profit]]&gt;0,1,0)</f>
        <v>1</v>
      </c>
      <c r="Y239" s="5" t="str">
        <f>IF(Table15[[#This Row],[is Profit]]=1,"Profit","Loss")</f>
        <v>Profit</v>
      </c>
      <c r="Z239" s="5">
        <f>SUMIFS(Table1[quantity],Table1[order_id],Table15[[#This Row],[order_id]],Table1[side],"SELL")</f>
        <v>270</v>
      </c>
      <c r="AA239" s="5">
        <f>Table15[[#This Row],[Buy_value]]*Table15[[#This Row],[Buy_Quantity]]</f>
        <v>0</v>
      </c>
      <c r="AB239" s="5">
        <f>Table15[[#This Row],[Sell_Value]]*Table15[[#This Row],[Sell_Quantity]]</f>
        <v>387711.9</v>
      </c>
      <c r="AC239" s="5">
        <f>SUMIFS(Table1[quantity],Table1[order_id],Table15[[#This Row],[order_id]],Table1[side],"BUY")</f>
        <v>0</v>
      </c>
      <c r="AE239" s="10" t="s">
        <v>1107</v>
      </c>
      <c r="AF239" s="10" t="str">
        <f>IF(Table1[[#This Row],[Sell-Buy]]&gt;0,"Profit","Loss")</f>
        <v>Profit</v>
      </c>
      <c r="AG239">
        <f>Table1[[#This Row],[Column2]]-Table1[[#This Row],[Buy-sell]]</f>
        <v>644.21</v>
      </c>
    </row>
    <row r="240" spans="1:33" x14ac:dyDescent="0.3">
      <c r="A240" t="s">
        <v>1153</v>
      </c>
      <c r="B240" t="s">
        <v>650</v>
      </c>
      <c r="C240" s="1">
        <v>45684.006249999999</v>
      </c>
      <c r="D240" t="s">
        <v>18</v>
      </c>
      <c r="E240" t="s">
        <v>166</v>
      </c>
      <c r="F240">
        <v>16</v>
      </c>
      <c r="G240">
        <v>601.22</v>
      </c>
      <c r="H240">
        <v>4.8099999999999996</v>
      </c>
      <c r="I240" t="s">
        <v>88</v>
      </c>
      <c r="J240" t="s">
        <v>58</v>
      </c>
      <c r="L240" s="1">
        <v>45692</v>
      </c>
      <c r="M240" t="s">
        <v>166</v>
      </c>
      <c r="N240">
        <f>IF(Table1[[#This Row],[side]]="BUY", Table1[[#This Row],[quantity]],-Table1[[#This Row],[quantity]])</f>
        <v>16</v>
      </c>
      <c r="P240" t="str">
        <f>IF(Table1[[#This Row],[side]]="Sell",Table1[[#This Row],[price]],"0")</f>
        <v>0</v>
      </c>
      <c r="Q240">
        <f>SUMIFS(Table1[quantity],Table1[company_id],Table8[[#This Row],[COMPANY_ID]],Table1[side],"BUY")-SUMIFS(Table1[quantity],Table1[company_id],Table8[[#This Row],[COMPANY_ID]],Table1[side],"SELL")</f>
        <v>0</v>
      </c>
      <c r="R240">
        <f>Table1[[#This Row],[Column2]]-Table1[[#This Row],[Buy-sell]]</f>
        <v>0</v>
      </c>
      <c r="S240" t="str">
        <f>IF(Table1[[#This Row],[Sell-Buy]]&gt;0,"Profit","Loss")</f>
        <v>Loss</v>
      </c>
      <c r="T240" s="4" t="s">
        <v>537</v>
      </c>
      <c r="U240" s="8">
        <f>SUMIFS(Table1[price],Table1[order_id],Table15[[#This Row],[order_id]],Table1[side],"BUY")*Table15[[#This Row],[Buy_Quantity]]</f>
        <v>41509.519999999997</v>
      </c>
      <c r="V240" s="8">
        <f>SUMIFS(Table1[price],Table1[order_id],Table15[[#This Row],[order_id]],Table1[side],"SELL")</f>
        <v>0</v>
      </c>
      <c r="W240" s="8">
        <f>Table15[[#This Row],[sell]]-Table15[[#This Row],[Buy]]</f>
        <v>-2158495.04</v>
      </c>
      <c r="X240" s="8">
        <f>IF(Table15[[#This Row],[Profit]]&gt;0,1,0)</f>
        <v>0</v>
      </c>
      <c r="Y240" s="5" t="str">
        <f>IF(Table15[[#This Row],[is Profit]]=1,"Profit","Loss")</f>
        <v>Loss</v>
      </c>
      <c r="Z240" s="5">
        <f>SUMIFS(Table1[quantity],Table1[order_id],Table15[[#This Row],[order_id]],Table1[side],"SELL")</f>
        <v>0</v>
      </c>
      <c r="AA240" s="5">
        <f>Table15[[#This Row],[Buy_value]]*Table15[[#This Row],[Buy_Quantity]]</f>
        <v>2158495.04</v>
      </c>
      <c r="AB240" s="5">
        <f>Table15[[#This Row],[Sell_Value]]*Table15[[#This Row],[Sell_Quantity]]</f>
        <v>0</v>
      </c>
      <c r="AC240" s="5">
        <f>SUMIFS(Table1[quantity],Table1[order_id],Table15[[#This Row],[order_id]],Table1[side],"BUY")</f>
        <v>52</v>
      </c>
      <c r="AE240" s="9" t="s">
        <v>1110</v>
      </c>
      <c r="AF240" s="10" t="str">
        <f>IF(Table1[[#This Row],[Sell-Buy]]&gt;0,"Profit","Loss")</f>
        <v>Loss</v>
      </c>
      <c r="AG240">
        <f>Table1[[#This Row],[Column2]]-Table1[[#This Row],[Buy-sell]]</f>
        <v>0</v>
      </c>
    </row>
    <row r="241" spans="1:33" x14ac:dyDescent="0.3">
      <c r="A241" t="s">
        <v>1154</v>
      </c>
      <c r="B241" t="s">
        <v>325</v>
      </c>
      <c r="C241" s="1">
        <v>45700.007638888892</v>
      </c>
      <c r="D241" t="s">
        <v>18</v>
      </c>
      <c r="E241" t="s">
        <v>171</v>
      </c>
      <c r="F241">
        <v>810</v>
      </c>
      <c r="G241">
        <v>617.54999999999995</v>
      </c>
      <c r="H241">
        <v>250.11</v>
      </c>
      <c r="I241" t="s">
        <v>130</v>
      </c>
      <c r="J241" t="s">
        <v>58</v>
      </c>
      <c r="L241" s="1">
        <v>45685</v>
      </c>
      <c r="N241">
        <f>IF(Table1[[#This Row],[side]]="BUY", Table1[[#This Row],[quantity]],-Table1[[#This Row],[quantity]])</f>
        <v>-810</v>
      </c>
      <c r="O241" t="s">
        <v>171</v>
      </c>
      <c r="P241">
        <f>IF(Table1[[#This Row],[side]]="Sell",Table1[[#This Row],[price]],"0")</f>
        <v>617.54999999999995</v>
      </c>
      <c r="Q241">
        <f>SUMIFS(Table1[quantity],Table1[company_id],Table8[[#This Row],[COMPANY_ID]],Table1[side],"BUY")-SUMIFS(Table1[quantity],Table1[company_id],Table8[[#This Row],[COMPANY_ID]],Table1[side],"SELL")</f>
        <v>0</v>
      </c>
      <c r="R241">
        <f>Table1[[#This Row],[Column2]]-Table1[[#This Row],[Buy-sell]]</f>
        <v>617.54999999999995</v>
      </c>
      <c r="S241" t="str">
        <f>IF(Table1[[#This Row],[Sell-Buy]]&gt;0,"Profit","Loss")</f>
        <v>Profit</v>
      </c>
      <c r="T241" s="5" t="s">
        <v>539</v>
      </c>
      <c r="U241" s="8">
        <f>SUMIFS(Table1[price],Table1[order_id],Table15[[#This Row],[order_id]],Table1[side],"BUY")*Table15[[#This Row],[Buy_Quantity]]</f>
        <v>0</v>
      </c>
      <c r="V241" s="8">
        <f>SUMIFS(Table1[price],Table1[order_id],Table15[[#This Row],[order_id]],Table1[side],"SELL")</f>
        <v>2448.2400000000002</v>
      </c>
      <c r="W241" s="8">
        <f>Table15[[#This Row],[sell]]-Table15[[#This Row],[Buy]]</f>
        <v>2360103.3600000003</v>
      </c>
      <c r="X241" s="8">
        <f>IF(Table15[[#This Row],[Profit]]&gt;0,1,0)</f>
        <v>1</v>
      </c>
      <c r="Y241" s="5" t="str">
        <f>IF(Table15[[#This Row],[is Profit]]=1,"Profit","Loss")</f>
        <v>Profit</v>
      </c>
      <c r="Z241" s="5">
        <f>SUMIFS(Table1[quantity],Table1[order_id],Table15[[#This Row],[order_id]],Table1[side],"SELL")</f>
        <v>964</v>
      </c>
      <c r="AA241" s="5">
        <f>Table15[[#This Row],[Buy_value]]*Table15[[#This Row],[Buy_Quantity]]</f>
        <v>0</v>
      </c>
      <c r="AB241" s="5">
        <f>Table15[[#This Row],[Sell_Value]]*Table15[[#This Row],[Sell_Quantity]]</f>
        <v>2360103.3600000003</v>
      </c>
      <c r="AC241" s="5">
        <f>SUMIFS(Table1[quantity],Table1[order_id],Table15[[#This Row],[order_id]],Table1[side],"BUY")</f>
        <v>0</v>
      </c>
      <c r="AE241" s="10" t="s">
        <v>984</v>
      </c>
      <c r="AF241" s="10" t="str">
        <f>IF(Table1[[#This Row],[Sell-Buy]]&gt;0,"Profit","Loss")</f>
        <v>Profit</v>
      </c>
      <c r="AG241">
        <f>Table1[[#This Row],[Column2]]-Table1[[#This Row],[Buy-sell]]</f>
        <v>617.54999999999995</v>
      </c>
    </row>
    <row r="242" spans="1:33" x14ac:dyDescent="0.3">
      <c r="A242" t="s">
        <v>1165</v>
      </c>
      <c r="B242" t="s">
        <v>403</v>
      </c>
      <c r="C242" s="1">
        <v>45719.013888888891</v>
      </c>
      <c r="D242" t="s">
        <v>18</v>
      </c>
      <c r="E242" t="s">
        <v>166</v>
      </c>
      <c r="F242">
        <v>153</v>
      </c>
      <c r="G242">
        <v>668.65</v>
      </c>
      <c r="H242">
        <v>51.15</v>
      </c>
      <c r="I242" t="s">
        <v>150</v>
      </c>
      <c r="J242" t="s">
        <v>58</v>
      </c>
      <c r="L242" s="1">
        <v>45817</v>
      </c>
      <c r="M242" t="s">
        <v>166</v>
      </c>
      <c r="N242">
        <f>IF(Table1[[#This Row],[side]]="BUY", Table1[[#This Row],[quantity]],-Table1[[#This Row],[quantity]])</f>
        <v>153</v>
      </c>
      <c r="P242" t="str">
        <f>IF(Table1[[#This Row],[side]]="Sell",Table1[[#This Row],[price]],"0")</f>
        <v>0</v>
      </c>
      <c r="Q242">
        <f>SUMIFS(Table1[quantity],Table1[company_id],Table8[[#This Row],[COMPANY_ID]],Table1[side],"BUY")-SUMIFS(Table1[quantity],Table1[company_id],Table8[[#This Row],[COMPANY_ID]],Table1[side],"SELL")</f>
        <v>0</v>
      </c>
      <c r="R242">
        <f>Table1[[#This Row],[Column2]]-Table1[[#This Row],[Buy-sell]]</f>
        <v>0</v>
      </c>
      <c r="S242" t="str">
        <f>IF(Table1[[#This Row],[Sell-Buy]]&gt;0,"Profit","Loss")</f>
        <v>Loss</v>
      </c>
      <c r="T242" s="5" t="s">
        <v>541</v>
      </c>
      <c r="U242" s="8">
        <f>SUMIFS(Table1[price],Table1[order_id],Table15[[#This Row],[order_id]],Table1[side],"BUY")*Table15[[#This Row],[Buy_Quantity]]</f>
        <v>85699.900000000009</v>
      </c>
      <c r="V242" s="8">
        <f>SUMIFS(Table1[price],Table1[order_id],Table15[[#This Row],[order_id]],Table1[side],"SELL")</f>
        <v>0</v>
      </c>
      <c r="W242" s="8">
        <f>Table15[[#This Row],[sell]]-Table15[[#This Row],[Buy]]</f>
        <v>-28966566.200000003</v>
      </c>
      <c r="X242" s="8">
        <f>IF(Table15[[#This Row],[Profit]]&gt;0,1,0)</f>
        <v>0</v>
      </c>
      <c r="Y242" s="5" t="str">
        <f>IF(Table15[[#This Row],[is Profit]]=1,"Profit","Loss")</f>
        <v>Loss</v>
      </c>
      <c r="Z242" s="5">
        <f>SUMIFS(Table1[quantity],Table1[order_id],Table15[[#This Row],[order_id]],Table1[side],"SELL")</f>
        <v>0</v>
      </c>
      <c r="AA242" s="5">
        <f>Table15[[#This Row],[Buy_value]]*Table15[[#This Row],[Buy_Quantity]]</f>
        <v>28966566.200000003</v>
      </c>
      <c r="AB242" s="5">
        <f>Table15[[#This Row],[Sell_Value]]*Table15[[#This Row],[Sell_Quantity]]</f>
        <v>0</v>
      </c>
      <c r="AC242" s="5">
        <f>SUMIFS(Table1[quantity],Table1[order_id],Table15[[#This Row],[order_id]],Table1[side],"BUY")</f>
        <v>338</v>
      </c>
      <c r="AE242" s="9" t="s">
        <v>742</v>
      </c>
      <c r="AF242" s="10" t="str">
        <f>IF(Table1[[#This Row],[Sell-Buy]]&gt;0,"Profit","Loss")</f>
        <v>Loss</v>
      </c>
      <c r="AG242">
        <f>Table1[[#This Row],[Column2]]-Table1[[#This Row],[Buy-sell]]</f>
        <v>0</v>
      </c>
    </row>
    <row r="243" spans="1:33" x14ac:dyDescent="0.3">
      <c r="A243" t="s">
        <v>1167</v>
      </c>
      <c r="B243" t="s">
        <v>505</v>
      </c>
      <c r="C243" s="1">
        <v>45761.023611111108</v>
      </c>
      <c r="D243" t="s">
        <v>18</v>
      </c>
      <c r="E243" t="s">
        <v>171</v>
      </c>
      <c r="F243">
        <v>562</v>
      </c>
      <c r="G243">
        <v>621.70000000000005</v>
      </c>
      <c r="H243">
        <v>174.7</v>
      </c>
      <c r="I243" t="s">
        <v>148</v>
      </c>
      <c r="J243" t="s">
        <v>70</v>
      </c>
      <c r="L243" s="1">
        <v>45769</v>
      </c>
      <c r="N243">
        <f>IF(Table1[[#This Row],[side]]="BUY", Table1[[#This Row],[quantity]],-Table1[[#This Row],[quantity]])</f>
        <v>-562</v>
      </c>
      <c r="O243" t="s">
        <v>171</v>
      </c>
      <c r="P243">
        <f>IF(Table1[[#This Row],[side]]="Sell",Table1[[#This Row],[price]],"0")</f>
        <v>621.70000000000005</v>
      </c>
      <c r="Q243">
        <f>SUMIFS(Table1[quantity],Table1[company_id],Table8[[#This Row],[COMPANY_ID]],Table1[side],"BUY")-SUMIFS(Table1[quantity],Table1[company_id],Table8[[#This Row],[COMPANY_ID]],Table1[side],"SELL")</f>
        <v>0</v>
      </c>
      <c r="R243">
        <f>Table1[[#This Row],[Column2]]-Table1[[#This Row],[Buy-sell]]</f>
        <v>621.70000000000005</v>
      </c>
      <c r="S243" t="str">
        <f>IF(Table1[[#This Row],[Sell-Buy]]&gt;0,"Profit","Loss")</f>
        <v>Profit</v>
      </c>
      <c r="T243" s="5" t="s">
        <v>542</v>
      </c>
      <c r="U243" s="8">
        <f>SUMIFS(Table1[price],Table1[order_id],Table15[[#This Row],[order_id]],Table1[side],"BUY")*Table15[[#This Row],[Buy_Quantity]]</f>
        <v>217928.08000000002</v>
      </c>
      <c r="V243" s="8">
        <f>SUMIFS(Table1[price],Table1[order_id],Table15[[#This Row],[order_id]],Table1[side],"SELL")</f>
        <v>1076.9099999999999</v>
      </c>
      <c r="W243" s="8">
        <f>Table15[[#This Row],[sell]]-Table15[[#This Row],[Buy]]</f>
        <v>-75168941.300000012</v>
      </c>
      <c r="X243" s="8">
        <f>IF(Table15[[#This Row],[Profit]]&gt;0,1,0)</f>
        <v>0</v>
      </c>
      <c r="Y243" s="5" t="str">
        <f>IF(Table15[[#This Row],[is Profit]]=1,"Profit","Loss")</f>
        <v>Loss</v>
      </c>
      <c r="Z243" s="5">
        <f>SUMIFS(Table1[quantity],Table1[order_id],Table15[[#This Row],[order_id]],Table1[side],"SELL")</f>
        <v>1634</v>
      </c>
      <c r="AA243" s="5">
        <f>Table15[[#This Row],[Buy_value]]*Table15[[#This Row],[Buy_Quantity]]</f>
        <v>76928612.24000001</v>
      </c>
      <c r="AB243" s="5">
        <f>Table15[[#This Row],[Sell_Value]]*Table15[[#This Row],[Sell_Quantity]]</f>
        <v>1759670.9399999997</v>
      </c>
      <c r="AC243" s="5">
        <f>SUMIFS(Table1[quantity],Table1[order_id],Table15[[#This Row],[order_id]],Table1[side],"BUY")</f>
        <v>353</v>
      </c>
      <c r="AE243" s="10" t="s">
        <v>1032</v>
      </c>
      <c r="AF243" s="10" t="str">
        <f>IF(Table1[[#This Row],[Sell-Buy]]&gt;0,"Profit","Loss")</f>
        <v>Profit</v>
      </c>
      <c r="AG243">
        <f>Table1[[#This Row],[Column2]]-Table1[[#This Row],[Buy-sell]]</f>
        <v>621.70000000000005</v>
      </c>
    </row>
    <row r="244" spans="1:33" x14ac:dyDescent="0.3">
      <c r="A244" t="s">
        <v>674</v>
      </c>
      <c r="B244" t="s">
        <v>212</v>
      </c>
      <c r="C244" s="1">
        <v>45713.019444444442</v>
      </c>
      <c r="D244" t="s">
        <v>22</v>
      </c>
      <c r="E244" t="s">
        <v>166</v>
      </c>
      <c r="F244">
        <v>827</v>
      </c>
      <c r="G244">
        <v>231.66</v>
      </c>
      <c r="H244">
        <v>95.79</v>
      </c>
      <c r="I244" t="s">
        <v>146</v>
      </c>
      <c r="J244" t="s">
        <v>73</v>
      </c>
      <c r="L244" s="1">
        <v>45786</v>
      </c>
      <c r="M244" t="s">
        <v>166</v>
      </c>
      <c r="N244">
        <f>IF(Table1[[#This Row],[side]]="BUY", Table1[[#This Row],[quantity]],-Table1[[#This Row],[quantity]])</f>
        <v>827</v>
      </c>
      <c r="P244" t="str">
        <f>IF(Table1[[#This Row],[side]]="Sell",Table1[[#This Row],[price]],"0")</f>
        <v>0</v>
      </c>
      <c r="Q244">
        <f>SUMIFS(Table1[quantity],Table1[company_id],Table8[[#This Row],[COMPANY_ID]],Table1[side],"BUY")-SUMIFS(Table1[quantity],Table1[company_id],Table8[[#This Row],[COMPANY_ID]],Table1[side],"SELL")</f>
        <v>0</v>
      </c>
      <c r="R244">
        <f>Table1[[#This Row],[Column2]]-Table1[[#This Row],[Buy-sell]]</f>
        <v>0</v>
      </c>
      <c r="S244" t="str">
        <f>IF(Table1[[#This Row],[Sell-Buy]]&gt;0,"Profit","Loss")</f>
        <v>Loss</v>
      </c>
      <c r="T244" s="5" t="s">
        <v>543</v>
      </c>
      <c r="U244" s="8">
        <f>SUMIFS(Table1[price],Table1[order_id],Table15[[#This Row],[order_id]],Table1[side],"BUY")*Table15[[#This Row],[Buy_Quantity]]</f>
        <v>1687734.16</v>
      </c>
      <c r="V244" s="8">
        <f>SUMIFS(Table1[price],Table1[order_id],Table15[[#This Row],[order_id]],Table1[side],"SELL")</f>
        <v>0</v>
      </c>
      <c r="W244" s="8">
        <f>Table15[[#This Row],[sell]]-Table15[[#This Row],[Buy]]</f>
        <v>-1606722920.3199999</v>
      </c>
      <c r="X244" s="8">
        <f>IF(Table15[[#This Row],[Profit]]&gt;0,1,0)</f>
        <v>0</v>
      </c>
      <c r="Y244" s="5" t="str">
        <f>IF(Table15[[#This Row],[is Profit]]=1,"Profit","Loss")</f>
        <v>Loss</v>
      </c>
      <c r="Z244" s="5">
        <f>SUMIFS(Table1[quantity],Table1[order_id],Table15[[#This Row],[order_id]],Table1[side],"SELL")</f>
        <v>0</v>
      </c>
      <c r="AA244" s="5">
        <f>Table15[[#This Row],[Buy_value]]*Table15[[#This Row],[Buy_Quantity]]</f>
        <v>1606722920.3199999</v>
      </c>
      <c r="AB244" s="5">
        <f>Table15[[#This Row],[Sell_Value]]*Table15[[#This Row],[Sell_Quantity]]</f>
        <v>0</v>
      </c>
      <c r="AC244" s="5">
        <f>SUMIFS(Table1[quantity],Table1[order_id],Table15[[#This Row],[order_id]],Table1[side],"BUY")</f>
        <v>952</v>
      </c>
      <c r="AE244" s="9" t="s">
        <v>767</v>
      </c>
      <c r="AF244" s="10" t="str">
        <f>IF(Table1[[#This Row],[Sell-Buy]]&gt;0,"Profit","Loss")</f>
        <v>Loss</v>
      </c>
      <c r="AG244">
        <f>Table1[[#This Row],[Column2]]-Table1[[#This Row],[Buy-sell]]</f>
        <v>0</v>
      </c>
    </row>
    <row r="245" spans="1:33" x14ac:dyDescent="0.3">
      <c r="A245" t="s">
        <v>682</v>
      </c>
      <c r="B245" t="s">
        <v>542</v>
      </c>
      <c r="C245" s="1">
        <v>45834.002083333333</v>
      </c>
      <c r="D245" t="s">
        <v>22</v>
      </c>
      <c r="E245" t="s">
        <v>171</v>
      </c>
      <c r="F245">
        <v>857</v>
      </c>
      <c r="G245">
        <v>255.49</v>
      </c>
      <c r="H245">
        <v>109.48</v>
      </c>
      <c r="I245" t="s">
        <v>144</v>
      </c>
      <c r="J245" t="s">
        <v>73</v>
      </c>
      <c r="L245" s="1">
        <v>45659</v>
      </c>
      <c r="N245">
        <f>IF(Table1[[#This Row],[side]]="BUY", Table1[[#This Row],[quantity]],-Table1[[#This Row],[quantity]])</f>
        <v>-857</v>
      </c>
      <c r="O245" t="s">
        <v>171</v>
      </c>
      <c r="P245">
        <f>IF(Table1[[#This Row],[side]]="Sell",Table1[[#This Row],[price]],"0")</f>
        <v>255.49</v>
      </c>
      <c r="Q245">
        <f>SUMIFS(Table1[quantity],Table1[company_id],Table8[[#This Row],[COMPANY_ID]],Table1[side],"BUY")-SUMIFS(Table1[quantity],Table1[company_id],Table8[[#This Row],[COMPANY_ID]],Table1[side],"SELL")</f>
        <v>0</v>
      </c>
      <c r="R245">
        <f>Table1[[#This Row],[Column2]]-Table1[[#This Row],[Buy-sell]]</f>
        <v>255.49</v>
      </c>
      <c r="S245" t="str">
        <f>IF(Table1[[#This Row],[Sell-Buy]]&gt;0,"Profit","Loss")</f>
        <v>Profit</v>
      </c>
      <c r="T245" s="4" t="s">
        <v>544</v>
      </c>
      <c r="U245" s="8">
        <f>SUMIFS(Table1[price],Table1[order_id],Table15[[#This Row],[order_id]],Table1[side],"BUY")*Table15[[#This Row],[Buy_Quantity]]</f>
        <v>46893.2</v>
      </c>
      <c r="V245" s="8">
        <f>SUMIFS(Table1[price],Table1[order_id],Table15[[#This Row],[order_id]],Table1[side],"SELL")</f>
        <v>0</v>
      </c>
      <c r="W245" s="8">
        <f>Table15[[#This Row],[sell]]-Table15[[#This Row],[Buy]]</f>
        <v>-1875728</v>
      </c>
      <c r="X245" s="8">
        <f>IF(Table15[[#This Row],[Profit]]&gt;0,1,0)</f>
        <v>0</v>
      </c>
      <c r="Y245" s="5" t="str">
        <f>IF(Table15[[#This Row],[is Profit]]=1,"Profit","Loss")</f>
        <v>Loss</v>
      </c>
      <c r="Z245" s="5">
        <f>SUMIFS(Table1[quantity],Table1[order_id],Table15[[#This Row],[order_id]],Table1[side],"SELL")</f>
        <v>0</v>
      </c>
      <c r="AA245" s="5">
        <f>Table15[[#This Row],[Buy_value]]*Table15[[#This Row],[Buy_Quantity]]</f>
        <v>1875728</v>
      </c>
      <c r="AB245" s="5">
        <f>Table15[[#This Row],[Sell_Value]]*Table15[[#This Row],[Sell_Quantity]]</f>
        <v>0</v>
      </c>
      <c r="AC245" s="5">
        <f>SUMIFS(Table1[quantity],Table1[order_id],Table15[[#This Row],[order_id]],Table1[side],"BUY")</f>
        <v>40</v>
      </c>
      <c r="AE245" s="10" t="s">
        <v>850</v>
      </c>
      <c r="AF245" s="10" t="str">
        <f>IF(Table1[[#This Row],[Sell-Buy]]&gt;0,"Profit","Loss")</f>
        <v>Profit</v>
      </c>
      <c r="AG245">
        <f>Table1[[#This Row],[Column2]]-Table1[[#This Row],[Buy-sell]]</f>
        <v>255.49</v>
      </c>
    </row>
    <row r="246" spans="1:33" x14ac:dyDescent="0.3">
      <c r="A246" t="s">
        <v>679</v>
      </c>
      <c r="B246" t="s">
        <v>558</v>
      </c>
      <c r="C246" s="1">
        <v>45749.022222222222</v>
      </c>
      <c r="D246" t="s">
        <v>22</v>
      </c>
      <c r="E246" t="s">
        <v>166</v>
      </c>
      <c r="F246">
        <v>330</v>
      </c>
      <c r="G246">
        <v>246.17</v>
      </c>
      <c r="H246">
        <v>40.619999999999997</v>
      </c>
      <c r="I246" t="s">
        <v>142</v>
      </c>
      <c r="J246" t="s">
        <v>67</v>
      </c>
      <c r="L246" s="1">
        <v>45762</v>
      </c>
      <c r="M246" t="s">
        <v>166</v>
      </c>
      <c r="N246">
        <f>IF(Table1[[#This Row],[side]]="BUY", Table1[[#This Row],[quantity]],-Table1[[#This Row],[quantity]])</f>
        <v>330</v>
      </c>
      <c r="P246" t="str">
        <f>IF(Table1[[#This Row],[side]]="Sell",Table1[[#This Row],[price]],"0")</f>
        <v>0</v>
      </c>
      <c r="Q246">
        <f>SUMIFS(Table1[quantity],Table1[company_id],Table8[[#This Row],[COMPANY_ID]],Table1[side],"BUY")-SUMIFS(Table1[quantity],Table1[company_id],Table8[[#This Row],[COMPANY_ID]],Table1[side],"SELL")</f>
        <v>0</v>
      </c>
      <c r="R246">
        <f>Table1[[#This Row],[Column2]]-Table1[[#This Row],[Buy-sell]]</f>
        <v>0</v>
      </c>
      <c r="S246" t="str">
        <f>IF(Table1[[#This Row],[Sell-Buy]]&gt;0,"Profit","Loss")</f>
        <v>Loss</v>
      </c>
      <c r="T246" s="5" t="s">
        <v>545</v>
      </c>
      <c r="U246" s="8">
        <f>SUMIFS(Table1[price],Table1[order_id],Table15[[#This Row],[order_id]],Table1[side],"BUY")*Table15[[#This Row],[Buy_Quantity]]</f>
        <v>464764.12000000005</v>
      </c>
      <c r="V246" s="8">
        <f>SUMIFS(Table1[price],Table1[order_id],Table15[[#This Row],[order_id]],Table1[side],"SELL")</f>
        <v>0</v>
      </c>
      <c r="W246" s="8">
        <f>Table15[[#This Row],[sell]]-Table15[[#This Row],[Buy]]</f>
        <v>-355079787.68000007</v>
      </c>
      <c r="X246" s="8">
        <f>IF(Table15[[#This Row],[Profit]]&gt;0,1,0)</f>
        <v>0</v>
      </c>
      <c r="Y246" s="5" t="str">
        <f>IF(Table15[[#This Row],[is Profit]]=1,"Profit","Loss")</f>
        <v>Loss</v>
      </c>
      <c r="Z246" s="5">
        <f>SUMIFS(Table1[quantity],Table1[order_id],Table15[[#This Row],[order_id]],Table1[side],"SELL")</f>
        <v>0</v>
      </c>
      <c r="AA246" s="5">
        <f>Table15[[#This Row],[Buy_value]]*Table15[[#This Row],[Buy_Quantity]]</f>
        <v>355079787.68000007</v>
      </c>
      <c r="AB246" s="5">
        <f>Table15[[#This Row],[Sell_Value]]*Table15[[#This Row],[Sell_Quantity]]</f>
        <v>0</v>
      </c>
      <c r="AC246" s="5">
        <f>SUMIFS(Table1[quantity],Table1[order_id],Table15[[#This Row],[order_id]],Table1[side],"BUY")</f>
        <v>764</v>
      </c>
      <c r="AE246" s="9" t="s">
        <v>733</v>
      </c>
      <c r="AF246" s="10" t="str">
        <f>IF(Table1[[#This Row],[Sell-Buy]]&gt;0,"Profit","Loss")</f>
        <v>Loss</v>
      </c>
      <c r="AG246">
        <f>Table1[[#This Row],[Column2]]-Table1[[#This Row],[Buy-sell]]</f>
        <v>0</v>
      </c>
    </row>
    <row r="247" spans="1:33" x14ac:dyDescent="0.3">
      <c r="A247" t="s">
        <v>706</v>
      </c>
      <c r="B247" t="s">
        <v>459</v>
      </c>
      <c r="C247" s="1">
        <v>45694.030555555553</v>
      </c>
      <c r="D247" t="s">
        <v>22</v>
      </c>
      <c r="E247" t="s">
        <v>171</v>
      </c>
      <c r="F247">
        <v>553</v>
      </c>
      <c r="G247">
        <v>232</v>
      </c>
      <c r="H247">
        <v>64.150000000000006</v>
      </c>
      <c r="I247" t="s">
        <v>118</v>
      </c>
      <c r="J247" t="s">
        <v>58</v>
      </c>
      <c r="L247" s="1">
        <v>45754</v>
      </c>
      <c r="N247">
        <f>IF(Table1[[#This Row],[side]]="BUY", Table1[[#This Row],[quantity]],-Table1[[#This Row],[quantity]])</f>
        <v>-553</v>
      </c>
      <c r="O247" t="s">
        <v>171</v>
      </c>
      <c r="P247">
        <f>IF(Table1[[#This Row],[side]]="Sell",Table1[[#This Row],[price]],"0")</f>
        <v>232</v>
      </c>
      <c r="Q247">
        <f>SUMIFS(Table1[quantity],Table1[company_id],Table8[[#This Row],[COMPANY_ID]],Table1[side],"BUY")-SUMIFS(Table1[quantity],Table1[company_id],Table8[[#This Row],[COMPANY_ID]],Table1[side],"SELL")</f>
        <v>0</v>
      </c>
      <c r="R247">
        <f>Table1[[#This Row],[Column2]]-Table1[[#This Row],[Buy-sell]]</f>
        <v>232</v>
      </c>
      <c r="S247" t="str">
        <f>IF(Table1[[#This Row],[Sell-Buy]]&gt;0,"Profit","Loss")</f>
        <v>Profit</v>
      </c>
      <c r="T247" s="4" t="s">
        <v>547</v>
      </c>
      <c r="U247" s="8">
        <f>SUMIFS(Table1[price],Table1[order_id],Table15[[#This Row],[order_id]],Table1[side],"BUY")*Table15[[#This Row],[Buy_Quantity]]</f>
        <v>1166163.2</v>
      </c>
      <c r="V247" s="8">
        <f>SUMIFS(Table1[price],Table1[order_id],Table15[[#This Row],[order_id]],Table1[side],"SELL")</f>
        <v>0</v>
      </c>
      <c r="W247" s="8">
        <f>Table15[[#This Row],[sell]]-Table15[[#This Row],[Buy]]</f>
        <v>-1498519712</v>
      </c>
      <c r="X247" s="8">
        <f>IF(Table15[[#This Row],[Profit]]&gt;0,1,0)</f>
        <v>0</v>
      </c>
      <c r="Y247" s="5" t="str">
        <f>IF(Table15[[#This Row],[is Profit]]=1,"Profit","Loss")</f>
        <v>Loss</v>
      </c>
      <c r="Z247" s="5">
        <f>SUMIFS(Table1[quantity],Table1[order_id],Table15[[#This Row],[order_id]],Table1[side],"SELL")</f>
        <v>0</v>
      </c>
      <c r="AA247" s="5">
        <f>Table15[[#This Row],[Buy_value]]*Table15[[#This Row],[Buy_Quantity]]</f>
        <v>1498519712</v>
      </c>
      <c r="AB247" s="5">
        <f>Table15[[#This Row],[Sell_Value]]*Table15[[#This Row],[Sell_Quantity]]</f>
        <v>0</v>
      </c>
      <c r="AC247" s="5">
        <f>SUMIFS(Table1[quantity],Table1[order_id],Table15[[#This Row],[order_id]],Table1[side],"BUY")</f>
        <v>1285</v>
      </c>
      <c r="AE247" s="10" t="s">
        <v>950</v>
      </c>
      <c r="AF247" s="10" t="str">
        <f>IF(Table1[[#This Row],[Sell-Buy]]&gt;0,"Profit","Loss")</f>
        <v>Profit</v>
      </c>
      <c r="AG247">
        <f>Table1[[#This Row],[Column2]]-Table1[[#This Row],[Buy-sell]]</f>
        <v>232</v>
      </c>
    </row>
    <row r="248" spans="1:33" x14ac:dyDescent="0.3">
      <c r="A248" t="s">
        <v>708</v>
      </c>
      <c r="B248" t="s">
        <v>284</v>
      </c>
      <c r="C248" s="1">
        <v>45687.03402777778</v>
      </c>
      <c r="D248" t="s">
        <v>22</v>
      </c>
      <c r="E248" t="s">
        <v>171</v>
      </c>
      <c r="F248">
        <v>212</v>
      </c>
      <c r="G248">
        <v>233.74</v>
      </c>
      <c r="H248">
        <v>24.78</v>
      </c>
      <c r="I248" t="s">
        <v>116</v>
      </c>
      <c r="J248" t="s">
        <v>67</v>
      </c>
      <c r="L248" s="1">
        <v>45747</v>
      </c>
      <c r="N248">
        <f>IF(Table1[[#This Row],[side]]="BUY", Table1[[#This Row],[quantity]],-Table1[[#This Row],[quantity]])</f>
        <v>-212</v>
      </c>
      <c r="O248" t="s">
        <v>171</v>
      </c>
      <c r="P248">
        <f>IF(Table1[[#This Row],[side]]="Sell",Table1[[#This Row],[price]],"0")</f>
        <v>233.74</v>
      </c>
      <c r="Q248">
        <f>SUMIFS(Table1[quantity],Table1[company_id],Table8[[#This Row],[COMPANY_ID]],Table1[side],"BUY")-SUMIFS(Table1[quantity],Table1[company_id],Table8[[#This Row],[COMPANY_ID]],Table1[side],"SELL")</f>
        <v>0</v>
      </c>
      <c r="R248">
        <f>Table1[[#This Row],[Column2]]-Table1[[#This Row],[Buy-sell]]</f>
        <v>233.74</v>
      </c>
      <c r="S248" t="str">
        <f>IF(Table1[[#This Row],[Sell-Buy]]&gt;0,"Profit","Loss")</f>
        <v>Profit</v>
      </c>
      <c r="T248" s="5" t="s">
        <v>548</v>
      </c>
      <c r="U248" s="8">
        <f>SUMIFS(Table1[price],Table1[order_id],Table15[[#This Row],[order_id]],Table1[side],"BUY")*Table15[[#This Row],[Buy_Quantity]]</f>
        <v>0</v>
      </c>
      <c r="V248" s="8">
        <f>SUMIFS(Table1[price],Table1[order_id],Table15[[#This Row],[order_id]],Table1[side],"SELL")</f>
        <v>783.17</v>
      </c>
      <c r="W248" s="8">
        <f>Table15[[#This Row],[sell]]-Table15[[#This Row],[Buy]]</f>
        <v>176213.25</v>
      </c>
      <c r="X248" s="8">
        <f>IF(Table15[[#This Row],[Profit]]&gt;0,1,0)</f>
        <v>1</v>
      </c>
      <c r="Y248" s="5" t="str">
        <f>IF(Table15[[#This Row],[is Profit]]=1,"Profit","Loss")</f>
        <v>Profit</v>
      </c>
      <c r="Z248" s="5">
        <f>SUMIFS(Table1[quantity],Table1[order_id],Table15[[#This Row],[order_id]],Table1[side],"SELL")</f>
        <v>225</v>
      </c>
      <c r="AA248" s="5">
        <f>Table15[[#This Row],[Buy_value]]*Table15[[#This Row],[Buy_Quantity]]</f>
        <v>0</v>
      </c>
      <c r="AB248" s="5">
        <f>Table15[[#This Row],[Sell_Value]]*Table15[[#This Row],[Sell_Quantity]]</f>
        <v>176213.25</v>
      </c>
      <c r="AC248" s="5">
        <f>SUMIFS(Table1[quantity],Table1[order_id],Table15[[#This Row],[order_id]],Table1[side],"BUY")</f>
        <v>0</v>
      </c>
      <c r="AE248" s="9" t="s">
        <v>1056</v>
      </c>
      <c r="AF248" s="10" t="str">
        <f>IF(Table1[[#This Row],[Sell-Buy]]&gt;0,"Profit","Loss")</f>
        <v>Profit</v>
      </c>
      <c r="AG248">
        <f>Table1[[#This Row],[Column2]]-Table1[[#This Row],[Buy-sell]]</f>
        <v>233.74</v>
      </c>
    </row>
    <row r="249" spans="1:33" x14ac:dyDescent="0.3">
      <c r="A249" t="s">
        <v>694</v>
      </c>
      <c r="B249" t="s">
        <v>335</v>
      </c>
      <c r="C249" s="1">
        <v>45672.025000000001</v>
      </c>
      <c r="D249" t="s">
        <v>22</v>
      </c>
      <c r="E249" t="s">
        <v>166</v>
      </c>
      <c r="F249">
        <v>815</v>
      </c>
      <c r="G249">
        <v>232.7</v>
      </c>
      <c r="H249">
        <v>94.83</v>
      </c>
      <c r="I249" t="s">
        <v>124</v>
      </c>
      <c r="J249" t="s">
        <v>67</v>
      </c>
      <c r="L249" s="1">
        <v>45681</v>
      </c>
      <c r="M249" t="s">
        <v>166</v>
      </c>
      <c r="N249">
        <f>IF(Table1[[#This Row],[side]]="BUY", Table1[[#This Row],[quantity]],-Table1[[#This Row],[quantity]])</f>
        <v>815</v>
      </c>
      <c r="P249" t="str">
        <f>IF(Table1[[#This Row],[side]]="Sell",Table1[[#This Row],[price]],"0")</f>
        <v>0</v>
      </c>
      <c r="Q249">
        <f>SUMIFS(Table1[quantity],Table1[company_id],Table8[[#This Row],[COMPANY_ID]],Table1[side],"BUY")-SUMIFS(Table1[quantity],Table1[company_id],Table8[[#This Row],[COMPANY_ID]],Table1[side],"SELL")</f>
        <v>0</v>
      </c>
      <c r="R249">
        <f>Table1[[#This Row],[Column2]]-Table1[[#This Row],[Buy-sell]]</f>
        <v>0</v>
      </c>
      <c r="S249" t="str">
        <f>IF(Table1[[#This Row],[Sell-Buy]]&gt;0,"Profit","Loss")</f>
        <v>Loss</v>
      </c>
      <c r="T249" s="5" t="s">
        <v>549</v>
      </c>
      <c r="U249" s="8">
        <f>SUMIFS(Table1[price],Table1[order_id],Table15[[#This Row],[order_id]],Table1[side],"BUY")*Table15[[#This Row],[Buy_Quantity]]</f>
        <v>0</v>
      </c>
      <c r="V249" s="8">
        <f>SUMIFS(Table1[price],Table1[order_id],Table15[[#This Row],[order_id]],Table1[side],"SELL")</f>
        <v>540.85</v>
      </c>
      <c r="W249" s="8">
        <f>Table15[[#This Row],[sell]]-Table15[[#This Row],[Buy]]</f>
        <v>120068.70000000001</v>
      </c>
      <c r="X249" s="8">
        <f>IF(Table15[[#This Row],[Profit]]&gt;0,1,0)</f>
        <v>1</v>
      </c>
      <c r="Y249" s="5" t="str">
        <f>IF(Table15[[#This Row],[is Profit]]=1,"Profit","Loss")</f>
        <v>Profit</v>
      </c>
      <c r="Z249" s="5">
        <f>SUMIFS(Table1[quantity],Table1[order_id],Table15[[#This Row],[order_id]],Table1[side],"SELL")</f>
        <v>222</v>
      </c>
      <c r="AA249" s="5">
        <f>Table15[[#This Row],[Buy_value]]*Table15[[#This Row],[Buy_Quantity]]</f>
        <v>0</v>
      </c>
      <c r="AB249" s="5">
        <f>Table15[[#This Row],[Sell_Value]]*Table15[[#This Row],[Sell_Quantity]]</f>
        <v>120068.70000000001</v>
      </c>
      <c r="AC249" s="5">
        <f>SUMIFS(Table1[quantity],Table1[order_id],Table15[[#This Row],[order_id]],Table1[side],"BUY")</f>
        <v>0</v>
      </c>
      <c r="AE249" s="10" t="s">
        <v>911</v>
      </c>
      <c r="AF249" s="10" t="str">
        <f>IF(Table1[[#This Row],[Sell-Buy]]&gt;0,"Profit","Loss")</f>
        <v>Loss</v>
      </c>
      <c r="AG249">
        <f>Table1[[#This Row],[Column2]]-Table1[[#This Row],[Buy-sell]]</f>
        <v>0</v>
      </c>
    </row>
    <row r="250" spans="1:33" x14ac:dyDescent="0.3">
      <c r="A250" t="s">
        <v>724</v>
      </c>
      <c r="B250" t="s">
        <v>395</v>
      </c>
      <c r="C250" s="1">
        <v>45735.03125</v>
      </c>
      <c r="D250" t="s">
        <v>22</v>
      </c>
      <c r="E250" t="s">
        <v>171</v>
      </c>
      <c r="F250">
        <v>164</v>
      </c>
      <c r="G250">
        <v>245.53</v>
      </c>
      <c r="H250">
        <v>20.13</v>
      </c>
      <c r="I250" t="s">
        <v>108</v>
      </c>
      <c r="J250" t="s">
        <v>61</v>
      </c>
      <c r="L250" s="1">
        <v>45751</v>
      </c>
      <c r="N250">
        <f>IF(Table1[[#This Row],[side]]="BUY", Table1[[#This Row],[quantity]],-Table1[[#This Row],[quantity]])</f>
        <v>-164</v>
      </c>
      <c r="O250" t="s">
        <v>171</v>
      </c>
      <c r="P250">
        <f>IF(Table1[[#This Row],[side]]="Sell",Table1[[#This Row],[price]],"0")</f>
        <v>245.53</v>
      </c>
      <c r="Q250">
        <f>SUMIFS(Table1[quantity],Table1[company_id],Table8[[#This Row],[COMPANY_ID]],Table1[side],"BUY")-SUMIFS(Table1[quantity],Table1[company_id],Table8[[#This Row],[COMPANY_ID]],Table1[side],"SELL")</f>
        <v>0</v>
      </c>
      <c r="R250">
        <f>Table1[[#This Row],[Column2]]-Table1[[#This Row],[Buy-sell]]</f>
        <v>245.53</v>
      </c>
      <c r="S250" t="str">
        <f>IF(Table1[[#This Row],[Sell-Buy]]&gt;0,"Profit","Loss")</f>
        <v>Profit</v>
      </c>
      <c r="T250" s="5" t="s">
        <v>550</v>
      </c>
      <c r="U250" s="8">
        <f>SUMIFS(Table1[price],Table1[order_id],Table15[[#This Row],[order_id]],Table1[side],"BUY")*Table15[[#This Row],[Buy_Quantity]]</f>
        <v>0</v>
      </c>
      <c r="V250" s="8">
        <f>SUMIFS(Table1[price],Table1[order_id],Table15[[#This Row],[order_id]],Table1[side],"SELL")</f>
        <v>1187.55</v>
      </c>
      <c r="W250" s="8">
        <f>Table15[[#This Row],[sell]]-Table15[[#This Row],[Buy]]</f>
        <v>78378.3</v>
      </c>
      <c r="X250" s="8">
        <f>IF(Table15[[#This Row],[Profit]]&gt;0,1,0)</f>
        <v>1</v>
      </c>
      <c r="Y250" s="5" t="str">
        <f>IF(Table15[[#This Row],[is Profit]]=1,"Profit","Loss")</f>
        <v>Profit</v>
      </c>
      <c r="Z250" s="5">
        <f>SUMIFS(Table1[quantity],Table1[order_id],Table15[[#This Row],[order_id]],Table1[side],"SELL")</f>
        <v>66</v>
      </c>
      <c r="AA250" s="5">
        <f>Table15[[#This Row],[Buy_value]]*Table15[[#This Row],[Buy_Quantity]]</f>
        <v>0</v>
      </c>
      <c r="AB250" s="5">
        <f>Table15[[#This Row],[Sell_Value]]*Table15[[#This Row],[Sell_Quantity]]</f>
        <v>78378.3</v>
      </c>
      <c r="AC250" s="5">
        <f>SUMIFS(Table1[quantity],Table1[order_id],Table15[[#This Row],[order_id]],Table1[side],"BUY")</f>
        <v>0</v>
      </c>
      <c r="AE250" s="9" t="s">
        <v>713</v>
      </c>
      <c r="AF250" s="10" t="str">
        <f>IF(Table1[[#This Row],[Sell-Buy]]&gt;0,"Profit","Loss")</f>
        <v>Profit</v>
      </c>
      <c r="AG250">
        <f>Table1[[#This Row],[Column2]]-Table1[[#This Row],[Buy-sell]]</f>
        <v>245.53</v>
      </c>
    </row>
    <row r="251" spans="1:33" x14ac:dyDescent="0.3">
      <c r="A251" t="s">
        <v>730</v>
      </c>
      <c r="B251" t="s">
        <v>622</v>
      </c>
      <c r="C251" s="1">
        <v>45708.01666666667</v>
      </c>
      <c r="D251" t="s">
        <v>22</v>
      </c>
      <c r="E251" t="s">
        <v>171</v>
      </c>
      <c r="F251">
        <v>419</v>
      </c>
      <c r="G251">
        <v>238.96</v>
      </c>
      <c r="H251">
        <v>50.06</v>
      </c>
      <c r="I251" t="s">
        <v>106</v>
      </c>
      <c r="J251" t="s">
        <v>55</v>
      </c>
      <c r="L251" s="1">
        <v>45782</v>
      </c>
      <c r="N251">
        <f>IF(Table1[[#This Row],[side]]="BUY", Table1[[#This Row],[quantity]],-Table1[[#This Row],[quantity]])</f>
        <v>-419</v>
      </c>
      <c r="O251" t="s">
        <v>171</v>
      </c>
      <c r="P251">
        <f>IF(Table1[[#This Row],[side]]="Sell",Table1[[#This Row],[price]],"0")</f>
        <v>238.96</v>
      </c>
      <c r="Q251">
        <f>SUMIFS(Table1[quantity],Table1[company_id],Table8[[#This Row],[COMPANY_ID]],Table1[side],"BUY")-SUMIFS(Table1[quantity],Table1[company_id],Table8[[#This Row],[COMPANY_ID]],Table1[side],"SELL")</f>
        <v>0</v>
      </c>
      <c r="R251">
        <f>Table1[[#This Row],[Column2]]-Table1[[#This Row],[Buy-sell]]</f>
        <v>238.96</v>
      </c>
      <c r="S251" t="str">
        <f>IF(Table1[[#This Row],[Sell-Buy]]&gt;0,"Profit","Loss")</f>
        <v>Profit</v>
      </c>
      <c r="T251" s="5" t="s">
        <v>552</v>
      </c>
      <c r="U251" s="8">
        <f>SUMIFS(Table1[price],Table1[order_id],Table15[[#This Row],[order_id]],Table1[side],"BUY")*Table15[[#This Row],[Buy_Quantity]]</f>
        <v>1511667.2999999998</v>
      </c>
      <c r="V251" s="8">
        <f>SUMIFS(Table1[price],Table1[order_id],Table15[[#This Row],[order_id]],Table1[side],"SELL")</f>
        <v>0</v>
      </c>
      <c r="W251" s="8">
        <f>Table15[[#This Row],[sell]]-Table15[[#This Row],[Buy]]</f>
        <v>-1080842119.4999998</v>
      </c>
      <c r="X251" s="8">
        <f>IF(Table15[[#This Row],[Profit]]&gt;0,1,0)</f>
        <v>0</v>
      </c>
      <c r="Y251" s="5" t="str">
        <f>IF(Table15[[#This Row],[is Profit]]=1,"Profit","Loss")</f>
        <v>Loss</v>
      </c>
      <c r="Z251" s="5">
        <f>SUMIFS(Table1[quantity],Table1[order_id],Table15[[#This Row],[order_id]],Table1[side],"SELL")</f>
        <v>0</v>
      </c>
      <c r="AA251" s="5">
        <f>Table15[[#This Row],[Buy_value]]*Table15[[#This Row],[Buy_Quantity]]</f>
        <v>1080842119.4999998</v>
      </c>
      <c r="AB251" s="5">
        <f>Table15[[#This Row],[Sell_Value]]*Table15[[#This Row],[Sell_Quantity]]</f>
        <v>0</v>
      </c>
      <c r="AC251" s="5">
        <f>SUMIFS(Table1[quantity],Table1[order_id],Table15[[#This Row],[order_id]],Table1[side],"BUY")</f>
        <v>715</v>
      </c>
      <c r="AE251" s="10" t="s">
        <v>1026</v>
      </c>
      <c r="AF251" s="10" t="str">
        <f>IF(Table1[[#This Row],[Sell-Buy]]&gt;0,"Profit","Loss")</f>
        <v>Profit</v>
      </c>
      <c r="AG251">
        <f>Table1[[#This Row],[Column2]]-Table1[[#This Row],[Buy-sell]]</f>
        <v>238.96</v>
      </c>
    </row>
    <row r="252" spans="1:33" x14ac:dyDescent="0.3">
      <c r="A252" t="s">
        <v>705</v>
      </c>
      <c r="B252" t="s">
        <v>488</v>
      </c>
      <c r="C252" s="1">
        <v>45667.008333333331</v>
      </c>
      <c r="D252" t="s">
        <v>22</v>
      </c>
      <c r="E252" t="s">
        <v>166</v>
      </c>
      <c r="F252">
        <v>774</v>
      </c>
      <c r="G252">
        <v>233.56</v>
      </c>
      <c r="H252">
        <v>90.39</v>
      </c>
      <c r="I252" t="s">
        <v>134</v>
      </c>
      <c r="J252" t="s">
        <v>70</v>
      </c>
      <c r="L252" s="1">
        <v>45672</v>
      </c>
      <c r="M252" t="s">
        <v>166</v>
      </c>
      <c r="N252">
        <f>IF(Table1[[#This Row],[side]]="BUY", Table1[[#This Row],[quantity]],-Table1[[#This Row],[quantity]])</f>
        <v>774</v>
      </c>
      <c r="P252" t="str">
        <f>IF(Table1[[#This Row],[side]]="Sell",Table1[[#This Row],[price]],"0")</f>
        <v>0</v>
      </c>
      <c r="Q252">
        <f>SUMIFS(Table1[quantity],Table1[company_id],Table8[[#This Row],[COMPANY_ID]],Table1[side],"BUY")-SUMIFS(Table1[quantity],Table1[company_id],Table8[[#This Row],[COMPANY_ID]],Table1[side],"SELL")</f>
        <v>0</v>
      </c>
      <c r="R252">
        <f>Table1[[#This Row],[Column2]]-Table1[[#This Row],[Buy-sell]]</f>
        <v>0</v>
      </c>
      <c r="S252" t="str">
        <f>IF(Table1[[#This Row],[Sell-Buy]]&gt;0,"Profit","Loss")</f>
        <v>Loss</v>
      </c>
      <c r="T252" s="4" t="s">
        <v>553</v>
      </c>
      <c r="U252" s="8">
        <f>SUMIFS(Table1[price],Table1[order_id],Table15[[#This Row],[order_id]],Table1[side],"BUY")*Table15[[#This Row],[Buy_Quantity]]</f>
        <v>3274254.3299999996</v>
      </c>
      <c r="V252" s="8">
        <f>SUMIFS(Table1[price],Table1[order_id],Table15[[#This Row],[order_id]],Table1[side],"SELL")</f>
        <v>237.07</v>
      </c>
      <c r="W252" s="8">
        <f>Table15[[#This Row],[sell]]-Table15[[#This Row],[Buy]]</f>
        <v>-4521698289.8699999</v>
      </c>
      <c r="X252" s="8">
        <f>IF(Table15[[#This Row],[Profit]]&gt;0,1,0)</f>
        <v>0</v>
      </c>
      <c r="Y252" s="5" t="str">
        <f>IF(Table15[[#This Row],[is Profit]]=1,"Profit","Loss")</f>
        <v>Loss</v>
      </c>
      <c r="Z252" s="5">
        <f>SUMIFS(Table1[quantity],Table1[order_id],Table15[[#This Row],[order_id]],Table1[side],"SELL")</f>
        <v>198</v>
      </c>
      <c r="AA252" s="5">
        <f>Table15[[#This Row],[Buy_value]]*Table15[[#This Row],[Buy_Quantity]]</f>
        <v>4521745229.7299995</v>
      </c>
      <c r="AB252" s="5">
        <f>Table15[[#This Row],[Sell_Value]]*Table15[[#This Row],[Sell_Quantity]]</f>
        <v>46939.86</v>
      </c>
      <c r="AC252" s="5">
        <f>SUMIFS(Table1[quantity],Table1[order_id],Table15[[#This Row],[order_id]],Table1[side],"BUY")</f>
        <v>1381</v>
      </c>
      <c r="AE252" s="9" t="s">
        <v>722</v>
      </c>
      <c r="AF252" s="10" t="str">
        <f>IF(Table1[[#This Row],[Sell-Buy]]&gt;0,"Profit","Loss")</f>
        <v>Loss</v>
      </c>
      <c r="AG252">
        <f>Table1[[#This Row],[Column2]]-Table1[[#This Row],[Buy-sell]]</f>
        <v>0</v>
      </c>
    </row>
    <row r="253" spans="1:33" x14ac:dyDescent="0.3">
      <c r="A253" t="s">
        <v>753</v>
      </c>
      <c r="B253" t="s">
        <v>375</v>
      </c>
      <c r="C253" s="1">
        <v>45666.007638888892</v>
      </c>
      <c r="D253" t="s">
        <v>22</v>
      </c>
      <c r="E253" t="s">
        <v>171</v>
      </c>
      <c r="F253">
        <v>551</v>
      </c>
      <c r="G253">
        <v>226.98</v>
      </c>
      <c r="H253">
        <v>62.53</v>
      </c>
      <c r="I253" t="s">
        <v>88</v>
      </c>
      <c r="J253" t="s">
        <v>49</v>
      </c>
      <c r="L253" s="1">
        <v>45796</v>
      </c>
      <c r="N253">
        <f>IF(Table1[[#This Row],[side]]="BUY", Table1[[#This Row],[quantity]],-Table1[[#This Row],[quantity]])</f>
        <v>-551</v>
      </c>
      <c r="O253" t="s">
        <v>171</v>
      </c>
      <c r="P253">
        <f>IF(Table1[[#This Row],[side]]="Sell",Table1[[#This Row],[price]],"0")</f>
        <v>226.98</v>
      </c>
      <c r="Q253">
        <f>SUMIFS(Table1[quantity],Table1[company_id],Table8[[#This Row],[COMPANY_ID]],Table1[side],"BUY")-SUMIFS(Table1[quantity],Table1[company_id],Table8[[#This Row],[COMPANY_ID]],Table1[side],"SELL")</f>
        <v>0</v>
      </c>
      <c r="R253">
        <f>Table1[[#This Row],[Column2]]-Table1[[#This Row],[Buy-sell]]</f>
        <v>226.98</v>
      </c>
      <c r="S253" t="str">
        <f>IF(Table1[[#This Row],[Sell-Buy]]&gt;0,"Profit","Loss")</f>
        <v>Profit</v>
      </c>
      <c r="T253" s="5" t="s">
        <v>554</v>
      </c>
      <c r="U253" s="8">
        <f>SUMIFS(Table1[price],Table1[order_id],Table15[[#This Row],[order_id]],Table1[side],"BUY")*Table15[[#This Row],[Buy_Quantity]]</f>
        <v>127872.8</v>
      </c>
      <c r="V253" s="8">
        <f>SUMIFS(Table1[price],Table1[order_id],Table15[[#This Row],[order_id]],Table1[side],"SELL")</f>
        <v>0</v>
      </c>
      <c r="W253" s="8">
        <f>Table15[[#This Row],[sell]]-Table15[[#This Row],[Buy]]</f>
        <v>-28132016</v>
      </c>
      <c r="X253" s="8">
        <f>IF(Table15[[#This Row],[Profit]]&gt;0,1,0)</f>
        <v>0</v>
      </c>
      <c r="Y253" s="5" t="str">
        <f>IF(Table15[[#This Row],[is Profit]]=1,"Profit","Loss")</f>
        <v>Loss</v>
      </c>
      <c r="Z253" s="5">
        <f>SUMIFS(Table1[quantity],Table1[order_id],Table15[[#This Row],[order_id]],Table1[side],"SELL")</f>
        <v>0</v>
      </c>
      <c r="AA253" s="5">
        <f>Table15[[#This Row],[Buy_value]]*Table15[[#This Row],[Buy_Quantity]]</f>
        <v>28132016</v>
      </c>
      <c r="AB253" s="5">
        <f>Table15[[#This Row],[Sell_Value]]*Table15[[#This Row],[Sell_Quantity]]</f>
        <v>0</v>
      </c>
      <c r="AC253" s="5">
        <f>SUMIFS(Table1[quantity],Table1[order_id],Table15[[#This Row],[order_id]],Table1[side],"BUY")</f>
        <v>220</v>
      </c>
      <c r="AE253" s="10" t="s">
        <v>1085</v>
      </c>
      <c r="AF253" s="10" t="str">
        <f>IF(Table1[[#This Row],[Sell-Buy]]&gt;0,"Profit","Loss")</f>
        <v>Profit</v>
      </c>
      <c r="AG253">
        <f>Table1[[#This Row],[Column2]]-Table1[[#This Row],[Buy-sell]]</f>
        <v>226.98</v>
      </c>
    </row>
    <row r="254" spans="1:33" x14ac:dyDescent="0.3">
      <c r="A254" t="s">
        <v>761</v>
      </c>
      <c r="B254" t="s">
        <v>360</v>
      </c>
      <c r="C254" s="1">
        <v>45813.00277777778</v>
      </c>
      <c r="D254" t="s">
        <v>22</v>
      </c>
      <c r="E254" t="s">
        <v>171</v>
      </c>
      <c r="F254">
        <v>262</v>
      </c>
      <c r="G254">
        <v>254.1</v>
      </c>
      <c r="H254">
        <v>33.29</v>
      </c>
      <c r="I254" t="s">
        <v>136</v>
      </c>
      <c r="J254" t="s">
        <v>55</v>
      </c>
      <c r="L254" s="1">
        <v>45684</v>
      </c>
      <c r="N254">
        <f>IF(Table1[[#This Row],[side]]="BUY", Table1[[#This Row],[quantity]],-Table1[[#This Row],[quantity]])</f>
        <v>-262</v>
      </c>
      <c r="O254" t="s">
        <v>171</v>
      </c>
      <c r="P254">
        <f>IF(Table1[[#This Row],[side]]="Sell",Table1[[#This Row],[price]],"0")</f>
        <v>254.1</v>
      </c>
      <c r="Q254">
        <f>SUMIFS(Table1[quantity],Table1[company_id],Table8[[#This Row],[COMPANY_ID]],Table1[side],"BUY")-SUMIFS(Table1[quantity],Table1[company_id],Table8[[#This Row],[COMPANY_ID]],Table1[side],"SELL")</f>
        <v>0</v>
      </c>
      <c r="R254">
        <f>Table1[[#This Row],[Column2]]-Table1[[#This Row],[Buy-sell]]</f>
        <v>254.1</v>
      </c>
      <c r="S254" t="str">
        <f>IF(Table1[[#This Row],[Sell-Buy]]&gt;0,"Profit","Loss")</f>
        <v>Profit</v>
      </c>
      <c r="T254" s="4" t="s">
        <v>555</v>
      </c>
      <c r="U254" s="8">
        <f>SUMIFS(Table1[price],Table1[order_id],Table15[[#This Row],[order_id]],Table1[side],"BUY")*Table15[[#This Row],[Buy_Quantity]]</f>
        <v>0</v>
      </c>
      <c r="V254" s="8">
        <f>SUMIFS(Table1[price],Table1[order_id],Table15[[#This Row],[order_id]],Table1[side],"SELL")</f>
        <v>243.78</v>
      </c>
      <c r="W254" s="8">
        <f>Table15[[#This Row],[sell]]-Table15[[#This Row],[Buy]]</f>
        <v>218183.1</v>
      </c>
      <c r="X254" s="8">
        <f>IF(Table15[[#This Row],[Profit]]&gt;0,1,0)</f>
        <v>1</v>
      </c>
      <c r="Y254" s="5" t="str">
        <f>IF(Table15[[#This Row],[is Profit]]=1,"Profit","Loss")</f>
        <v>Profit</v>
      </c>
      <c r="Z254" s="5">
        <f>SUMIFS(Table1[quantity],Table1[order_id],Table15[[#This Row],[order_id]],Table1[side],"SELL")</f>
        <v>895</v>
      </c>
      <c r="AA254" s="5">
        <f>Table15[[#This Row],[Buy_value]]*Table15[[#This Row],[Buy_Quantity]]</f>
        <v>0</v>
      </c>
      <c r="AB254" s="5">
        <f>Table15[[#This Row],[Sell_Value]]*Table15[[#This Row],[Sell_Quantity]]</f>
        <v>218183.1</v>
      </c>
      <c r="AC254" s="5">
        <f>SUMIFS(Table1[quantity],Table1[order_id],Table15[[#This Row],[order_id]],Table1[side],"BUY")</f>
        <v>0</v>
      </c>
      <c r="AE254" s="9" t="s">
        <v>938</v>
      </c>
      <c r="AF254" s="10" t="str">
        <f>IF(Table1[[#This Row],[Sell-Buy]]&gt;0,"Profit","Loss")</f>
        <v>Profit</v>
      </c>
      <c r="AG254">
        <f>Table1[[#This Row],[Column2]]-Table1[[#This Row],[Buy-sell]]</f>
        <v>254.1</v>
      </c>
    </row>
    <row r="255" spans="1:33" x14ac:dyDescent="0.3">
      <c r="A255" t="s">
        <v>722</v>
      </c>
      <c r="B255" t="s">
        <v>429</v>
      </c>
      <c r="C255" s="1">
        <v>45813.015277777777</v>
      </c>
      <c r="D255" t="s">
        <v>22</v>
      </c>
      <c r="E255" t="s">
        <v>166</v>
      </c>
      <c r="F255">
        <v>855</v>
      </c>
      <c r="G255">
        <v>255.35</v>
      </c>
      <c r="H255">
        <v>109.16</v>
      </c>
      <c r="I255" t="s">
        <v>116</v>
      </c>
      <c r="J255" t="s">
        <v>76</v>
      </c>
      <c r="L255" s="1">
        <v>45785</v>
      </c>
      <c r="M255" t="s">
        <v>166</v>
      </c>
      <c r="N255">
        <f>IF(Table1[[#This Row],[side]]="BUY", Table1[[#This Row],[quantity]],-Table1[[#This Row],[quantity]])</f>
        <v>855</v>
      </c>
      <c r="P255" t="str">
        <f>IF(Table1[[#This Row],[side]]="Sell",Table1[[#This Row],[price]],"0")</f>
        <v>0</v>
      </c>
      <c r="Q255">
        <f>SUMIFS(Table1[quantity],Table1[company_id],Table8[[#This Row],[COMPANY_ID]],Table1[side],"BUY")-SUMIFS(Table1[quantity],Table1[company_id],Table8[[#This Row],[COMPANY_ID]],Table1[side],"SELL")</f>
        <v>0</v>
      </c>
      <c r="R255">
        <f>Table1[[#This Row],[Column2]]-Table1[[#This Row],[Buy-sell]]</f>
        <v>0</v>
      </c>
      <c r="S255" t="str">
        <f>IF(Table1[[#This Row],[Sell-Buy]]&gt;0,"Profit","Loss")</f>
        <v>Loss</v>
      </c>
      <c r="T255" s="4" t="s">
        <v>556</v>
      </c>
      <c r="U255" s="8">
        <f>SUMIFS(Table1[price],Table1[order_id],Table15[[#This Row],[order_id]],Table1[side],"BUY")*Table15[[#This Row],[Buy_Quantity]]</f>
        <v>0</v>
      </c>
      <c r="V255" s="8">
        <f>SUMIFS(Table1[price],Table1[order_id],Table15[[#This Row],[order_id]],Table1[side],"SELL")</f>
        <v>1542.03</v>
      </c>
      <c r="W255" s="8">
        <f>Table15[[#This Row],[sell]]-Table15[[#This Row],[Buy]]</f>
        <v>2522761.08</v>
      </c>
      <c r="X255" s="8">
        <f>IF(Table15[[#This Row],[Profit]]&gt;0,1,0)</f>
        <v>1</v>
      </c>
      <c r="Y255" s="5" t="str">
        <f>IF(Table15[[#This Row],[is Profit]]=1,"Profit","Loss")</f>
        <v>Profit</v>
      </c>
      <c r="Z255" s="5">
        <f>SUMIFS(Table1[quantity],Table1[order_id],Table15[[#This Row],[order_id]],Table1[side],"SELL")</f>
        <v>1636</v>
      </c>
      <c r="AA255" s="5">
        <f>Table15[[#This Row],[Buy_value]]*Table15[[#This Row],[Buy_Quantity]]</f>
        <v>0</v>
      </c>
      <c r="AB255" s="5">
        <f>Table15[[#This Row],[Sell_Value]]*Table15[[#This Row],[Sell_Quantity]]</f>
        <v>2522761.08</v>
      </c>
      <c r="AC255" s="5">
        <f>SUMIFS(Table1[quantity],Table1[order_id],Table15[[#This Row],[order_id]],Table1[side],"BUY")</f>
        <v>0</v>
      </c>
      <c r="AE255" s="10" t="s">
        <v>1038</v>
      </c>
      <c r="AF255" s="10" t="str">
        <f>IF(Table1[[#This Row],[Sell-Buy]]&gt;0,"Profit","Loss")</f>
        <v>Loss</v>
      </c>
      <c r="AG255">
        <f>Table1[[#This Row],[Column2]]-Table1[[#This Row],[Buy-sell]]</f>
        <v>0</v>
      </c>
    </row>
    <row r="256" spans="1:33" x14ac:dyDescent="0.3">
      <c r="A256" t="s">
        <v>790</v>
      </c>
      <c r="B256" t="s">
        <v>521</v>
      </c>
      <c r="C256" s="1">
        <v>45792.000694444447</v>
      </c>
      <c r="D256" t="s">
        <v>22</v>
      </c>
      <c r="E256" t="s">
        <v>171</v>
      </c>
      <c r="F256">
        <v>83</v>
      </c>
      <c r="G256">
        <v>246.01</v>
      </c>
      <c r="H256">
        <v>10.210000000000001</v>
      </c>
      <c r="I256" t="s">
        <v>104</v>
      </c>
      <c r="J256" t="s">
        <v>58</v>
      </c>
      <c r="L256" s="1">
        <v>45671</v>
      </c>
      <c r="N256">
        <f>IF(Table1[[#This Row],[side]]="BUY", Table1[[#This Row],[quantity]],-Table1[[#This Row],[quantity]])</f>
        <v>-83</v>
      </c>
      <c r="O256" t="s">
        <v>171</v>
      </c>
      <c r="P256">
        <f>IF(Table1[[#This Row],[side]]="Sell",Table1[[#This Row],[price]],"0")</f>
        <v>246.01</v>
      </c>
      <c r="Q256">
        <f>SUMIFS(Table1[quantity],Table1[company_id],Table8[[#This Row],[COMPANY_ID]],Table1[side],"BUY")-SUMIFS(Table1[quantity],Table1[company_id],Table8[[#This Row],[COMPANY_ID]],Table1[side],"SELL")</f>
        <v>0</v>
      </c>
      <c r="R256">
        <f>Table1[[#This Row],[Column2]]-Table1[[#This Row],[Buy-sell]]</f>
        <v>246.01</v>
      </c>
      <c r="S256" t="str">
        <f>IF(Table1[[#This Row],[Sell-Buy]]&gt;0,"Profit","Loss")</f>
        <v>Profit</v>
      </c>
      <c r="T256" s="5" t="s">
        <v>557</v>
      </c>
      <c r="U256" s="8">
        <f>SUMIFS(Table1[price],Table1[order_id],Table15[[#This Row],[order_id]],Table1[side],"BUY")*Table15[[#This Row],[Buy_Quantity]]</f>
        <v>3172413.1499999994</v>
      </c>
      <c r="V256" s="8">
        <f>SUMIFS(Table1[price],Table1[order_id],Table15[[#This Row],[order_id]],Table1[side],"SELL")</f>
        <v>0</v>
      </c>
      <c r="W256" s="8">
        <f>Table15[[#This Row],[sell]]-Table15[[#This Row],[Buy]]</f>
        <v>-1912965129.4499996</v>
      </c>
      <c r="X256" s="8">
        <f>IF(Table15[[#This Row],[Profit]]&gt;0,1,0)</f>
        <v>0</v>
      </c>
      <c r="Y256" s="5" t="str">
        <f>IF(Table15[[#This Row],[is Profit]]=1,"Profit","Loss")</f>
        <v>Loss</v>
      </c>
      <c r="Z256" s="5">
        <f>SUMIFS(Table1[quantity],Table1[order_id],Table15[[#This Row],[order_id]],Table1[side],"SELL")</f>
        <v>0</v>
      </c>
      <c r="AA256" s="5">
        <f>Table15[[#This Row],[Buy_value]]*Table15[[#This Row],[Buy_Quantity]]</f>
        <v>1912965129.4499996</v>
      </c>
      <c r="AB256" s="5">
        <f>Table15[[#This Row],[Sell_Value]]*Table15[[#This Row],[Sell_Quantity]]</f>
        <v>0</v>
      </c>
      <c r="AC256" s="5">
        <f>SUMIFS(Table1[quantity],Table1[order_id],Table15[[#This Row],[order_id]],Table1[side],"BUY")</f>
        <v>603</v>
      </c>
      <c r="AE256" s="9" t="s">
        <v>1145</v>
      </c>
      <c r="AF256" s="10" t="str">
        <f>IF(Table1[[#This Row],[Sell-Buy]]&gt;0,"Profit","Loss")</f>
        <v>Profit</v>
      </c>
      <c r="AG256">
        <f>Table1[[#This Row],[Column2]]-Table1[[#This Row],[Buy-sell]]</f>
        <v>246.01</v>
      </c>
    </row>
    <row r="257" spans="1:33" x14ac:dyDescent="0.3">
      <c r="A257" t="s">
        <v>743</v>
      </c>
      <c r="B257" t="s">
        <v>565</v>
      </c>
      <c r="C257" s="1">
        <v>45678.030555555553</v>
      </c>
      <c r="D257" t="s">
        <v>22</v>
      </c>
      <c r="E257" t="s">
        <v>166</v>
      </c>
      <c r="F257">
        <v>525</v>
      </c>
      <c r="G257">
        <v>236.56</v>
      </c>
      <c r="H257">
        <v>62.1</v>
      </c>
      <c r="I257" t="s">
        <v>130</v>
      </c>
      <c r="J257" t="s">
        <v>73</v>
      </c>
      <c r="L257" s="1">
        <v>45818</v>
      </c>
      <c r="M257" t="s">
        <v>166</v>
      </c>
      <c r="N257">
        <f>IF(Table1[[#This Row],[side]]="BUY", Table1[[#This Row],[quantity]],-Table1[[#This Row],[quantity]])</f>
        <v>525</v>
      </c>
      <c r="P257" t="str">
        <f>IF(Table1[[#This Row],[side]]="Sell",Table1[[#This Row],[price]],"0")</f>
        <v>0</v>
      </c>
      <c r="Q257">
        <f>SUMIFS(Table1[quantity],Table1[company_id],Table8[[#This Row],[COMPANY_ID]],Table1[side],"BUY")-SUMIFS(Table1[quantity],Table1[company_id],Table8[[#This Row],[COMPANY_ID]],Table1[side],"SELL")</f>
        <v>0</v>
      </c>
      <c r="R257">
        <f>Table1[[#This Row],[Column2]]-Table1[[#This Row],[Buy-sell]]</f>
        <v>0</v>
      </c>
      <c r="S257" t="str">
        <f>IF(Table1[[#This Row],[Sell-Buy]]&gt;0,"Profit","Loss")</f>
        <v>Loss</v>
      </c>
      <c r="T257" s="5" t="s">
        <v>558</v>
      </c>
      <c r="U257" s="8">
        <f>SUMIFS(Table1[price],Table1[order_id],Table15[[#This Row],[order_id]],Table1[side],"BUY")*Table15[[#This Row],[Buy_Quantity]]</f>
        <v>81236.099999999991</v>
      </c>
      <c r="V257" s="8">
        <f>SUMIFS(Table1[price],Table1[order_id],Table15[[#This Row],[order_id]],Table1[side],"SELL")</f>
        <v>496.46</v>
      </c>
      <c r="W257" s="8">
        <f>Table15[[#This Row],[sell]]-Table15[[#This Row],[Buy]]</f>
        <v>-26322375.119999997</v>
      </c>
      <c r="X257" s="8">
        <f>IF(Table15[[#This Row],[Profit]]&gt;0,1,0)</f>
        <v>0</v>
      </c>
      <c r="Y257" s="5" t="str">
        <f>IF(Table15[[#This Row],[is Profit]]=1,"Profit","Loss")</f>
        <v>Loss</v>
      </c>
      <c r="Z257" s="5">
        <f>SUMIFS(Table1[quantity],Table1[order_id],Table15[[#This Row],[order_id]],Table1[side],"SELL")</f>
        <v>978</v>
      </c>
      <c r="AA257" s="5">
        <f>Table15[[#This Row],[Buy_value]]*Table15[[#This Row],[Buy_Quantity]]</f>
        <v>26807912.999999996</v>
      </c>
      <c r="AB257" s="5">
        <f>Table15[[#This Row],[Sell_Value]]*Table15[[#This Row],[Sell_Quantity]]</f>
        <v>485537.88</v>
      </c>
      <c r="AC257" s="5">
        <f>SUMIFS(Table1[quantity],Table1[order_id],Table15[[#This Row],[order_id]],Table1[side],"BUY")</f>
        <v>330</v>
      </c>
      <c r="AE257" s="10" t="s">
        <v>891</v>
      </c>
      <c r="AF257" s="10" t="str">
        <f>IF(Table1[[#This Row],[Sell-Buy]]&gt;0,"Profit","Loss")</f>
        <v>Loss</v>
      </c>
      <c r="AG257">
        <f>Table1[[#This Row],[Column2]]-Table1[[#This Row],[Buy-sell]]</f>
        <v>0</v>
      </c>
    </row>
    <row r="258" spans="1:33" x14ac:dyDescent="0.3">
      <c r="A258" t="s">
        <v>800</v>
      </c>
      <c r="B258" t="s">
        <v>302</v>
      </c>
      <c r="C258" s="1">
        <v>45666.017361111109</v>
      </c>
      <c r="D258" t="s">
        <v>22</v>
      </c>
      <c r="E258" t="s">
        <v>171</v>
      </c>
      <c r="F258">
        <v>55</v>
      </c>
      <c r="G258">
        <v>227.33</v>
      </c>
      <c r="H258">
        <v>6.25</v>
      </c>
      <c r="I258" t="s">
        <v>146</v>
      </c>
      <c r="J258" t="s">
        <v>67</v>
      </c>
      <c r="L258" s="1">
        <v>45756</v>
      </c>
      <c r="N258">
        <f>IF(Table1[[#This Row],[side]]="BUY", Table1[[#This Row],[quantity]],-Table1[[#This Row],[quantity]])</f>
        <v>-55</v>
      </c>
      <c r="O258" t="s">
        <v>171</v>
      </c>
      <c r="P258">
        <f>IF(Table1[[#This Row],[side]]="Sell",Table1[[#This Row],[price]],"0")</f>
        <v>227.33</v>
      </c>
      <c r="Q258">
        <f>SUMIFS(Table1[quantity],Table1[company_id],Table8[[#This Row],[COMPANY_ID]],Table1[side],"BUY")-SUMIFS(Table1[quantity],Table1[company_id],Table8[[#This Row],[COMPANY_ID]],Table1[side],"SELL")</f>
        <v>0</v>
      </c>
      <c r="R258">
        <f>Table1[[#This Row],[Column2]]-Table1[[#This Row],[Buy-sell]]</f>
        <v>227.33</v>
      </c>
      <c r="S258" t="str">
        <f>IF(Table1[[#This Row],[Sell-Buy]]&gt;0,"Profit","Loss")</f>
        <v>Profit</v>
      </c>
      <c r="T258" s="4" t="s">
        <v>560</v>
      </c>
      <c r="U258" s="8">
        <f>SUMIFS(Table1[price],Table1[order_id],Table15[[#This Row],[order_id]],Table1[side],"BUY")*Table15[[#This Row],[Buy_Quantity]]</f>
        <v>3120162.75</v>
      </c>
      <c r="V258" s="8">
        <f>SUMIFS(Table1[price],Table1[order_id],Table15[[#This Row],[order_id]],Table1[side],"SELL")</f>
        <v>0</v>
      </c>
      <c r="W258" s="8">
        <f>Table15[[#This Row],[sell]]-Table15[[#This Row],[Buy]]</f>
        <v>-3229368446.25</v>
      </c>
      <c r="X258" s="8">
        <f>IF(Table15[[#This Row],[Profit]]&gt;0,1,0)</f>
        <v>0</v>
      </c>
      <c r="Y258" s="5" t="str">
        <f>IF(Table15[[#This Row],[is Profit]]=1,"Profit","Loss")</f>
        <v>Loss</v>
      </c>
      <c r="Z258" s="5">
        <f>SUMIFS(Table1[quantity],Table1[order_id],Table15[[#This Row],[order_id]],Table1[side],"SELL")</f>
        <v>0</v>
      </c>
      <c r="AA258" s="5">
        <f>Table15[[#This Row],[Buy_value]]*Table15[[#This Row],[Buy_Quantity]]</f>
        <v>3229368446.25</v>
      </c>
      <c r="AB258" s="5">
        <f>Table15[[#This Row],[Sell_Value]]*Table15[[#This Row],[Sell_Quantity]]</f>
        <v>0</v>
      </c>
      <c r="AC258" s="5">
        <f>SUMIFS(Table1[quantity],Table1[order_id],Table15[[#This Row],[order_id]],Table1[side],"BUY")</f>
        <v>1035</v>
      </c>
      <c r="AE258" s="9" t="s">
        <v>780</v>
      </c>
      <c r="AF258" s="10" t="str">
        <f>IF(Table1[[#This Row],[Sell-Buy]]&gt;0,"Profit","Loss")</f>
        <v>Profit</v>
      </c>
      <c r="AG258">
        <f>Table1[[#This Row],[Column2]]-Table1[[#This Row],[Buy-sell]]</f>
        <v>227.33</v>
      </c>
    </row>
    <row r="259" spans="1:33" x14ac:dyDescent="0.3">
      <c r="A259" t="s">
        <v>814</v>
      </c>
      <c r="B259" t="s">
        <v>523</v>
      </c>
      <c r="C259" s="1">
        <v>45832.004166666666</v>
      </c>
      <c r="D259" t="s">
        <v>22</v>
      </c>
      <c r="E259" t="s">
        <v>171</v>
      </c>
      <c r="F259">
        <v>316</v>
      </c>
      <c r="G259">
        <v>260.02</v>
      </c>
      <c r="H259">
        <v>41.08</v>
      </c>
      <c r="I259" t="s">
        <v>88</v>
      </c>
      <c r="J259" t="s">
        <v>73</v>
      </c>
      <c r="L259" s="1">
        <v>45706</v>
      </c>
      <c r="N259">
        <f>IF(Table1[[#This Row],[side]]="BUY", Table1[[#This Row],[quantity]],-Table1[[#This Row],[quantity]])</f>
        <v>-316</v>
      </c>
      <c r="O259" t="s">
        <v>171</v>
      </c>
      <c r="P259">
        <f>IF(Table1[[#This Row],[side]]="Sell",Table1[[#This Row],[price]],"0")</f>
        <v>260.02</v>
      </c>
      <c r="Q259">
        <f>SUMIFS(Table1[quantity],Table1[company_id],Table8[[#This Row],[COMPANY_ID]],Table1[side],"BUY")-SUMIFS(Table1[quantity],Table1[company_id],Table8[[#This Row],[COMPANY_ID]],Table1[side],"SELL")</f>
        <v>0</v>
      </c>
      <c r="R259">
        <f>Table1[[#This Row],[Column2]]-Table1[[#This Row],[Buy-sell]]</f>
        <v>260.02</v>
      </c>
      <c r="S259" t="str">
        <f>IF(Table1[[#This Row],[Sell-Buy]]&gt;0,"Profit","Loss")</f>
        <v>Profit</v>
      </c>
      <c r="T259" s="5" t="s">
        <v>561</v>
      </c>
      <c r="U259" s="8">
        <f>SUMIFS(Table1[price],Table1[order_id],Table15[[#This Row],[order_id]],Table1[side],"BUY")*Table15[[#This Row],[Buy_Quantity]]</f>
        <v>859909.6</v>
      </c>
      <c r="V259" s="8">
        <f>SUMIFS(Table1[price],Table1[order_id],Table15[[#This Row],[order_id]],Table1[side],"SELL")</f>
        <v>0</v>
      </c>
      <c r="W259" s="8">
        <f>Table15[[#This Row],[sell]]-Table15[[#This Row],[Buy]]</f>
        <v>-756720448</v>
      </c>
      <c r="X259" s="8">
        <f>IF(Table15[[#This Row],[Profit]]&gt;0,1,0)</f>
        <v>0</v>
      </c>
      <c r="Y259" s="5" t="str">
        <f>IF(Table15[[#This Row],[is Profit]]=1,"Profit","Loss")</f>
        <v>Loss</v>
      </c>
      <c r="Z259" s="5">
        <f>SUMIFS(Table1[quantity],Table1[order_id],Table15[[#This Row],[order_id]],Table1[side],"SELL")</f>
        <v>0</v>
      </c>
      <c r="AA259" s="5">
        <f>Table15[[#This Row],[Buy_value]]*Table15[[#This Row],[Buy_Quantity]]</f>
        <v>756720448</v>
      </c>
      <c r="AB259" s="5">
        <f>Table15[[#This Row],[Sell_Value]]*Table15[[#This Row],[Sell_Quantity]]</f>
        <v>0</v>
      </c>
      <c r="AC259" s="5">
        <f>SUMIFS(Table1[quantity],Table1[order_id],Table15[[#This Row],[order_id]],Table1[side],"BUY")</f>
        <v>880</v>
      </c>
      <c r="AE259" s="10" t="s">
        <v>878</v>
      </c>
      <c r="AF259" s="10" t="str">
        <f>IF(Table1[[#This Row],[Sell-Buy]]&gt;0,"Profit","Loss")</f>
        <v>Profit</v>
      </c>
      <c r="AG259">
        <f>Table1[[#This Row],[Column2]]-Table1[[#This Row],[Buy-sell]]</f>
        <v>260.02</v>
      </c>
    </row>
    <row r="260" spans="1:33" x14ac:dyDescent="0.3">
      <c r="A260" t="s">
        <v>818</v>
      </c>
      <c r="B260" t="s">
        <v>521</v>
      </c>
      <c r="C260" s="1">
        <v>45728</v>
      </c>
      <c r="D260" t="s">
        <v>22</v>
      </c>
      <c r="E260" t="s">
        <v>171</v>
      </c>
      <c r="F260">
        <v>275</v>
      </c>
      <c r="G260">
        <v>249.85</v>
      </c>
      <c r="H260">
        <v>34.35</v>
      </c>
      <c r="I260" t="s">
        <v>97</v>
      </c>
      <c r="J260" t="s">
        <v>73</v>
      </c>
      <c r="L260" s="1">
        <v>45672</v>
      </c>
      <c r="N260">
        <f>IF(Table1[[#This Row],[side]]="BUY", Table1[[#This Row],[quantity]],-Table1[[#This Row],[quantity]])</f>
        <v>-275</v>
      </c>
      <c r="O260" t="s">
        <v>171</v>
      </c>
      <c r="P260">
        <f>IF(Table1[[#This Row],[side]]="Sell",Table1[[#This Row],[price]],"0")</f>
        <v>249.85</v>
      </c>
      <c r="Q260">
        <f>SUMIFS(Table1[quantity],Table1[company_id],Table8[[#This Row],[COMPANY_ID]],Table1[side],"BUY")-SUMIFS(Table1[quantity],Table1[company_id],Table8[[#This Row],[COMPANY_ID]],Table1[side],"SELL")</f>
        <v>0</v>
      </c>
      <c r="R260">
        <f>Table1[[#This Row],[Column2]]-Table1[[#This Row],[Buy-sell]]</f>
        <v>249.85</v>
      </c>
      <c r="S260" t="str">
        <f>IF(Table1[[#This Row],[Sell-Buy]]&gt;0,"Profit","Loss")</f>
        <v>Profit</v>
      </c>
      <c r="T260" s="4" t="s">
        <v>562</v>
      </c>
      <c r="U260" s="8">
        <f>SUMIFS(Table1[price],Table1[order_id],Table15[[#This Row],[order_id]],Table1[side],"BUY")*Table15[[#This Row],[Buy_Quantity]]</f>
        <v>0</v>
      </c>
      <c r="V260" s="8">
        <f>SUMIFS(Table1[price],Table1[order_id],Table15[[#This Row],[order_id]],Table1[side],"SELL")</f>
        <v>235.23</v>
      </c>
      <c r="W260" s="8">
        <f>Table15[[#This Row],[sell]]-Table15[[#This Row],[Buy]]</f>
        <v>192653.37</v>
      </c>
      <c r="X260" s="8">
        <f>IF(Table15[[#This Row],[Profit]]&gt;0,1,0)</f>
        <v>1</v>
      </c>
      <c r="Y260" s="5" t="str">
        <f>IF(Table15[[#This Row],[is Profit]]=1,"Profit","Loss")</f>
        <v>Profit</v>
      </c>
      <c r="Z260" s="5">
        <f>SUMIFS(Table1[quantity],Table1[order_id],Table15[[#This Row],[order_id]],Table1[side],"SELL")</f>
        <v>819</v>
      </c>
      <c r="AA260" s="5">
        <f>Table15[[#This Row],[Buy_value]]*Table15[[#This Row],[Buy_Quantity]]</f>
        <v>0</v>
      </c>
      <c r="AB260" s="5">
        <f>Table15[[#This Row],[Sell_Value]]*Table15[[#This Row],[Sell_Quantity]]</f>
        <v>192653.37</v>
      </c>
      <c r="AC260" s="5">
        <f>SUMIFS(Table1[quantity],Table1[order_id],Table15[[#This Row],[order_id]],Table1[side],"BUY")</f>
        <v>0</v>
      </c>
      <c r="AE260" s="9" t="s">
        <v>741</v>
      </c>
      <c r="AF260" s="10" t="str">
        <f>IF(Table1[[#This Row],[Sell-Buy]]&gt;0,"Profit","Loss")</f>
        <v>Profit</v>
      </c>
      <c r="AG260">
        <f>Table1[[#This Row],[Column2]]-Table1[[#This Row],[Buy-sell]]</f>
        <v>249.85</v>
      </c>
    </row>
    <row r="261" spans="1:33" x14ac:dyDescent="0.3">
      <c r="A261" t="s">
        <v>820</v>
      </c>
      <c r="B261" t="s">
        <v>587</v>
      </c>
      <c r="C261" s="1">
        <v>45701.025694444441</v>
      </c>
      <c r="D261" t="s">
        <v>22</v>
      </c>
      <c r="E261" t="s">
        <v>171</v>
      </c>
      <c r="F261">
        <v>755</v>
      </c>
      <c r="G261">
        <v>232.66</v>
      </c>
      <c r="H261">
        <v>87.83</v>
      </c>
      <c r="I261" t="s">
        <v>142</v>
      </c>
      <c r="J261" t="s">
        <v>61</v>
      </c>
      <c r="L261" s="1">
        <v>45799</v>
      </c>
      <c r="N261">
        <f>IF(Table1[[#This Row],[side]]="BUY", Table1[[#This Row],[quantity]],-Table1[[#This Row],[quantity]])</f>
        <v>-755</v>
      </c>
      <c r="O261" t="s">
        <v>171</v>
      </c>
      <c r="P261">
        <f>IF(Table1[[#This Row],[side]]="Sell",Table1[[#This Row],[price]],"0")</f>
        <v>232.66</v>
      </c>
      <c r="Q261">
        <f>SUMIFS(Table1[quantity],Table1[company_id],Table8[[#This Row],[COMPANY_ID]],Table1[side],"BUY")-SUMIFS(Table1[quantity],Table1[company_id],Table8[[#This Row],[COMPANY_ID]],Table1[side],"SELL")</f>
        <v>0</v>
      </c>
      <c r="R261">
        <f>Table1[[#This Row],[Column2]]-Table1[[#This Row],[Buy-sell]]</f>
        <v>232.66</v>
      </c>
      <c r="S261" t="str">
        <f>IF(Table1[[#This Row],[Sell-Buy]]&gt;0,"Profit","Loss")</f>
        <v>Profit</v>
      </c>
      <c r="T261" s="4" t="s">
        <v>565</v>
      </c>
      <c r="U261" s="8">
        <f>SUMIFS(Table1[price],Table1[order_id],Table15[[#This Row],[order_id]],Table1[side],"BUY")*Table15[[#This Row],[Buy_Quantity]]</f>
        <v>124194</v>
      </c>
      <c r="V261" s="8">
        <f>SUMIFS(Table1[price],Table1[order_id],Table15[[#This Row],[order_id]],Table1[side],"SELL")</f>
        <v>0</v>
      </c>
      <c r="W261" s="8">
        <f>Table15[[#This Row],[sell]]-Table15[[#This Row],[Buy]]</f>
        <v>-65201850</v>
      </c>
      <c r="X261" s="8">
        <f>IF(Table15[[#This Row],[Profit]]&gt;0,1,0)</f>
        <v>0</v>
      </c>
      <c r="Y261" s="5" t="str">
        <f>IF(Table15[[#This Row],[is Profit]]=1,"Profit","Loss")</f>
        <v>Loss</v>
      </c>
      <c r="Z261" s="5">
        <f>SUMIFS(Table1[quantity],Table1[order_id],Table15[[#This Row],[order_id]],Table1[side],"SELL")</f>
        <v>0</v>
      </c>
      <c r="AA261" s="5">
        <f>Table15[[#This Row],[Buy_value]]*Table15[[#This Row],[Buy_Quantity]]</f>
        <v>65201850</v>
      </c>
      <c r="AB261" s="5">
        <f>Table15[[#This Row],[Sell_Value]]*Table15[[#This Row],[Sell_Quantity]]</f>
        <v>0</v>
      </c>
      <c r="AC261" s="5">
        <f>SUMIFS(Table1[quantity],Table1[order_id],Table15[[#This Row],[order_id]],Table1[side],"BUY")</f>
        <v>525</v>
      </c>
      <c r="AE261" s="10" t="s">
        <v>865</v>
      </c>
      <c r="AF261" s="10" t="str">
        <f>IF(Table1[[#This Row],[Sell-Buy]]&gt;0,"Profit","Loss")</f>
        <v>Profit</v>
      </c>
      <c r="AG261">
        <f>Table1[[#This Row],[Column2]]-Table1[[#This Row],[Buy-sell]]</f>
        <v>232.66</v>
      </c>
    </row>
    <row r="262" spans="1:33" x14ac:dyDescent="0.3">
      <c r="A262" t="s">
        <v>769</v>
      </c>
      <c r="B262" t="s">
        <v>657</v>
      </c>
      <c r="C262" s="1">
        <v>45687.023611111108</v>
      </c>
      <c r="D262" t="s">
        <v>22</v>
      </c>
      <c r="E262" t="s">
        <v>166</v>
      </c>
      <c r="F262">
        <v>683</v>
      </c>
      <c r="G262">
        <v>233.99</v>
      </c>
      <c r="H262">
        <v>79.91</v>
      </c>
      <c r="I262" t="s">
        <v>126</v>
      </c>
      <c r="J262" t="s">
        <v>61</v>
      </c>
      <c r="L262" s="1">
        <v>45691</v>
      </c>
      <c r="M262" t="s">
        <v>166</v>
      </c>
      <c r="N262">
        <f>IF(Table1[[#This Row],[side]]="BUY", Table1[[#This Row],[quantity]],-Table1[[#This Row],[quantity]])</f>
        <v>683</v>
      </c>
      <c r="P262" t="str">
        <f>IF(Table1[[#This Row],[side]]="Sell",Table1[[#This Row],[price]],"0")</f>
        <v>0</v>
      </c>
      <c r="Q262">
        <f>SUMIFS(Table1[quantity],Table1[company_id],Table8[[#This Row],[COMPANY_ID]],Table1[side],"BUY")-SUMIFS(Table1[quantity],Table1[company_id],Table8[[#This Row],[COMPANY_ID]],Table1[side],"SELL")</f>
        <v>0</v>
      </c>
      <c r="R262">
        <f>Table1[[#This Row],[Column2]]-Table1[[#This Row],[Buy-sell]]</f>
        <v>0</v>
      </c>
      <c r="S262" t="str">
        <f>IF(Table1[[#This Row],[Sell-Buy]]&gt;0,"Profit","Loss")</f>
        <v>Loss</v>
      </c>
      <c r="T262" s="4" t="s">
        <v>566</v>
      </c>
      <c r="U262" s="8">
        <f>SUMIFS(Table1[price],Table1[order_id],Table15[[#This Row],[order_id]],Table1[side],"BUY")*Table15[[#This Row],[Buy_Quantity]]</f>
        <v>31688.55</v>
      </c>
      <c r="V262" s="8">
        <f>SUMIFS(Table1[price],Table1[order_id],Table15[[#This Row],[order_id]],Table1[side],"SELL")</f>
        <v>626.77</v>
      </c>
      <c r="W262" s="8">
        <f>Table15[[#This Row],[sell]]-Table15[[#This Row],[Buy]]</f>
        <v>-4022858.86</v>
      </c>
      <c r="X262" s="8">
        <f>IF(Table15[[#This Row],[Profit]]&gt;0,1,0)</f>
        <v>0</v>
      </c>
      <c r="Y262" s="5" t="str">
        <f>IF(Table15[[#This Row],[is Profit]]=1,"Profit","Loss")</f>
        <v>Loss</v>
      </c>
      <c r="Z262" s="5">
        <f>SUMIFS(Table1[quantity],Table1[order_id],Table15[[#This Row],[order_id]],Table1[side],"SELL")</f>
        <v>407</v>
      </c>
      <c r="AA262" s="5">
        <f>Table15[[#This Row],[Buy_value]]*Table15[[#This Row],[Buy_Quantity]]</f>
        <v>4277954.25</v>
      </c>
      <c r="AB262" s="5">
        <f>Table15[[#This Row],[Sell_Value]]*Table15[[#This Row],[Sell_Quantity]]</f>
        <v>255095.38999999998</v>
      </c>
      <c r="AC262" s="5">
        <f>SUMIFS(Table1[quantity],Table1[order_id],Table15[[#This Row],[order_id]],Table1[side],"BUY")</f>
        <v>135</v>
      </c>
      <c r="AE262" s="9" t="s">
        <v>953</v>
      </c>
      <c r="AF262" s="10" t="str">
        <f>IF(Table1[[#This Row],[Sell-Buy]]&gt;0,"Profit","Loss")</f>
        <v>Loss</v>
      </c>
      <c r="AG262">
        <f>Table1[[#This Row],[Column2]]-Table1[[#This Row],[Buy-sell]]</f>
        <v>0</v>
      </c>
    </row>
    <row r="263" spans="1:33" x14ac:dyDescent="0.3">
      <c r="A263" t="s">
        <v>851</v>
      </c>
      <c r="B263" t="s">
        <v>213</v>
      </c>
      <c r="C263" s="1">
        <v>45765.018055555556</v>
      </c>
      <c r="D263" t="s">
        <v>22</v>
      </c>
      <c r="E263" t="s">
        <v>171</v>
      </c>
      <c r="F263">
        <v>618</v>
      </c>
      <c r="G263">
        <v>257.04000000000002</v>
      </c>
      <c r="H263">
        <v>79.430000000000007</v>
      </c>
      <c r="I263" t="s">
        <v>150</v>
      </c>
      <c r="J263" t="s">
        <v>67</v>
      </c>
      <c r="L263" s="1">
        <v>45762</v>
      </c>
      <c r="N263">
        <f>IF(Table1[[#This Row],[side]]="BUY", Table1[[#This Row],[quantity]],-Table1[[#This Row],[quantity]])</f>
        <v>-618</v>
      </c>
      <c r="O263" t="s">
        <v>171</v>
      </c>
      <c r="P263">
        <f>IF(Table1[[#This Row],[side]]="Sell",Table1[[#This Row],[price]],"0")</f>
        <v>257.04000000000002</v>
      </c>
      <c r="Q263">
        <f>SUMIFS(Table1[quantity],Table1[company_id],Table8[[#This Row],[COMPANY_ID]],Table1[side],"BUY")-SUMIFS(Table1[quantity],Table1[company_id],Table8[[#This Row],[COMPANY_ID]],Table1[side],"SELL")</f>
        <v>0</v>
      </c>
      <c r="R263">
        <f>Table1[[#This Row],[Column2]]-Table1[[#This Row],[Buy-sell]]</f>
        <v>257.04000000000002</v>
      </c>
      <c r="S263" t="str">
        <f>IF(Table1[[#This Row],[Sell-Buy]]&gt;0,"Profit","Loss")</f>
        <v>Profit</v>
      </c>
      <c r="T263" s="4" t="s">
        <v>567</v>
      </c>
      <c r="U263" s="8">
        <f>SUMIFS(Table1[price],Table1[order_id],Table15[[#This Row],[order_id]],Table1[side],"BUY")*Table15[[#This Row],[Buy_Quantity]]</f>
        <v>439120.98</v>
      </c>
      <c r="V263" s="8">
        <f>SUMIFS(Table1[price],Table1[order_id],Table15[[#This Row],[order_id]],Table1[side],"SELL")</f>
        <v>0</v>
      </c>
      <c r="W263" s="8">
        <f>Table15[[#This Row],[sell]]-Table15[[#This Row],[Buy]]</f>
        <v>-354370630.86000001</v>
      </c>
      <c r="X263" s="8">
        <f>IF(Table15[[#This Row],[Profit]]&gt;0,1,0)</f>
        <v>0</v>
      </c>
      <c r="Y263" s="5" t="str">
        <f>IF(Table15[[#This Row],[is Profit]]=1,"Profit","Loss")</f>
        <v>Loss</v>
      </c>
      <c r="Z263" s="5">
        <f>SUMIFS(Table1[quantity],Table1[order_id],Table15[[#This Row],[order_id]],Table1[side],"SELL")</f>
        <v>0</v>
      </c>
      <c r="AA263" s="5">
        <f>Table15[[#This Row],[Buy_value]]*Table15[[#This Row],[Buy_Quantity]]</f>
        <v>354370630.86000001</v>
      </c>
      <c r="AB263" s="5">
        <f>Table15[[#This Row],[Sell_Value]]*Table15[[#This Row],[Sell_Quantity]]</f>
        <v>0</v>
      </c>
      <c r="AC263" s="5">
        <f>SUMIFS(Table1[quantity],Table1[order_id],Table15[[#This Row],[order_id]],Table1[side],"BUY")</f>
        <v>807</v>
      </c>
      <c r="AE263" s="10" t="s">
        <v>748</v>
      </c>
      <c r="AF263" s="10" t="str">
        <f>IF(Table1[[#This Row],[Sell-Buy]]&gt;0,"Profit","Loss")</f>
        <v>Profit</v>
      </c>
      <c r="AG263">
        <f>Table1[[#This Row],[Column2]]-Table1[[#This Row],[Buy-sell]]</f>
        <v>257.04000000000002</v>
      </c>
    </row>
    <row r="264" spans="1:33" x14ac:dyDescent="0.3">
      <c r="A264" t="s">
        <v>858</v>
      </c>
      <c r="B264" t="s">
        <v>488</v>
      </c>
      <c r="C264" s="1">
        <v>45744.040972222225</v>
      </c>
      <c r="D264" t="s">
        <v>22</v>
      </c>
      <c r="E264" t="s">
        <v>171</v>
      </c>
      <c r="F264">
        <v>583</v>
      </c>
      <c r="G264">
        <v>244.47</v>
      </c>
      <c r="H264">
        <v>71.260000000000005</v>
      </c>
      <c r="I264" t="s">
        <v>144</v>
      </c>
      <c r="J264" t="s">
        <v>70</v>
      </c>
      <c r="L264" s="1">
        <v>45688</v>
      </c>
      <c r="N264">
        <f>IF(Table1[[#This Row],[side]]="BUY", Table1[[#This Row],[quantity]],-Table1[[#This Row],[quantity]])</f>
        <v>-583</v>
      </c>
      <c r="O264" t="s">
        <v>171</v>
      </c>
      <c r="P264">
        <f>IF(Table1[[#This Row],[side]]="Sell",Table1[[#This Row],[price]],"0")</f>
        <v>244.47</v>
      </c>
      <c r="Q264">
        <f>SUMIFS(Table1[quantity],Table1[company_id],Table8[[#This Row],[COMPANY_ID]],Table1[side],"BUY")-SUMIFS(Table1[quantity],Table1[company_id],Table8[[#This Row],[COMPANY_ID]],Table1[side],"SELL")</f>
        <v>0</v>
      </c>
      <c r="R264">
        <f>Table1[[#This Row],[Column2]]-Table1[[#This Row],[Buy-sell]]</f>
        <v>244.47</v>
      </c>
      <c r="S264" t="str">
        <f>IF(Table1[[#This Row],[Sell-Buy]]&gt;0,"Profit","Loss")</f>
        <v>Profit</v>
      </c>
      <c r="T264" s="4" t="s">
        <v>569</v>
      </c>
      <c r="U264" s="8">
        <f>SUMIFS(Table1[price],Table1[order_id],Table15[[#This Row],[order_id]],Table1[side],"BUY")*Table15[[#This Row],[Buy_Quantity]]</f>
        <v>0</v>
      </c>
      <c r="V264" s="8">
        <f>SUMIFS(Table1[price],Table1[order_id],Table15[[#This Row],[order_id]],Table1[side],"SELL")</f>
        <v>2901.13</v>
      </c>
      <c r="W264" s="8">
        <f>Table15[[#This Row],[sell]]-Table15[[#This Row],[Buy]]</f>
        <v>1984372.9200000002</v>
      </c>
      <c r="X264" s="8">
        <f>IF(Table15[[#This Row],[Profit]]&gt;0,1,0)</f>
        <v>1</v>
      </c>
      <c r="Y264" s="5" t="str">
        <f>IF(Table15[[#This Row],[is Profit]]=1,"Profit","Loss")</f>
        <v>Profit</v>
      </c>
      <c r="Z264" s="5">
        <f>SUMIFS(Table1[quantity],Table1[order_id],Table15[[#This Row],[order_id]],Table1[side],"SELL")</f>
        <v>684</v>
      </c>
      <c r="AA264" s="5">
        <f>Table15[[#This Row],[Buy_value]]*Table15[[#This Row],[Buy_Quantity]]</f>
        <v>0</v>
      </c>
      <c r="AB264" s="5">
        <f>Table15[[#This Row],[Sell_Value]]*Table15[[#This Row],[Sell_Quantity]]</f>
        <v>1984372.9200000002</v>
      </c>
      <c r="AC264" s="5">
        <f>SUMIFS(Table1[quantity],Table1[order_id],Table15[[#This Row],[order_id]],Table1[side],"BUY")</f>
        <v>0</v>
      </c>
      <c r="AE264" s="9" t="s">
        <v>996</v>
      </c>
      <c r="AF264" s="10" t="str">
        <f>IF(Table1[[#This Row],[Sell-Buy]]&gt;0,"Profit","Loss")</f>
        <v>Profit</v>
      </c>
      <c r="AG264">
        <f>Table1[[#This Row],[Column2]]-Table1[[#This Row],[Buy-sell]]</f>
        <v>244.47</v>
      </c>
    </row>
    <row r="265" spans="1:33" x14ac:dyDescent="0.3">
      <c r="A265" t="s">
        <v>778</v>
      </c>
      <c r="B265" t="s">
        <v>182</v>
      </c>
      <c r="C265" s="1">
        <v>45699.027777777781</v>
      </c>
      <c r="D265" t="s">
        <v>22</v>
      </c>
      <c r="E265" t="s">
        <v>166</v>
      </c>
      <c r="F265">
        <v>998</v>
      </c>
      <c r="G265">
        <v>229.44</v>
      </c>
      <c r="H265">
        <v>114.49</v>
      </c>
      <c r="I265" t="s">
        <v>88</v>
      </c>
      <c r="J265" t="s">
        <v>55</v>
      </c>
      <c r="L265" s="1">
        <v>45833</v>
      </c>
      <c r="M265" t="s">
        <v>166</v>
      </c>
      <c r="N265">
        <f>IF(Table1[[#This Row],[side]]="BUY", Table1[[#This Row],[quantity]],-Table1[[#This Row],[quantity]])</f>
        <v>998</v>
      </c>
      <c r="P265" t="str">
        <f>IF(Table1[[#This Row],[side]]="Sell",Table1[[#This Row],[price]],"0")</f>
        <v>0</v>
      </c>
      <c r="Q265">
        <f>SUMIFS(Table1[quantity],Table1[company_id],Table8[[#This Row],[COMPANY_ID]],Table1[side],"BUY")-SUMIFS(Table1[quantity],Table1[company_id],Table8[[#This Row],[COMPANY_ID]],Table1[side],"SELL")</f>
        <v>0</v>
      </c>
      <c r="R265">
        <f>Table1[[#This Row],[Column2]]-Table1[[#This Row],[Buy-sell]]</f>
        <v>0</v>
      </c>
      <c r="S265" t="str">
        <f>IF(Table1[[#This Row],[Sell-Buy]]&gt;0,"Profit","Loss")</f>
        <v>Loss</v>
      </c>
      <c r="T265" s="4" t="s">
        <v>570</v>
      </c>
      <c r="U265" s="8">
        <f>SUMIFS(Table1[price],Table1[order_id],Table15[[#This Row],[order_id]],Table1[side],"BUY")*Table15[[#This Row],[Buy_Quantity]]</f>
        <v>0</v>
      </c>
      <c r="V265" s="8">
        <f>SUMIFS(Table1[price],Table1[order_id],Table15[[#This Row],[order_id]],Table1[side],"SELL")</f>
        <v>1468.96</v>
      </c>
      <c r="W265" s="8">
        <f>Table15[[#This Row],[sell]]-Table15[[#This Row],[Buy]]</f>
        <v>544984.16</v>
      </c>
      <c r="X265" s="8">
        <f>IF(Table15[[#This Row],[Profit]]&gt;0,1,0)</f>
        <v>1</v>
      </c>
      <c r="Y265" s="5" t="str">
        <f>IF(Table15[[#This Row],[is Profit]]=1,"Profit","Loss")</f>
        <v>Profit</v>
      </c>
      <c r="Z265" s="5">
        <f>SUMIFS(Table1[quantity],Table1[order_id],Table15[[#This Row],[order_id]],Table1[side],"SELL")</f>
        <v>371</v>
      </c>
      <c r="AA265" s="5">
        <f>Table15[[#This Row],[Buy_value]]*Table15[[#This Row],[Buy_Quantity]]</f>
        <v>0</v>
      </c>
      <c r="AB265" s="5">
        <f>Table15[[#This Row],[Sell_Value]]*Table15[[#This Row],[Sell_Quantity]]</f>
        <v>544984.16</v>
      </c>
      <c r="AC265" s="5">
        <f>SUMIFS(Table1[quantity],Table1[order_id],Table15[[#This Row],[order_id]],Table1[side],"BUY")</f>
        <v>0</v>
      </c>
      <c r="AE265" s="10" t="s">
        <v>699</v>
      </c>
      <c r="AF265" s="10" t="str">
        <f>IF(Table1[[#This Row],[Sell-Buy]]&gt;0,"Profit","Loss")</f>
        <v>Loss</v>
      </c>
      <c r="AG265">
        <f>Table1[[#This Row],[Column2]]-Table1[[#This Row],[Buy-sell]]</f>
        <v>0</v>
      </c>
    </row>
    <row r="266" spans="1:33" x14ac:dyDescent="0.3">
      <c r="A266" t="s">
        <v>791</v>
      </c>
      <c r="B266" t="s">
        <v>208</v>
      </c>
      <c r="C266" s="1">
        <v>45834.023611111108</v>
      </c>
      <c r="D266" t="s">
        <v>22</v>
      </c>
      <c r="E266" t="s">
        <v>166</v>
      </c>
      <c r="F266">
        <v>301</v>
      </c>
      <c r="G266">
        <v>254.6</v>
      </c>
      <c r="H266">
        <v>38.32</v>
      </c>
      <c r="I266" t="s">
        <v>102</v>
      </c>
      <c r="J266" t="s">
        <v>70</v>
      </c>
      <c r="L266" s="1">
        <v>45665</v>
      </c>
      <c r="M266" t="s">
        <v>166</v>
      </c>
      <c r="N266">
        <f>IF(Table1[[#This Row],[side]]="BUY", Table1[[#This Row],[quantity]],-Table1[[#This Row],[quantity]])</f>
        <v>301</v>
      </c>
      <c r="P266" t="str">
        <f>IF(Table1[[#This Row],[side]]="Sell",Table1[[#This Row],[price]],"0")</f>
        <v>0</v>
      </c>
      <c r="Q266">
        <f>SUMIFS(Table1[quantity],Table1[company_id],Table8[[#This Row],[COMPANY_ID]],Table1[side],"BUY")-SUMIFS(Table1[quantity],Table1[company_id],Table8[[#This Row],[COMPANY_ID]],Table1[side],"SELL")</f>
        <v>0</v>
      </c>
      <c r="R266">
        <f>Table1[[#This Row],[Column2]]-Table1[[#This Row],[Buy-sell]]</f>
        <v>0</v>
      </c>
      <c r="S266" t="str">
        <f>IF(Table1[[#This Row],[Sell-Buy]]&gt;0,"Profit","Loss")</f>
        <v>Loss</v>
      </c>
      <c r="T266" s="5" t="s">
        <v>572</v>
      </c>
      <c r="U266" s="8">
        <f>SUMIFS(Table1[price],Table1[order_id],Table15[[#This Row],[order_id]],Table1[side],"BUY")*Table15[[#This Row],[Buy_Quantity]]</f>
        <v>141475.51999999999</v>
      </c>
      <c r="V266" s="8">
        <f>SUMIFS(Table1[price],Table1[order_id],Table15[[#This Row],[order_id]],Table1[side],"SELL")</f>
        <v>0</v>
      </c>
      <c r="W266" s="8">
        <f>Table15[[#This Row],[sell]]-Table15[[#This Row],[Buy]]</f>
        <v>-86017116.159999996</v>
      </c>
      <c r="X266" s="8">
        <f>IF(Table15[[#This Row],[Profit]]&gt;0,1,0)</f>
        <v>0</v>
      </c>
      <c r="Y266" s="5" t="str">
        <f>IF(Table15[[#This Row],[is Profit]]=1,"Profit","Loss")</f>
        <v>Loss</v>
      </c>
      <c r="Z266" s="5">
        <f>SUMIFS(Table1[quantity],Table1[order_id],Table15[[#This Row],[order_id]],Table1[side],"SELL")</f>
        <v>0</v>
      </c>
      <c r="AA266" s="5">
        <f>Table15[[#This Row],[Buy_value]]*Table15[[#This Row],[Buy_Quantity]]</f>
        <v>86017116.159999996</v>
      </c>
      <c r="AB266" s="5">
        <f>Table15[[#This Row],[Sell_Value]]*Table15[[#This Row],[Sell_Quantity]]</f>
        <v>0</v>
      </c>
      <c r="AC266" s="5">
        <f>SUMIFS(Table1[quantity],Table1[order_id],Table15[[#This Row],[order_id]],Table1[side],"BUY")</f>
        <v>608</v>
      </c>
      <c r="AE266" s="9" t="s">
        <v>1139</v>
      </c>
      <c r="AF266" s="10" t="str">
        <f>IF(Table1[[#This Row],[Sell-Buy]]&gt;0,"Profit","Loss")</f>
        <v>Loss</v>
      </c>
      <c r="AG266">
        <f>Table1[[#This Row],[Column2]]-Table1[[#This Row],[Buy-sell]]</f>
        <v>0</v>
      </c>
    </row>
    <row r="267" spans="1:33" x14ac:dyDescent="0.3">
      <c r="A267" t="s">
        <v>881</v>
      </c>
      <c r="B267" t="s">
        <v>491</v>
      </c>
      <c r="C267" s="1">
        <v>45712.020138888889</v>
      </c>
      <c r="D267" t="s">
        <v>22</v>
      </c>
      <c r="E267" t="s">
        <v>171</v>
      </c>
      <c r="F267">
        <v>666</v>
      </c>
      <c r="G267">
        <v>230.82</v>
      </c>
      <c r="H267">
        <v>76.86</v>
      </c>
      <c r="I267" t="s">
        <v>106</v>
      </c>
      <c r="J267" t="s">
        <v>58</v>
      </c>
      <c r="L267" s="1">
        <v>45705</v>
      </c>
      <c r="N267">
        <f>IF(Table1[[#This Row],[side]]="BUY", Table1[[#This Row],[quantity]],-Table1[[#This Row],[quantity]])</f>
        <v>-666</v>
      </c>
      <c r="O267" t="s">
        <v>171</v>
      </c>
      <c r="P267">
        <f>IF(Table1[[#This Row],[side]]="Sell",Table1[[#This Row],[price]],"0")</f>
        <v>230.82</v>
      </c>
      <c r="Q267">
        <f>SUMIFS(Table1[quantity],Table1[company_id],Table8[[#This Row],[COMPANY_ID]],Table1[side],"BUY")-SUMIFS(Table1[quantity],Table1[company_id],Table8[[#This Row],[COMPANY_ID]],Table1[side],"SELL")</f>
        <v>0</v>
      </c>
      <c r="R267">
        <f>Table1[[#This Row],[Column2]]-Table1[[#This Row],[Buy-sell]]</f>
        <v>230.82</v>
      </c>
      <c r="S267" t="str">
        <f>IF(Table1[[#This Row],[Sell-Buy]]&gt;0,"Profit","Loss")</f>
        <v>Profit</v>
      </c>
      <c r="T267" s="4" t="s">
        <v>573</v>
      </c>
      <c r="U267" s="8">
        <f>SUMIFS(Table1[price],Table1[order_id],Table15[[#This Row],[order_id]],Table1[side],"BUY")*Table15[[#This Row],[Buy_Quantity]]</f>
        <v>0</v>
      </c>
      <c r="V267" s="8">
        <f>SUMIFS(Table1[price],Table1[order_id],Table15[[#This Row],[order_id]],Table1[side],"SELL")</f>
        <v>1196.23</v>
      </c>
      <c r="W267" s="8">
        <f>Table15[[#This Row],[sell]]-Table15[[#This Row],[Buy]]</f>
        <v>868462.98</v>
      </c>
      <c r="X267" s="8">
        <f>IF(Table15[[#This Row],[Profit]]&gt;0,1,0)</f>
        <v>1</v>
      </c>
      <c r="Y267" s="5" t="str">
        <f>IF(Table15[[#This Row],[is Profit]]=1,"Profit","Loss")</f>
        <v>Profit</v>
      </c>
      <c r="Z267" s="5">
        <f>SUMIFS(Table1[quantity],Table1[order_id],Table15[[#This Row],[order_id]],Table1[side],"SELL")</f>
        <v>726</v>
      </c>
      <c r="AA267" s="5">
        <f>Table15[[#This Row],[Buy_value]]*Table15[[#This Row],[Buy_Quantity]]</f>
        <v>0</v>
      </c>
      <c r="AB267" s="5">
        <f>Table15[[#This Row],[Sell_Value]]*Table15[[#This Row],[Sell_Quantity]]</f>
        <v>868462.98</v>
      </c>
      <c r="AC267" s="5">
        <f>SUMIFS(Table1[quantity],Table1[order_id],Table15[[#This Row],[order_id]],Table1[side],"BUY")</f>
        <v>0</v>
      </c>
      <c r="AE267" s="10" t="s">
        <v>919</v>
      </c>
      <c r="AF267" s="10" t="str">
        <f>IF(Table1[[#This Row],[Sell-Buy]]&gt;0,"Profit","Loss")</f>
        <v>Profit</v>
      </c>
      <c r="AG267">
        <f>Table1[[#This Row],[Column2]]-Table1[[#This Row],[Buy-sell]]</f>
        <v>230.82</v>
      </c>
    </row>
    <row r="268" spans="1:33" x14ac:dyDescent="0.3">
      <c r="A268" t="s">
        <v>799</v>
      </c>
      <c r="B268" t="s">
        <v>355</v>
      </c>
      <c r="C268" s="1">
        <v>45744.020138888889</v>
      </c>
      <c r="D268" t="s">
        <v>22</v>
      </c>
      <c r="E268" t="s">
        <v>166</v>
      </c>
      <c r="F268">
        <v>652</v>
      </c>
      <c r="G268">
        <v>243.97</v>
      </c>
      <c r="H268">
        <v>79.53</v>
      </c>
      <c r="I268" t="s">
        <v>124</v>
      </c>
      <c r="J268" t="s">
        <v>52</v>
      </c>
      <c r="L268" s="1">
        <v>45664</v>
      </c>
      <c r="M268" t="s">
        <v>166</v>
      </c>
      <c r="N268">
        <f>IF(Table1[[#This Row],[side]]="BUY", Table1[[#This Row],[quantity]],-Table1[[#This Row],[quantity]])</f>
        <v>652</v>
      </c>
      <c r="P268" t="str">
        <f>IF(Table1[[#This Row],[side]]="Sell",Table1[[#This Row],[price]],"0")</f>
        <v>0</v>
      </c>
      <c r="Q268">
        <f>SUMIFS(Table1[quantity],Table1[company_id],Table8[[#This Row],[COMPANY_ID]],Table1[side],"BUY")-SUMIFS(Table1[quantity],Table1[company_id],Table8[[#This Row],[COMPANY_ID]],Table1[side],"SELL")</f>
        <v>0</v>
      </c>
      <c r="R268">
        <f>Table1[[#This Row],[Column2]]-Table1[[#This Row],[Buy-sell]]</f>
        <v>0</v>
      </c>
      <c r="S268" t="str">
        <f>IF(Table1[[#This Row],[Sell-Buy]]&gt;0,"Profit","Loss")</f>
        <v>Loss</v>
      </c>
      <c r="T268" s="4" t="s">
        <v>575</v>
      </c>
      <c r="U268" s="8">
        <f>SUMIFS(Table1[price],Table1[order_id],Table15[[#This Row],[order_id]],Table1[side],"BUY")*Table15[[#This Row],[Buy_Quantity]]</f>
        <v>330758.08</v>
      </c>
      <c r="V268" s="8">
        <f>SUMIFS(Table1[price],Table1[order_id],Table15[[#This Row],[order_id]],Table1[side],"SELL")</f>
        <v>0</v>
      </c>
      <c r="W268" s="8">
        <f>Table15[[#This Row],[sell]]-Table15[[#This Row],[Buy]]</f>
        <v>-201100912.64000002</v>
      </c>
      <c r="X268" s="8">
        <f>IF(Table15[[#This Row],[Profit]]&gt;0,1,0)</f>
        <v>0</v>
      </c>
      <c r="Y268" s="5" t="str">
        <f>IF(Table15[[#This Row],[is Profit]]=1,"Profit","Loss")</f>
        <v>Loss</v>
      </c>
      <c r="Z268" s="5">
        <f>SUMIFS(Table1[quantity],Table1[order_id],Table15[[#This Row],[order_id]],Table1[side],"SELL")</f>
        <v>0</v>
      </c>
      <c r="AA268" s="5">
        <f>Table15[[#This Row],[Buy_value]]*Table15[[#This Row],[Buy_Quantity]]</f>
        <v>201100912.64000002</v>
      </c>
      <c r="AB268" s="5">
        <f>Table15[[#This Row],[Sell_Value]]*Table15[[#This Row],[Sell_Quantity]]</f>
        <v>0</v>
      </c>
      <c r="AC268" s="5">
        <f>SUMIFS(Table1[quantity],Table1[order_id],Table15[[#This Row],[order_id]],Table1[side],"BUY")</f>
        <v>608</v>
      </c>
      <c r="AE268" s="9" t="s">
        <v>1086</v>
      </c>
      <c r="AF268" s="10" t="str">
        <f>IF(Table1[[#This Row],[Sell-Buy]]&gt;0,"Profit","Loss")</f>
        <v>Loss</v>
      </c>
      <c r="AG268">
        <f>Table1[[#This Row],[Column2]]-Table1[[#This Row],[Buy-sell]]</f>
        <v>0</v>
      </c>
    </row>
    <row r="269" spans="1:33" x14ac:dyDescent="0.3">
      <c r="A269" t="s">
        <v>824</v>
      </c>
      <c r="B269" t="s">
        <v>471</v>
      </c>
      <c r="C269" s="1">
        <v>45684.031944444447</v>
      </c>
      <c r="D269" t="s">
        <v>22</v>
      </c>
      <c r="E269" t="s">
        <v>166</v>
      </c>
      <c r="F269">
        <v>963</v>
      </c>
      <c r="G269">
        <v>234.75</v>
      </c>
      <c r="H269">
        <v>113.03</v>
      </c>
      <c r="I269" t="s">
        <v>97</v>
      </c>
      <c r="J269" t="s">
        <v>76</v>
      </c>
      <c r="L269" s="1">
        <v>45797</v>
      </c>
      <c r="M269" t="s">
        <v>166</v>
      </c>
      <c r="N269">
        <f>IF(Table1[[#This Row],[side]]="BUY", Table1[[#This Row],[quantity]],-Table1[[#This Row],[quantity]])</f>
        <v>963</v>
      </c>
      <c r="P269" t="str">
        <f>IF(Table1[[#This Row],[side]]="Sell",Table1[[#This Row],[price]],"0")</f>
        <v>0</v>
      </c>
      <c r="Q269">
        <f>SUMIFS(Table1[quantity],Table1[company_id],Table8[[#This Row],[COMPANY_ID]],Table1[side],"BUY")-SUMIFS(Table1[quantity],Table1[company_id],Table8[[#This Row],[COMPANY_ID]],Table1[side],"SELL")</f>
        <v>0</v>
      </c>
      <c r="R269">
        <f>Table1[[#This Row],[Column2]]-Table1[[#This Row],[Buy-sell]]</f>
        <v>0</v>
      </c>
      <c r="S269" t="str">
        <f>IF(Table1[[#This Row],[Sell-Buy]]&gt;0,"Profit","Loss")</f>
        <v>Loss</v>
      </c>
      <c r="T269" s="5" t="s">
        <v>576</v>
      </c>
      <c r="U269" s="8">
        <f>SUMIFS(Table1[price],Table1[order_id],Table15[[#This Row],[order_id]],Table1[side],"BUY")*Table15[[#This Row],[Buy_Quantity]]</f>
        <v>189612.00000000003</v>
      </c>
      <c r="V269" s="8">
        <f>SUMIFS(Table1[price],Table1[order_id],Table15[[#This Row],[order_id]],Table1[side],"SELL")</f>
        <v>1254.46</v>
      </c>
      <c r="W269" s="8">
        <f>Table15[[#This Row],[sell]]-Table15[[#This Row],[Buy]]</f>
        <v>-135375318.02000004</v>
      </c>
      <c r="X269" s="8">
        <f>IF(Table15[[#This Row],[Profit]]&gt;0,1,0)</f>
        <v>0</v>
      </c>
      <c r="Y269" s="5" t="str">
        <f>IF(Table15[[#This Row],[is Profit]]=1,"Profit","Loss")</f>
        <v>Loss</v>
      </c>
      <c r="Z269" s="5">
        <f>SUMIFS(Table1[quantity],Table1[order_id],Table15[[#This Row],[order_id]],Table1[side],"SELL")</f>
        <v>913</v>
      </c>
      <c r="AA269" s="5">
        <f>Table15[[#This Row],[Buy_value]]*Table15[[#This Row],[Buy_Quantity]]</f>
        <v>136520640.00000003</v>
      </c>
      <c r="AB269" s="5">
        <f>Table15[[#This Row],[Sell_Value]]*Table15[[#This Row],[Sell_Quantity]]</f>
        <v>1145321.98</v>
      </c>
      <c r="AC269" s="5">
        <f>SUMIFS(Table1[quantity],Table1[order_id],Table15[[#This Row],[order_id]],Table1[side],"BUY")</f>
        <v>720</v>
      </c>
      <c r="AE269" s="10" t="s">
        <v>717</v>
      </c>
      <c r="AF269" s="10" t="str">
        <f>IF(Table1[[#This Row],[Sell-Buy]]&gt;0,"Profit","Loss")</f>
        <v>Loss</v>
      </c>
      <c r="AG269">
        <f>Table1[[#This Row],[Column2]]-Table1[[#This Row],[Buy-sell]]</f>
        <v>0</v>
      </c>
    </row>
    <row r="270" spans="1:33" x14ac:dyDescent="0.3">
      <c r="A270" t="s">
        <v>870</v>
      </c>
      <c r="B270" t="s">
        <v>376</v>
      </c>
      <c r="C270" s="1">
        <v>45714.022916666669</v>
      </c>
      <c r="D270" t="s">
        <v>22</v>
      </c>
      <c r="E270" t="s">
        <v>166</v>
      </c>
      <c r="F270">
        <v>488</v>
      </c>
      <c r="G270">
        <v>234.07</v>
      </c>
      <c r="H270">
        <v>57.11</v>
      </c>
      <c r="I270" t="s">
        <v>138</v>
      </c>
      <c r="J270" t="s">
        <v>70</v>
      </c>
      <c r="L270" s="1">
        <v>45723</v>
      </c>
      <c r="M270" t="s">
        <v>166</v>
      </c>
      <c r="N270">
        <f>IF(Table1[[#This Row],[side]]="BUY", Table1[[#This Row],[quantity]],-Table1[[#This Row],[quantity]])</f>
        <v>488</v>
      </c>
      <c r="P270" t="str">
        <f>IF(Table1[[#This Row],[side]]="Sell",Table1[[#This Row],[price]],"0")</f>
        <v>0</v>
      </c>
      <c r="Q270">
        <f>SUMIFS(Table1[quantity],Table1[company_id],Table8[[#This Row],[COMPANY_ID]],Table1[side],"BUY")-SUMIFS(Table1[quantity],Table1[company_id],Table8[[#This Row],[COMPANY_ID]],Table1[side],"SELL")</f>
        <v>0</v>
      </c>
      <c r="R270">
        <f>Table1[[#This Row],[Column2]]-Table1[[#This Row],[Buy-sell]]</f>
        <v>0</v>
      </c>
      <c r="S270" t="str">
        <f>IF(Table1[[#This Row],[Sell-Buy]]&gt;0,"Profit","Loss")</f>
        <v>Loss</v>
      </c>
      <c r="T270" s="4" t="s">
        <v>577</v>
      </c>
      <c r="U270" s="8">
        <f>SUMIFS(Table1[price],Table1[order_id],Table15[[#This Row],[order_id]],Table1[side],"BUY")*Table15[[#This Row],[Buy_Quantity]]</f>
        <v>87186.880000000005</v>
      </c>
      <c r="V270" s="8">
        <f>SUMIFS(Table1[price],Table1[order_id],Table15[[#This Row],[order_id]],Table1[side],"SELL")</f>
        <v>1894.02</v>
      </c>
      <c r="W270" s="8">
        <f>Table15[[#This Row],[sell]]-Table15[[#This Row],[Buy]]</f>
        <v>-30443152.180000003</v>
      </c>
      <c r="X270" s="8">
        <f>IF(Table15[[#This Row],[Profit]]&gt;0,1,0)</f>
        <v>0</v>
      </c>
      <c r="Y270" s="5" t="str">
        <f>IF(Table15[[#This Row],[is Profit]]=1,"Profit","Loss")</f>
        <v>Loss</v>
      </c>
      <c r="Z270" s="5">
        <f>SUMIFS(Table1[quantity],Table1[order_id],Table15[[#This Row],[order_id]],Table1[side],"SELL")</f>
        <v>1235</v>
      </c>
      <c r="AA270" s="5">
        <f>Table15[[#This Row],[Buy_value]]*Table15[[#This Row],[Buy_Quantity]]</f>
        <v>32782266.880000003</v>
      </c>
      <c r="AB270" s="5">
        <f>Table15[[#This Row],[Sell_Value]]*Table15[[#This Row],[Sell_Quantity]]</f>
        <v>2339114.7000000002</v>
      </c>
      <c r="AC270" s="5">
        <f>SUMIFS(Table1[quantity],Table1[order_id],Table15[[#This Row],[order_id]],Table1[side],"BUY")</f>
        <v>376</v>
      </c>
      <c r="AE270" s="9" t="s">
        <v>1070</v>
      </c>
      <c r="AF270" s="10" t="str">
        <f>IF(Table1[[#This Row],[Sell-Buy]]&gt;0,"Profit","Loss")</f>
        <v>Loss</v>
      </c>
      <c r="AG270">
        <f>Table1[[#This Row],[Column2]]-Table1[[#This Row],[Buy-sell]]</f>
        <v>0</v>
      </c>
    </row>
    <row r="271" spans="1:33" x14ac:dyDescent="0.3">
      <c r="A271" t="s">
        <v>874</v>
      </c>
      <c r="B271" t="s">
        <v>252</v>
      </c>
      <c r="C271" s="1">
        <v>45686.036111111112</v>
      </c>
      <c r="D271" t="s">
        <v>22</v>
      </c>
      <c r="E271" t="s">
        <v>166</v>
      </c>
      <c r="F271">
        <v>545</v>
      </c>
      <c r="G271">
        <v>235.89</v>
      </c>
      <c r="H271">
        <v>64.28</v>
      </c>
      <c r="I271" t="s">
        <v>128</v>
      </c>
      <c r="J271" t="s">
        <v>73</v>
      </c>
      <c r="L271" s="1">
        <v>45797</v>
      </c>
      <c r="M271" t="s">
        <v>166</v>
      </c>
      <c r="N271">
        <f>IF(Table1[[#This Row],[side]]="BUY", Table1[[#This Row],[quantity]],-Table1[[#This Row],[quantity]])</f>
        <v>545</v>
      </c>
      <c r="P271" t="str">
        <f>IF(Table1[[#This Row],[side]]="Sell",Table1[[#This Row],[price]],"0")</f>
        <v>0</v>
      </c>
      <c r="Q271">
        <f>SUMIFS(Table1[quantity],Table1[company_id],Table8[[#This Row],[COMPANY_ID]],Table1[side],"BUY")-SUMIFS(Table1[quantity],Table1[company_id],Table8[[#This Row],[COMPANY_ID]],Table1[side],"SELL")</f>
        <v>0</v>
      </c>
      <c r="R271">
        <f>Table1[[#This Row],[Column2]]-Table1[[#This Row],[Buy-sell]]</f>
        <v>0</v>
      </c>
      <c r="S271" t="str">
        <f>IF(Table1[[#This Row],[Sell-Buy]]&gt;0,"Profit","Loss")</f>
        <v>Loss</v>
      </c>
      <c r="T271" s="4" t="s">
        <v>578</v>
      </c>
      <c r="U271" s="8">
        <f>SUMIFS(Table1[price],Table1[order_id],Table15[[#This Row],[order_id]],Table1[side],"BUY")*Table15[[#This Row],[Buy_Quantity]]</f>
        <v>440382.95</v>
      </c>
      <c r="V271" s="8">
        <f>SUMIFS(Table1[price],Table1[order_id],Table15[[#This Row],[order_id]],Table1[side],"SELL")</f>
        <v>3759.8900000000003</v>
      </c>
      <c r="W271" s="8">
        <f>Table15[[#This Row],[sell]]-Table15[[#This Row],[Buy]]</f>
        <v>-289827950.30000001</v>
      </c>
      <c r="X271" s="8">
        <f>IF(Table15[[#This Row],[Profit]]&gt;0,1,0)</f>
        <v>0</v>
      </c>
      <c r="Y271" s="5" t="str">
        <f>IF(Table15[[#This Row],[is Profit]]=1,"Profit","Loss")</f>
        <v>Loss</v>
      </c>
      <c r="Z271" s="5">
        <f>SUMIFS(Table1[quantity],Table1[order_id],Table15[[#This Row],[order_id]],Table1[side],"SELL")</f>
        <v>805</v>
      </c>
      <c r="AA271" s="5">
        <f>Table15[[#This Row],[Buy_value]]*Table15[[#This Row],[Buy_Quantity]]</f>
        <v>292854661.75</v>
      </c>
      <c r="AB271" s="5">
        <f>Table15[[#This Row],[Sell_Value]]*Table15[[#This Row],[Sell_Quantity]]</f>
        <v>3026711.45</v>
      </c>
      <c r="AC271" s="5">
        <f>SUMIFS(Table1[quantity],Table1[order_id],Table15[[#This Row],[order_id]],Table1[side],"BUY")</f>
        <v>665</v>
      </c>
      <c r="AE271" s="10" t="s">
        <v>676</v>
      </c>
      <c r="AF271" s="10" t="str">
        <f>IF(Table1[[#This Row],[Sell-Buy]]&gt;0,"Profit","Loss")</f>
        <v>Loss</v>
      </c>
      <c r="AG271">
        <f>Table1[[#This Row],[Column2]]-Table1[[#This Row],[Buy-sell]]</f>
        <v>0</v>
      </c>
    </row>
    <row r="272" spans="1:33" x14ac:dyDescent="0.3">
      <c r="A272" t="s">
        <v>877</v>
      </c>
      <c r="B272" t="s">
        <v>516</v>
      </c>
      <c r="C272" s="1">
        <v>45806.032638888886</v>
      </c>
      <c r="D272" t="s">
        <v>22</v>
      </c>
      <c r="E272" t="s">
        <v>166</v>
      </c>
      <c r="F272">
        <v>448</v>
      </c>
      <c r="G272">
        <v>256.73</v>
      </c>
      <c r="H272">
        <v>57.51</v>
      </c>
      <c r="I272" t="s">
        <v>136</v>
      </c>
      <c r="J272" t="s">
        <v>73</v>
      </c>
      <c r="L272" s="1">
        <v>45722</v>
      </c>
      <c r="M272" t="s">
        <v>166</v>
      </c>
      <c r="N272">
        <f>IF(Table1[[#This Row],[side]]="BUY", Table1[[#This Row],[quantity]],-Table1[[#This Row],[quantity]])</f>
        <v>448</v>
      </c>
      <c r="P272" t="str">
        <f>IF(Table1[[#This Row],[side]]="Sell",Table1[[#This Row],[price]],"0")</f>
        <v>0</v>
      </c>
      <c r="Q272">
        <f>SUMIFS(Table1[quantity],Table1[company_id],Table8[[#This Row],[COMPANY_ID]],Table1[side],"BUY")-SUMIFS(Table1[quantity],Table1[company_id],Table8[[#This Row],[COMPANY_ID]],Table1[side],"SELL")</f>
        <v>0</v>
      </c>
      <c r="R272">
        <f>Table1[[#This Row],[Column2]]-Table1[[#This Row],[Buy-sell]]</f>
        <v>0</v>
      </c>
      <c r="S272" t="str">
        <f>IF(Table1[[#This Row],[Sell-Buy]]&gt;0,"Profit","Loss")</f>
        <v>Loss</v>
      </c>
      <c r="T272" s="5" t="s">
        <v>579</v>
      </c>
      <c r="U272" s="8">
        <f>SUMIFS(Table1[price],Table1[order_id],Table15[[#This Row],[order_id]],Table1[side],"BUY")*Table15[[#This Row],[Buy_Quantity]]</f>
        <v>56331.96</v>
      </c>
      <c r="V272" s="8">
        <f>SUMIFS(Table1[price],Table1[order_id],Table15[[#This Row],[order_id]],Table1[side],"SELL")</f>
        <v>0</v>
      </c>
      <c r="W272" s="8">
        <f>Table15[[#This Row],[sell]]-Table15[[#This Row],[Buy]]</f>
        <v>-12843686.879999999</v>
      </c>
      <c r="X272" s="8">
        <f>IF(Table15[[#This Row],[Profit]]&gt;0,1,0)</f>
        <v>0</v>
      </c>
      <c r="Y272" s="5" t="str">
        <f>IF(Table15[[#This Row],[is Profit]]=1,"Profit","Loss")</f>
        <v>Loss</v>
      </c>
      <c r="Z272" s="5">
        <f>SUMIFS(Table1[quantity],Table1[order_id],Table15[[#This Row],[order_id]],Table1[side],"SELL")</f>
        <v>0</v>
      </c>
      <c r="AA272" s="5">
        <f>Table15[[#This Row],[Buy_value]]*Table15[[#This Row],[Buy_Quantity]]</f>
        <v>12843686.879999999</v>
      </c>
      <c r="AB272" s="5">
        <f>Table15[[#This Row],[Sell_Value]]*Table15[[#This Row],[Sell_Quantity]]</f>
        <v>0</v>
      </c>
      <c r="AC272" s="5">
        <f>SUMIFS(Table1[quantity],Table1[order_id],Table15[[#This Row],[order_id]],Table1[side],"BUY")</f>
        <v>228</v>
      </c>
      <c r="AE272" s="9" t="s">
        <v>822</v>
      </c>
      <c r="AF272" s="10" t="str">
        <f>IF(Table1[[#This Row],[Sell-Buy]]&gt;0,"Profit","Loss")</f>
        <v>Loss</v>
      </c>
      <c r="AG272">
        <f>Table1[[#This Row],[Column2]]-Table1[[#This Row],[Buy-sell]]</f>
        <v>0</v>
      </c>
    </row>
    <row r="273" spans="1:33" x14ac:dyDescent="0.3">
      <c r="A273" t="s">
        <v>885</v>
      </c>
      <c r="B273" t="s">
        <v>189</v>
      </c>
      <c r="C273" s="1">
        <v>45679.027777777781</v>
      </c>
      <c r="D273" t="s">
        <v>22</v>
      </c>
      <c r="E273" t="s">
        <v>166</v>
      </c>
      <c r="F273">
        <v>831</v>
      </c>
      <c r="G273">
        <v>236.81</v>
      </c>
      <c r="H273">
        <v>98.39</v>
      </c>
      <c r="I273" t="s">
        <v>116</v>
      </c>
      <c r="J273" t="s">
        <v>73</v>
      </c>
      <c r="L273" s="1">
        <v>45721</v>
      </c>
      <c r="M273" t="s">
        <v>166</v>
      </c>
      <c r="N273">
        <f>IF(Table1[[#This Row],[side]]="BUY", Table1[[#This Row],[quantity]],-Table1[[#This Row],[quantity]])</f>
        <v>831</v>
      </c>
      <c r="P273" t="str">
        <f>IF(Table1[[#This Row],[side]]="Sell",Table1[[#This Row],[price]],"0")</f>
        <v>0</v>
      </c>
      <c r="Q273">
        <f>SUMIFS(Table1[quantity],Table1[company_id],Table8[[#This Row],[COMPANY_ID]],Table1[side],"BUY")-SUMIFS(Table1[quantity],Table1[company_id],Table8[[#This Row],[COMPANY_ID]],Table1[side],"SELL")</f>
        <v>0</v>
      </c>
      <c r="R273">
        <f>Table1[[#This Row],[Column2]]-Table1[[#This Row],[Buy-sell]]</f>
        <v>0</v>
      </c>
      <c r="S273" t="str">
        <f>IF(Table1[[#This Row],[Sell-Buy]]&gt;0,"Profit","Loss")</f>
        <v>Loss</v>
      </c>
      <c r="T273" s="4" t="s">
        <v>583</v>
      </c>
      <c r="U273" s="8">
        <f>SUMIFS(Table1[price],Table1[order_id],Table15[[#This Row],[order_id]],Table1[side],"BUY")*Table15[[#This Row],[Buy_Quantity]]</f>
        <v>0</v>
      </c>
      <c r="V273" s="8">
        <f>SUMIFS(Table1[price],Table1[order_id],Table15[[#This Row],[order_id]],Table1[side],"SELL")</f>
        <v>821.15</v>
      </c>
      <c r="W273" s="8">
        <f>Table15[[#This Row],[sell]]-Table15[[#This Row],[Buy]]</f>
        <v>387582.8</v>
      </c>
      <c r="X273" s="8">
        <f>IF(Table15[[#This Row],[Profit]]&gt;0,1,0)</f>
        <v>1</v>
      </c>
      <c r="Y273" s="5" t="str">
        <f>IF(Table15[[#This Row],[is Profit]]=1,"Profit","Loss")</f>
        <v>Profit</v>
      </c>
      <c r="Z273" s="5">
        <f>SUMIFS(Table1[quantity],Table1[order_id],Table15[[#This Row],[order_id]],Table1[side],"SELL")</f>
        <v>472</v>
      </c>
      <c r="AA273" s="5">
        <f>Table15[[#This Row],[Buy_value]]*Table15[[#This Row],[Buy_Quantity]]</f>
        <v>0</v>
      </c>
      <c r="AB273" s="5">
        <f>Table15[[#This Row],[Sell_Value]]*Table15[[#This Row],[Sell_Quantity]]</f>
        <v>387582.8</v>
      </c>
      <c r="AC273" s="5">
        <f>SUMIFS(Table1[quantity],Table1[order_id],Table15[[#This Row],[order_id]],Table1[side],"BUY")</f>
        <v>0</v>
      </c>
      <c r="AE273" s="10" t="s">
        <v>977</v>
      </c>
      <c r="AF273" s="10" t="str">
        <f>IF(Table1[[#This Row],[Sell-Buy]]&gt;0,"Profit","Loss")</f>
        <v>Loss</v>
      </c>
      <c r="AG273">
        <f>Table1[[#This Row],[Column2]]-Table1[[#This Row],[Buy-sell]]</f>
        <v>0</v>
      </c>
    </row>
    <row r="274" spans="1:33" x14ac:dyDescent="0.3">
      <c r="A274" t="s">
        <v>918</v>
      </c>
      <c r="B274" t="s">
        <v>539</v>
      </c>
      <c r="C274" s="1">
        <v>45805.020138888889</v>
      </c>
      <c r="D274" t="s">
        <v>22</v>
      </c>
      <c r="E274" t="s">
        <v>171</v>
      </c>
      <c r="F274">
        <v>41</v>
      </c>
      <c r="G274">
        <v>253.53</v>
      </c>
      <c r="H274">
        <v>5.2</v>
      </c>
      <c r="I274" t="s">
        <v>128</v>
      </c>
      <c r="J274" t="s">
        <v>64</v>
      </c>
      <c r="L274" s="1">
        <v>45756</v>
      </c>
      <c r="N274">
        <f>IF(Table1[[#This Row],[side]]="BUY", Table1[[#This Row],[quantity]],-Table1[[#This Row],[quantity]])</f>
        <v>-41</v>
      </c>
      <c r="O274" t="s">
        <v>171</v>
      </c>
      <c r="P274">
        <f>IF(Table1[[#This Row],[side]]="Sell",Table1[[#This Row],[price]],"0")</f>
        <v>253.53</v>
      </c>
      <c r="Q274">
        <f>SUMIFS(Table1[quantity],Table1[company_id],Table8[[#This Row],[COMPANY_ID]],Table1[side],"BUY")-SUMIFS(Table1[quantity],Table1[company_id],Table8[[#This Row],[COMPANY_ID]],Table1[side],"SELL")</f>
        <v>0</v>
      </c>
      <c r="R274">
        <f>Table1[[#This Row],[Column2]]-Table1[[#This Row],[Buy-sell]]</f>
        <v>253.53</v>
      </c>
      <c r="S274" t="str">
        <f>IF(Table1[[#This Row],[Sell-Buy]]&gt;0,"Profit","Loss")</f>
        <v>Profit</v>
      </c>
      <c r="T274" s="4" t="s">
        <v>584</v>
      </c>
      <c r="U274" s="8">
        <f>SUMIFS(Table1[price],Table1[order_id],Table15[[#This Row],[order_id]],Table1[side],"BUY")*Table15[[#This Row],[Buy_Quantity]]</f>
        <v>0</v>
      </c>
      <c r="V274" s="8">
        <f>SUMIFS(Table1[price],Table1[order_id],Table15[[#This Row],[order_id]],Table1[side],"SELL")</f>
        <v>1188.6599999999999</v>
      </c>
      <c r="W274" s="8">
        <f>Table15[[#This Row],[sell]]-Table15[[#This Row],[Buy]]</f>
        <v>1529805.42</v>
      </c>
      <c r="X274" s="8">
        <f>IF(Table15[[#This Row],[Profit]]&gt;0,1,0)</f>
        <v>1</v>
      </c>
      <c r="Y274" s="5" t="str">
        <f>IF(Table15[[#This Row],[is Profit]]=1,"Profit","Loss")</f>
        <v>Profit</v>
      </c>
      <c r="Z274" s="5">
        <f>SUMIFS(Table1[quantity],Table1[order_id],Table15[[#This Row],[order_id]],Table1[side],"SELL")</f>
        <v>1287</v>
      </c>
      <c r="AA274" s="5">
        <f>Table15[[#This Row],[Buy_value]]*Table15[[#This Row],[Buy_Quantity]]</f>
        <v>0</v>
      </c>
      <c r="AB274" s="5">
        <f>Table15[[#This Row],[Sell_Value]]*Table15[[#This Row],[Sell_Quantity]]</f>
        <v>1529805.42</v>
      </c>
      <c r="AC274" s="5">
        <f>SUMIFS(Table1[quantity],Table1[order_id],Table15[[#This Row],[order_id]],Table1[side],"BUY")</f>
        <v>0</v>
      </c>
      <c r="AE274" s="9" t="s">
        <v>985</v>
      </c>
      <c r="AF274" s="10" t="str">
        <f>IF(Table1[[#This Row],[Sell-Buy]]&gt;0,"Profit","Loss")</f>
        <v>Profit</v>
      </c>
      <c r="AG274">
        <f>Table1[[#This Row],[Column2]]-Table1[[#This Row],[Buy-sell]]</f>
        <v>253.53</v>
      </c>
    </row>
    <row r="275" spans="1:33" x14ac:dyDescent="0.3">
      <c r="A275" t="s">
        <v>920</v>
      </c>
      <c r="B275" t="s">
        <v>408</v>
      </c>
      <c r="C275" s="1">
        <v>45663.02847222222</v>
      </c>
      <c r="D275" t="s">
        <v>22</v>
      </c>
      <c r="E275" t="s">
        <v>171</v>
      </c>
      <c r="F275">
        <v>91</v>
      </c>
      <c r="G275">
        <v>232.36</v>
      </c>
      <c r="H275">
        <v>10.57</v>
      </c>
      <c r="I275" t="s">
        <v>150</v>
      </c>
      <c r="J275" t="s">
        <v>73</v>
      </c>
      <c r="L275" s="1">
        <v>45748</v>
      </c>
      <c r="N275">
        <f>IF(Table1[[#This Row],[side]]="BUY", Table1[[#This Row],[quantity]],-Table1[[#This Row],[quantity]])</f>
        <v>-91</v>
      </c>
      <c r="O275" t="s">
        <v>171</v>
      </c>
      <c r="P275">
        <f>IF(Table1[[#This Row],[side]]="Sell",Table1[[#This Row],[price]],"0")</f>
        <v>232.36</v>
      </c>
      <c r="Q275">
        <f>SUMIFS(Table1[quantity],Table1[company_id],Table8[[#This Row],[COMPANY_ID]],Table1[side],"BUY")-SUMIFS(Table1[quantity],Table1[company_id],Table8[[#This Row],[COMPANY_ID]],Table1[side],"SELL")</f>
        <v>0</v>
      </c>
      <c r="R275">
        <f>Table1[[#This Row],[Column2]]-Table1[[#This Row],[Buy-sell]]</f>
        <v>232.36</v>
      </c>
      <c r="S275" t="str">
        <f>IF(Table1[[#This Row],[Sell-Buy]]&gt;0,"Profit","Loss")</f>
        <v>Profit</v>
      </c>
      <c r="T275" s="4" t="s">
        <v>585</v>
      </c>
      <c r="U275" s="8">
        <f>SUMIFS(Table1[price],Table1[order_id],Table15[[#This Row],[order_id]],Table1[side],"BUY")*Table15[[#This Row],[Buy_Quantity]]</f>
        <v>199138.00000000003</v>
      </c>
      <c r="V275" s="8">
        <f>SUMIFS(Table1[price],Table1[order_id],Table15[[#This Row],[order_id]],Table1[side],"SELL")</f>
        <v>0</v>
      </c>
      <c r="W275" s="8">
        <f>Table15[[#This Row],[sell]]-Table15[[#This Row],[Buy]]</f>
        <v>-67706920.000000015</v>
      </c>
      <c r="X275" s="8">
        <f>IF(Table15[[#This Row],[Profit]]&gt;0,1,0)</f>
        <v>0</v>
      </c>
      <c r="Y275" s="5" t="str">
        <f>IF(Table15[[#This Row],[is Profit]]=1,"Profit","Loss")</f>
        <v>Loss</v>
      </c>
      <c r="Z275" s="5">
        <f>SUMIFS(Table1[quantity],Table1[order_id],Table15[[#This Row],[order_id]],Table1[side],"SELL")</f>
        <v>0</v>
      </c>
      <c r="AA275" s="5">
        <f>Table15[[#This Row],[Buy_value]]*Table15[[#This Row],[Buy_Quantity]]</f>
        <v>67706920.000000015</v>
      </c>
      <c r="AB275" s="5">
        <f>Table15[[#This Row],[Sell_Value]]*Table15[[#This Row],[Sell_Quantity]]</f>
        <v>0</v>
      </c>
      <c r="AC275" s="5">
        <f>SUMIFS(Table1[quantity],Table1[order_id],Table15[[#This Row],[order_id]],Table1[side],"BUY")</f>
        <v>340</v>
      </c>
      <c r="AE275" s="10" t="s">
        <v>806</v>
      </c>
      <c r="AF275" s="10" t="str">
        <f>IF(Table1[[#This Row],[Sell-Buy]]&gt;0,"Profit","Loss")</f>
        <v>Profit</v>
      </c>
      <c r="AG275">
        <f>Table1[[#This Row],[Column2]]-Table1[[#This Row],[Buy-sell]]</f>
        <v>232.36</v>
      </c>
    </row>
    <row r="276" spans="1:33" x14ac:dyDescent="0.3">
      <c r="A276" t="s">
        <v>941</v>
      </c>
      <c r="B276" t="s">
        <v>541</v>
      </c>
      <c r="C276" s="1">
        <v>45800.03402777778</v>
      </c>
      <c r="D276" t="s">
        <v>22</v>
      </c>
      <c r="E276" t="s">
        <v>166</v>
      </c>
      <c r="F276">
        <v>338</v>
      </c>
      <c r="G276">
        <v>253.55</v>
      </c>
      <c r="H276">
        <v>42.85</v>
      </c>
      <c r="I276" t="s">
        <v>94</v>
      </c>
      <c r="J276" t="s">
        <v>73</v>
      </c>
      <c r="L276" s="1">
        <v>45685</v>
      </c>
      <c r="M276" t="s">
        <v>166</v>
      </c>
      <c r="N276">
        <f>IF(Table1[[#This Row],[side]]="BUY", Table1[[#This Row],[quantity]],-Table1[[#This Row],[quantity]])</f>
        <v>338</v>
      </c>
      <c r="P276" t="str">
        <f>IF(Table1[[#This Row],[side]]="Sell",Table1[[#This Row],[price]],"0")</f>
        <v>0</v>
      </c>
      <c r="Q276">
        <f>SUMIFS(Table1[quantity],Table1[company_id],Table8[[#This Row],[COMPANY_ID]],Table1[side],"BUY")-SUMIFS(Table1[quantity],Table1[company_id],Table8[[#This Row],[COMPANY_ID]],Table1[side],"SELL")</f>
        <v>0</v>
      </c>
      <c r="R276">
        <f>Table1[[#This Row],[Column2]]-Table1[[#This Row],[Buy-sell]]</f>
        <v>0</v>
      </c>
      <c r="S276" t="str">
        <f>IF(Table1[[#This Row],[Sell-Buy]]&gt;0,"Profit","Loss")</f>
        <v>Loss</v>
      </c>
      <c r="T276" s="5" t="s">
        <v>586</v>
      </c>
      <c r="U276" s="8">
        <f>SUMIFS(Table1[price],Table1[order_id],Table15[[#This Row],[order_id]],Table1[side],"BUY")*Table15[[#This Row],[Buy_Quantity]]</f>
        <v>1098509.0599999998</v>
      </c>
      <c r="V276" s="8">
        <f>SUMIFS(Table1[price],Table1[order_id],Table15[[#This Row],[order_id]],Table1[side],"SELL")</f>
        <v>0</v>
      </c>
      <c r="W276" s="8">
        <f>Table15[[#This Row],[sell]]-Table15[[#This Row],[Buy]]</f>
        <v>-920550592.27999985</v>
      </c>
      <c r="X276" s="8">
        <f>IF(Table15[[#This Row],[Profit]]&gt;0,1,0)</f>
        <v>0</v>
      </c>
      <c r="Y276" s="5" t="str">
        <f>IF(Table15[[#This Row],[is Profit]]=1,"Profit","Loss")</f>
        <v>Loss</v>
      </c>
      <c r="Z276" s="5">
        <f>SUMIFS(Table1[quantity],Table1[order_id],Table15[[#This Row],[order_id]],Table1[side],"SELL")</f>
        <v>0</v>
      </c>
      <c r="AA276" s="5">
        <f>Table15[[#This Row],[Buy_value]]*Table15[[#This Row],[Buy_Quantity]]</f>
        <v>920550592.27999985</v>
      </c>
      <c r="AB276" s="5">
        <f>Table15[[#This Row],[Sell_Value]]*Table15[[#This Row],[Sell_Quantity]]</f>
        <v>0</v>
      </c>
      <c r="AC276" s="5">
        <f>SUMIFS(Table1[quantity],Table1[order_id],Table15[[#This Row],[order_id]],Table1[side],"BUY")</f>
        <v>838</v>
      </c>
      <c r="AE276" s="9" t="s">
        <v>855</v>
      </c>
      <c r="AF276" s="10" t="str">
        <f>IF(Table1[[#This Row],[Sell-Buy]]&gt;0,"Profit","Loss")</f>
        <v>Loss</v>
      </c>
      <c r="AG276">
        <f>Table1[[#This Row],[Column2]]-Table1[[#This Row],[Buy-sell]]</f>
        <v>0</v>
      </c>
    </row>
    <row r="277" spans="1:33" x14ac:dyDescent="0.3">
      <c r="A277" t="s">
        <v>945</v>
      </c>
      <c r="B277" t="s">
        <v>556</v>
      </c>
      <c r="C277" s="1">
        <v>45765.040972222225</v>
      </c>
      <c r="D277" t="s">
        <v>22</v>
      </c>
      <c r="E277" t="s">
        <v>171</v>
      </c>
      <c r="F277">
        <v>777</v>
      </c>
      <c r="G277">
        <v>256.48</v>
      </c>
      <c r="H277">
        <v>99.64</v>
      </c>
      <c r="I277" t="s">
        <v>100</v>
      </c>
      <c r="J277" t="s">
        <v>76</v>
      </c>
      <c r="L277" s="1">
        <v>45698</v>
      </c>
      <c r="N277">
        <f>IF(Table1[[#This Row],[side]]="BUY", Table1[[#This Row],[quantity]],-Table1[[#This Row],[quantity]])</f>
        <v>-777</v>
      </c>
      <c r="O277" t="s">
        <v>171</v>
      </c>
      <c r="P277">
        <f>IF(Table1[[#This Row],[side]]="Sell",Table1[[#This Row],[price]],"0")</f>
        <v>256.48</v>
      </c>
      <c r="Q277">
        <f>SUMIFS(Table1[quantity],Table1[company_id],Table8[[#This Row],[COMPANY_ID]],Table1[side],"BUY")-SUMIFS(Table1[quantity],Table1[company_id],Table8[[#This Row],[COMPANY_ID]],Table1[side],"SELL")</f>
        <v>0</v>
      </c>
      <c r="R277">
        <f>Table1[[#This Row],[Column2]]-Table1[[#This Row],[Buy-sell]]</f>
        <v>256.48</v>
      </c>
      <c r="S277" t="str">
        <f>IF(Table1[[#This Row],[Sell-Buy]]&gt;0,"Profit","Loss")</f>
        <v>Profit</v>
      </c>
      <c r="T277" s="5" t="s">
        <v>587</v>
      </c>
      <c r="U277" s="8">
        <f>SUMIFS(Table1[price],Table1[order_id],Table15[[#This Row],[order_id]],Table1[side],"BUY")*Table15[[#This Row],[Buy_Quantity]]</f>
        <v>0</v>
      </c>
      <c r="V277" s="8">
        <f>SUMIFS(Table1[price],Table1[order_id],Table15[[#This Row],[order_id]],Table1[side],"SELL")</f>
        <v>232.66</v>
      </c>
      <c r="W277" s="8">
        <f>Table15[[#This Row],[sell]]-Table15[[#This Row],[Buy]]</f>
        <v>175658.3</v>
      </c>
      <c r="X277" s="8">
        <f>IF(Table15[[#This Row],[Profit]]&gt;0,1,0)</f>
        <v>1</v>
      </c>
      <c r="Y277" s="5" t="str">
        <f>IF(Table15[[#This Row],[is Profit]]=1,"Profit","Loss")</f>
        <v>Profit</v>
      </c>
      <c r="Z277" s="5">
        <f>SUMIFS(Table1[quantity],Table1[order_id],Table15[[#This Row],[order_id]],Table1[side],"SELL")</f>
        <v>755</v>
      </c>
      <c r="AA277" s="5">
        <f>Table15[[#This Row],[Buy_value]]*Table15[[#This Row],[Buy_Quantity]]</f>
        <v>0</v>
      </c>
      <c r="AB277" s="5">
        <f>Table15[[#This Row],[Sell_Value]]*Table15[[#This Row],[Sell_Quantity]]</f>
        <v>175658.3</v>
      </c>
      <c r="AC277" s="5">
        <f>SUMIFS(Table1[quantity],Table1[order_id],Table15[[#This Row],[order_id]],Table1[side],"BUY")</f>
        <v>0</v>
      </c>
      <c r="AE277" s="10" t="s">
        <v>1163</v>
      </c>
      <c r="AF277" s="10" t="str">
        <f>IF(Table1[[#This Row],[Sell-Buy]]&gt;0,"Profit","Loss")</f>
        <v>Profit</v>
      </c>
      <c r="AG277">
        <f>Table1[[#This Row],[Column2]]-Table1[[#This Row],[Buy-sell]]</f>
        <v>256.48</v>
      </c>
    </row>
    <row r="278" spans="1:33" x14ac:dyDescent="0.3">
      <c r="A278" t="s">
        <v>953</v>
      </c>
      <c r="B278" t="s">
        <v>439</v>
      </c>
      <c r="C278" s="1">
        <v>45687.019444444442</v>
      </c>
      <c r="D278" t="s">
        <v>22</v>
      </c>
      <c r="E278" t="s">
        <v>171</v>
      </c>
      <c r="F278">
        <v>880</v>
      </c>
      <c r="G278">
        <v>234.26</v>
      </c>
      <c r="H278">
        <v>103.07</v>
      </c>
      <c r="I278" t="s">
        <v>138</v>
      </c>
      <c r="J278" t="s">
        <v>73</v>
      </c>
      <c r="L278" s="1">
        <v>45765</v>
      </c>
      <c r="N278">
        <f>IF(Table1[[#This Row],[side]]="BUY", Table1[[#This Row],[quantity]],-Table1[[#This Row],[quantity]])</f>
        <v>-880</v>
      </c>
      <c r="O278" t="s">
        <v>171</v>
      </c>
      <c r="P278">
        <f>IF(Table1[[#This Row],[side]]="Sell",Table1[[#This Row],[price]],"0")</f>
        <v>234.26</v>
      </c>
      <c r="Q278">
        <f>SUMIFS(Table1[quantity],Table1[company_id],Table8[[#This Row],[COMPANY_ID]],Table1[side],"BUY")-SUMIFS(Table1[quantity],Table1[company_id],Table8[[#This Row],[COMPANY_ID]],Table1[side],"SELL")</f>
        <v>0</v>
      </c>
      <c r="R278">
        <f>Table1[[#This Row],[Column2]]-Table1[[#This Row],[Buy-sell]]</f>
        <v>234.26</v>
      </c>
      <c r="S278" t="str">
        <f>IF(Table1[[#This Row],[Sell-Buy]]&gt;0,"Profit","Loss")</f>
        <v>Profit</v>
      </c>
      <c r="T278" s="4" t="s">
        <v>588</v>
      </c>
      <c r="U278" s="8">
        <f>SUMIFS(Table1[price],Table1[order_id],Table15[[#This Row],[order_id]],Table1[side],"BUY")*Table15[[#This Row],[Buy_Quantity]]</f>
        <v>0</v>
      </c>
      <c r="V278" s="8">
        <f>SUMIFS(Table1[price],Table1[order_id],Table15[[#This Row],[order_id]],Table1[side],"SELL")</f>
        <v>617.91</v>
      </c>
      <c r="W278" s="8">
        <f>Table15[[#This Row],[sell]]-Table15[[#This Row],[Buy]]</f>
        <v>595665.24</v>
      </c>
      <c r="X278" s="8">
        <f>IF(Table15[[#This Row],[Profit]]&gt;0,1,0)</f>
        <v>1</v>
      </c>
      <c r="Y278" s="5" t="str">
        <f>IF(Table15[[#This Row],[is Profit]]=1,"Profit","Loss")</f>
        <v>Profit</v>
      </c>
      <c r="Z278" s="5">
        <f>SUMIFS(Table1[quantity],Table1[order_id],Table15[[#This Row],[order_id]],Table1[side],"SELL")</f>
        <v>964</v>
      </c>
      <c r="AA278" s="5">
        <f>Table15[[#This Row],[Buy_value]]*Table15[[#This Row],[Buy_Quantity]]</f>
        <v>0</v>
      </c>
      <c r="AB278" s="5">
        <f>Table15[[#This Row],[Sell_Value]]*Table15[[#This Row],[Sell_Quantity]]</f>
        <v>595665.24</v>
      </c>
      <c r="AC278" s="5">
        <f>SUMIFS(Table1[quantity],Table1[order_id],Table15[[#This Row],[order_id]],Table1[side],"BUY")</f>
        <v>0</v>
      </c>
      <c r="AE278" s="9" t="s">
        <v>967</v>
      </c>
      <c r="AF278" s="10" t="str">
        <f>IF(Table1[[#This Row],[Sell-Buy]]&gt;0,"Profit","Loss")</f>
        <v>Profit</v>
      </c>
      <c r="AG278">
        <f>Table1[[#This Row],[Column2]]-Table1[[#This Row],[Buy-sell]]</f>
        <v>234.26</v>
      </c>
    </row>
    <row r="279" spans="1:33" x14ac:dyDescent="0.3">
      <c r="A279" t="s">
        <v>970</v>
      </c>
      <c r="B279" t="s">
        <v>607</v>
      </c>
      <c r="C279" s="1">
        <v>45796.015972222223</v>
      </c>
      <c r="D279" t="s">
        <v>22</v>
      </c>
      <c r="E279" t="s">
        <v>171</v>
      </c>
      <c r="F279">
        <v>244</v>
      </c>
      <c r="G279">
        <v>246.11</v>
      </c>
      <c r="H279">
        <v>30.03</v>
      </c>
      <c r="I279" t="s">
        <v>138</v>
      </c>
      <c r="J279" t="s">
        <v>64</v>
      </c>
      <c r="L279" s="1">
        <v>45832</v>
      </c>
      <c r="N279">
        <f>IF(Table1[[#This Row],[side]]="BUY", Table1[[#This Row],[quantity]],-Table1[[#This Row],[quantity]])</f>
        <v>-244</v>
      </c>
      <c r="O279" t="s">
        <v>171</v>
      </c>
      <c r="P279">
        <f>IF(Table1[[#This Row],[side]]="Sell",Table1[[#This Row],[price]],"0")</f>
        <v>246.11</v>
      </c>
      <c r="Q279">
        <f>SUMIFS(Table1[quantity],Table1[company_id],Table8[[#This Row],[COMPANY_ID]],Table1[side],"BUY")-SUMIFS(Table1[quantity],Table1[company_id],Table8[[#This Row],[COMPANY_ID]],Table1[side],"SELL")</f>
        <v>0</v>
      </c>
      <c r="R279">
        <f>Table1[[#This Row],[Column2]]-Table1[[#This Row],[Buy-sell]]</f>
        <v>246.11</v>
      </c>
      <c r="S279" t="str">
        <f>IF(Table1[[#This Row],[Sell-Buy]]&gt;0,"Profit","Loss")</f>
        <v>Profit</v>
      </c>
      <c r="T279" s="4" t="s">
        <v>589</v>
      </c>
      <c r="U279" s="8">
        <f>SUMIFS(Table1[price],Table1[order_id],Table15[[#This Row],[order_id]],Table1[side],"BUY")*Table15[[#This Row],[Buy_Quantity]]</f>
        <v>636044.41999999993</v>
      </c>
      <c r="V279" s="8">
        <f>SUMIFS(Table1[price],Table1[order_id],Table15[[#This Row],[order_id]],Table1[side],"SELL")</f>
        <v>0</v>
      </c>
      <c r="W279" s="8">
        <f>Table15[[#This Row],[sell]]-Table15[[#This Row],[Buy]]</f>
        <v>-285583944.57999998</v>
      </c>
      <c r="X279" s="8">
        <f>IF(Table15[[#This Row],[Profit]]&gt;0,1,0)</f>
        <v>0</v>
      </c>
      <c r="Y279" s="5" t="str">
        <f>IF(Table15[[#This Row],[is Profit]]=1,"Profit","Loss")</f>
        <v>Loss</v>
      </c>
      <c r="Z279" s="5">
        <f>SUMIFS(Table1[quantity],Table1[order_id],Table15[[#This Row],[order_id]],Table1[side],"SELL")</f>
        <v>0</v>
      </c>
      <c r="AA279" s="5">
        <f>Table15[[#This Row],[Buy_value]]*Table15[[#This Row],[Buy_Quantity]]</f>
        <v>285583944.57999998</v>
      </c>
      <c r="AB279" s="5">
        <f>Table15[[#This Row],[Sell_Value]]*Table15[[#This Row],[Sell_Quantity]]</f>
        <v>0</v>
      </c>
      <c r="AC279" s="5">
        <f>SUMIFS(Table1[quantity],Table1[order_id],Table15[[#This Row],[order_id]],Table1[side],"BUY")</f>
        <v>449</v>
      </c>
      <c r="AE279" s="10" t="s">
        <v>1066</v>
      </c>
      <c r="AF279" s="10" t="str">
        <f>IF(Table1[[#This Row],[Sell-Buy]]&gt;0,"Profit","Loss")</f>
        <v>Profit</v>
      </c>
      <c r="AG279">
        <f>Table1[[#This Row],[Column2]]-Table1[[#This Row],[Buy-sell]]</f>
        <v>246.11</v>
      </c>
    </row>
    <row r="280" spans="1:33" x14ac:dyDescent="0.3">
      <c r="A280" t="s">
        <v>974</v>
      </c>
      <c r="B280" t="s">
        <v>630</v>
      </c>
      <c r="C280" s="1">
        <v>45807.01666666667</v>
      </c>
      <c r="D280" t="s">
        <v>22</v>
      </c>
      <c r="E280" t="s">
        <v>166</v>
      </c>
      <c r="F280">
        <v>469</v>
      </c>
      <c r="G280">
        <v>253.45</v>
      </c>
      <c r="H280">
        <v>59.43</v>
      </c>
      <c r="I280" t="s">
        <v>120</v>
      </c>
      <c r="J280" t="s">
        <v>58</v>
      </c>
      <c r="L280" s="1">
        <v>45831</v>
      </c>
      <c r="M280" t="s">
        <v>166</v>
      </c>
      <c r="N280">
        <f>IF(Table1[[#This Row],[side]]="BUY", Table1[[#This Row],[quantity]],-Table1[[#This Row],[quantity]])</f>
        <v>469</v>
      </c>
      <c r="P280" t="str">
        <f>IF(Table1[[#This Row],[side]]="Sell",Table1[[#This Row],[price]],"0")</f>
        <v>0</v>
      </c>
      <c r="Q280">
        <f>SUMIFS(Table1[quantity],Table1[company_id],Table8[[#This Row],[COMPANY_ID]],Table1[side],"BUY")-SUMIFS(Table1[quantity],Table1[company_id],Table8[[#This Row],[COMPANY_ID]],Table1[side],"SELL")</f>
        <v>0</v>
      </c>
      <c r="R280">
        <f>Table1[[#This Row],[Column2]]-Table1[[#This Row],[Buy-sell]]</f>
        <v>0</v>
      </c>
      <c r="S280" t="str">
        <f>IF(Table1[[#This Row],[Sell-Buy]]&gt;0,"Profit","Loss")</f>
        <v>Loss</v>
      </c>
      <c r="T280" s="5" t="s">
        <v>591</v>
      </c>
      <c r="U280" s="8">
        <f>SUMIFS(Table1[price],Table1[order_id],Table15[[#This Row],[order_id]],Table1[side],"BUY")*Table15[[#This Row],[Buy_Quantity]]</f>
        <v>325430.90999999997</v>
      </c>
      <c r="V280" s="8">
        <f>SUMIFS(Table1[price],Table1[order_id],Table15[[#This Row],[order_id]],Table1[side],"SELL")</f>
        <v>0</v>
      </c>
      <c r="W280" s="8">
        <f>Table15[[#This Row],[sell]]-Table15[[#This Row],[Buy]]</f>
        <v>-157183129.53</v>
      </c>
      <c r="X280" s="8">
        <f>IF(Table15[[#This Row],[Profit]]&gt;0,1,0)</f>
        <v>0</v>
      </c>
      <c r="Y280" s="5" t="str">
        <f>IF(Table15[[#This Row],[is Profit]]=1,"Profit","Loss")</f>
        <v>Loss</v>
      </c>
      <c r="Z280" s="5">
        <f>SUMIFS(Table1[quantity],Table1[order_id],Table15[[#This Row],[order_id]],Table1[side],"SELL")</f>
        <v>0</v>
      </c>
      <c r="AA280" s="5">
        <f>Table15[[#This Row],[Buy_value]]*Table15[[#This Row],[Buy_Quantity]]</f>
        <v>157183129.53</v>
      </c>
      <c r="AB280" s="5">
        <f>Table15[[#This Row],[Sell_Value]]*Table15[[#This Row],[Sell_Quantity]]</f>
        <v>0</v>
      </c>
      <c r="AC280" s="5">
        <f>SUMIFS(Table1[quantity],Table1[order_id],Table15[[#This Row],[order_id]],Table1[side],"BUY")</f>
        <v>483</v>
      </c>
      <c r="AE280" s="9" t="s">
        <v>1087</v>
      </c>
      <c r="AF280" s="10" t="str">
        <f>IF(Table1[[#This Row],[Sell-Buy]]&gt;0,"Profit","Loss")</f>
        <v>Loss</v>
      </c>
      <c r="AG280">
        <f>Table1[[#This Row],[Column2]]-Table1[[#This Row],[Buy-sell]]</f>
        <v>0</v>
      </c>
    </row>
    <row r="281" spans="1:33" x14ac:dyDescent="0.3">
      <c r="A281" t="s">
        <v>981</v>
      </c>
      <c r="B281" t="s">
        <v>576</v>
      </c>
      <c r="C281" s="1">
        <v>45831.001388888886</v>
      </c>
      <c r="D281" t="s">
        <v>22</v>
      </c>
      <c r="E281" t="s">
        <v>166</v>
      </c>
      <c r="F281">
        <v>720</v>
      </c>
      <c r="G281">
        <v>263.35000000000002</v>
      </c>
      <c r="H281">
        <v>94.81</v>
      </c>
      <c r="I281" t="s">
        <v>100</v>
      </c>
      <c r="J281" t="s">
        <v>67</v>
      </c>
      <c r="L281" s="1">
        <v>45793</v>
      </c>
      <c r="M281" t="s">
        <v>166</v>
      </c>
      <c r="N281">
        <f>IF(Table1[[#This Row],[side]]="BUY", Table1[[#This Row],[quantity]],-Table1[[#This Row],[quantity]])</f>
        <v>720</v>
      </c>
      <c r="P281" t="str">
        <f>IF(Table1[[#This Row],[side]]="Sell",Table1[[#This Row],[price]],"0")</f>
        <v>0</v>
      </c>
      <c r="Q281">
        <f>SUMIFS(Table1[quantity],Table1[company_id],Table8[[#This Row],[COMPANY_ID]],Table1[side],"BUY")-SUMIFS(Table1[quantity],Table1[company_id],Table8[[#This Row],[COMPANY_ID]],Table1[side],"SELL")</f>
        <v>0</v>
      </c>
      <c r="R281">
        <f>Table1[[#This Row],[Column2]]-Table1[[#This Row],[Buy-sell]]</f>
        <v>0</v>
      </c>
      <c r="S281" t="str">
        <f>IF(Table1[[#This Row],[Sell-Buy]]&gt;0,"Profit","Loss")</f>
        <v>Loss</v>
      </c>
      <c r="T281" s="5" t="s">
        <v>592</v>
      </c>
      <c r="U281" s="8">
        <f>SUMIFS(Table1[price],Table1[order_id],Table15[[#This Row],[order_id]],Table1[side],"BUY")*Table15[[#This Row],[Buy_Quantity]]</f>
        <v>3539088.84</v>
      </c>
      <c r="V281" s="8">
        <f>SUMIFS(Table1[price],Table1[order_id],Table15[[#This Row],[order_id]],Table1[side],"SELL")</f>
        <v>0</v>
      </c>
      <c r="W281" s="8">
        <f>Table15[[#This Row],[sell]]-Table15[[#This Row],[Buy]]</f>
        <v>-4062873988.3199997</v>
      </c>
      <c r="X281" s="8">
        <f>IF(Table15[[#This Row],[Profit]]&gt;0,1,0)</f>
        <v>0</v>
      </c>
      <c r="Y281" s="5" t="str">
        <f>IF(Table15[[#This Row],[is Profit]]=1,"Profit","Loss")</f>
        <v>Loss</v>
      </c>
      <c r="Z281" s="5">
        <f>SUMIFS(Table1[quantity],Table1[order_id],Table15[[#This Row],[order_id]],Table1[side],"SELL")</f>
        <v>0</v>
      </c>
      <c r="AA281" s="5">
        <f>Table15[[#This Row],[Buy_value]]*Table15[[#This Row],[Buy_Quantity]]</f>
        <v>4062873988.3199997</v>
      </c>
      <c r="AB281" s="5">
        <f>Table15[[#This Row],[Sell_Value]]*Table15[[#This Row],[Sell_Quantity]]</f>
        <v>0</v>
      </c>
      <c r="AC281" s="5">
        <f>SUMIFS(Table1[quantity],Table1[order_id],Table15[[#This Row],[order_id]],Table1[side],"BUY")</f>
        <v>1148</v>
      </c>
      <c r="AE281" s="10" t="s">
        <v>785</v>
      </c>
      <c r="AF281" s="10" t="str">
        <f>IF(Table1[[#This Row],[Sell-Buy]]&gt;0,"Profit","Loss")</f>
        <v>Loss</v>
      </c>
      <c r="AG281">
        <f>Table1[[#This Row],[Column2]]-Table1[[#This Row],[Buy-sell]]</f>
        <v>0</v>
      </c>
    </row>
    <row r="282" spans="1:33" x14ac:dyDescent="0.3">
      <c r="A282" t="s">
        <v>986</v>
      </c>
      <c r="B282" t="s">
        <v>290</v>
      </c>
      <c r="C282" s="1">
        <v>45812.039583333331</v>
      </c>
      <c r="D282" t="s">
        <v>22</v>
      </c>
      <c r="E282" t="s">
        <v>166</v>
      </c>
      <c r="F282">
        <v>259</v>
      </c>
      <c r="G282">
        <v>252.63</v>
      </c>
      <c r="H282">
        <v>32.72</v>
      </c>
      <c r="I282" t="s">
        <v>116</v>
      </c>
      <c r="J282" t="s">
        <v>73</v>
      </c>
      <c r="L282" s="1">
        <v>45832</v>
      </c>
      <c r="M282" t="s">
        <v>166</v>
      </c>
      <c r="N282">
        <f>IF(Table1[[#This Row],[side]]="BUY", Table1[[#This Row],[quantity]],-Table1[[#This Row],[quantity]])</f>
        <v>259</v>
      </c>
      <c r="P282" t="str">
        <f>IF(Table1[[#This Row],[side]]="Sell",Table1[[#This Row],[price]],"0")</f>
        <v>0</v>
      </c>
      <c r="Q282">
        <f>SUMIFS(Table1[quantity],Table1[company_id],Table8[[#This Row],[COMPANY_ID]],Table1[side],"BUY")-SUMIFS(Table1[quantity],Table1[company_id],Table8[[#This Row],[COMPANY_ID]],Table1[side],"SELL")</f>
        <v>0</v>
      </c>
      <c r="R282">
        <f>Table1[[#This Row],[Column2]]-Table1[[#This Row],[Buy-sell]]</f>
        <v>0</v>
      </c>
      <c r="S282" t="str">
        <f>IF(Table1[[#This Row],[Sell-Buy]]&gt;0,"Profit","Loss")</f>
        <v>Loss</v>
      </c>
      <c r="T282" s="5" t="s">
        <v>593</v>
      </c>
      <c r="U282" s="8">
        <f>SUMIFS(Table1[price],Table1[order_id],Table15[[#This Row],[order_id]],Table1[side],"BUY")*Table15[[#This Row],[Buy_Quantity]]</f>
        <v>543855.87</v>
      </c>
      <c r="V282" s="8">
        <f>SUMIFS(Table1[price],Table1[order_id],Table15[[#This Row],[order_id]],Table1[side],"SELL")</f>
        <v>0</v>
      </c>
      <c r="W282" s="8">
        <f>Table15[[#This Row],[sell]]-Table15[[#This Row],[Buy]]</f>
        <v>-298576872.63</v>
      </c>
      <c r="X282" s="8">
        <f>IF(Table15[[#This Row],[Profit]]&gt;0,1,0)</f>
        <v>0</v>
      </c>
      <c r="Y282" s="5" t="str">
        <f>IF(Table15[[#This Row],[is Profit]]=1,"Profit","Loss")</f>
        <v>Loss</v>
      </c>
      <c r="Z282" s="5">
        <f>SUMIFS(Table1[quantity],Table1[order_id],Table15[[#This Row],[order_id]],Table1[side],"SELL")</f>
        <v>0</v>
      </c>
      <c r="AA282" s="5">
        <f>Table15[[#This Row],[Buy_value]]*Table15[[#This Row],[Buy_Quantity]]</f>
        <v>298576872.63</v>
      </c>
      <c r="AB282" s="5">
        <f>Table15[[#This Row],[Sell_Value]]*Table15[[#This Row],[Sell_Quantity]]</f>
        <v>0</v>
      </c>
      <c r="AC282" s="5">
        <f>SUMIFS(Table1[quantity],Table1[order_id],Table15[[#This Row],[order_id]],Table1[side],"BUY")</f>
        <v>549</v>
      </c>
      <c r="AE282" s="9" t="s">
        <v>805</v>
      </c>
      <c r="AF282" s="10" t="str">
        <f>IF(Table1[[#This Row],[Sell-Buy]]&gt;0,"Profit","Loss")</f>
        <v>Loss</v>
      </c>
      <c r="AG282">
        <f>Table1[[#This Row],[Column2]]-Table1[[#This Row],[Buy-sell]]</f>
        <v>0</v>
      </c>
    </row>
    <row r="283" spans="1:33" x14ac:dyDescent="0.3">
      <c r="A283" t="s">
        <v>1000</v>
      </c>
      <c r="B283" t="s">
        <v>323</v>
      </c>
      <c r="C283" s="1">
        <v>45672.011805555558</v>
      </c>
      <c r="D283" t="s">
        <v>22</v>
      </c>
      <c r="E283" t="s">
        <v>166</v>
      </c>
      <c r="F283">
        <v>455</v>
      </c>
      <c r="G283">
        <v>233.25</v>
      </c>
      <c r="H283">
        <v>53.06</v>
      </c>
      <c r="I283" t="s">
        <v>100</v>
      </c>
      <c r="J283" t="s">
        <v>73</v>
      </c>
      <c r="L283" s="1">
        <v>45720</v>
      </c>
      <c r="M283" t="s">
        <v>166</v>
      </c>
      <c r="N283">
        <f>IF(Table1[[#This Row],[side]]="BUY", Table1[[#This Row],[quantity]],-Table1[[#This Row],[quantity]])</f>
        <v>455</v>
      </c>
      <c r="P283" t="str">
        <f>IF(Table1[[#This Row],[side]]="Sell",Table1[[#This Row],[price]],"0")</f>
        <v>0</v>
      </c>
      <c r="Q283">
        <f>SUMIFS(Table1[quantity],Table1[company_id],Table8[[#This Row],[COMPANY_ID]],Table1[side],"BUY")-SUMIFS(Table1[quantity],Table1[company_id],Table8[[#This Row],[COMPANY_ID]],Table1[side],"SELL")</f>
        <v>0</v>
      </c>
      <c r="R283">
        <f>Table1[[#This Row],[Column2]]-Table1[[#This Row],[Buy-sell]]</f>
        <v>0</v>
      </c>
      <c r="S283" t="str">
        <f>IF(Table1[[#This Row],[Sell-Buy]]&gt;0,"Profit","Loss")</f>
        <v>Loss</v>
      </c>
      <c r="T283" s="5" t="s">
        <v>594</v>
      </c>
      <c r="U283" s="8">
        <f>SUMIFS(Table1[price],Table1[order_id],Table15[[#This Row],[order_id]],Table1[side],"BUY")*Table15[[#This Row],[Buy_Quantity]]</f>
        <v>134676.5</v>
      </c>
      <c r="V283" s="8">
        <f>SUMIFS(Table1[price],Table1[order_id],Table15[[#This Row],[order_id]],Table1[side],"SELL")</f>
        <v>1379.83</v>
      </c>
      <c r="W283" s="8">
        <f>Table15[[#This Row],[sell]]-Table15[[#This Row],[Buy]]</f>
        <v>-22505918.399999999</v>
      </c>
      <c r="X283" s="8">
        <f>IF(Table15[[#This Row],[Profit]]&gt;0,1,0)</f>
        <v>0</v>
      </c>
      <c r="Y283" s="5" t="str">
        <f>IF(Table15[[#This Row],[is Profit]]=1,"Profit","Loss")</f>
        <v>Loss</v>
      </c>
      <c r="Z283" s="5">
        <f>SUMIFS(Table1[quantity],Table1[order_id],Table15[[#This Row],[order_id]],Table1[side],"SELL")</f>
        <v>770</v>
      </c>
      <c r="AA283" s="5">
        <f>Table15[[#This Row],[Buy_value]]*Table15[[#This Row],[Buy_Quantity]]</f>
        <v>23568387.5</v>
      </c>
      <c r="AB283" s="5">
        <f>Table15[[#This Row],[Sell_Value]]*Table15[[#This Row],[Sell_Quantity]]</f>
        <v>1062469.0999999999</v>
      </c>
      <c r="AC283" s="5">
        <f>SUMIFS(Table1[quantity],Table1[order_id],Table15[[#This Row],[order_id]],Table1[side],"BUY")</f>
        <v>175</v>
      </c>
      <c r="AE283" s="10" t="s">
        <v>836</v>
      </c>
      <c r="AF283" s="10" t="str">
        <f>IF(Table1[[#This Row],[Sell-Buy]]&gt;0,"Profit","Loss")</f>
        <v>Loss</v>
      </c>
      <c r="AG283">
        <f>Table1[[#This Row],[Column2]]-Table1[[#This Row],[Buy-sell]]</f>
        <v>0</v>
      </c>
    </row>
    <row r="284" spans="1:33" x14ac:dyDescent="0.3">
      <c r="A284" t="s">
        <v>1001</v>
      </c>
      <c r="B284" t="s">
        <v>174</v>
      </c>
      <c r="C284" s="1">
        <v>45706.013194444444</v>
      </c>
      <c r="D284" t="s">
        <v>22</v>
      </c>
      <c r="E284" t="s">
        <v>171</v>
      </c>
      <c r="F284">
        <v>854</v>
      </c>
      <c r="G284">
        <v>232.55</v>
      </c>
      <c r="H284">
        <v>99.3</v>
      </c>
      <c r="I284" t="s">
        <v>120</v>
      </c>
      <c r="J284" t="s">
        <v>58</v>
      </c>
      <c r="L284" s="1">
        <v>45719</v>
      </c>
      <c r="N284">
        <f>IF(Table1[[#This Row],[side]]="BUY", Table1[[#This Row],[quantity]],-Table1[[#This Row],[quantity]])</f>
        <v>-854</v>
      </c>
      <c r="O284" t="s">
        <v>171</v>
      </c>
      <c r="P284">
        <f>IF(Table1[[#This Row],[side]]="Sell",Table1[[#This Row],[price]],"0")</f>
        <v>232.55</v>
      </c>
      <c r="Q284">
        <f>SUMIFS(Table1[quantity],Table1[company_id],Table8[[#This Row],[COMPANY_ID]],Table1[side],"BUY")-SUMIFS(Table1[quantity],Table1[company_id],Table8[[#This Row],[COMPANY_ID]],Table1[side],"SELL")</f>
        <v>0</v>
      </c>
      <c r="R284">
        <f>Table1[[#This Row],[Column2]]-Table1[[#This Row],[Buy-sell]]</f>
        <v>232.55</v>
      </c>
      <c r="S284" t="str">
        <f>IF(Table1[[#This Row],[Sell-Buy]]&gt;0,"Profit","Loss")</f>
        <v>Profit</v>
      </c>
      <c r="T284" s="5" t="s">
        <v>595</v>
      </c>
      <c r="U284" s="8">
        <f>SUMIFS(Table1[price],Table1[order_id],Table15[[#This Row],[order_id]],Table1[side],"BUY")*Table15[[#This Row],[Buy_Quantity]]</f>
        <v>804301.16</v>
      </c>
      <c r="V284" s="8">
        <f>SUMIFS(Table1[price],Table1[order_id],Table15[[#This Row],[order_id]],Table1[side],"SELL")</f>
        <v>0</v>
      </c>
      <c r="W284" s="8">
        <f>Table15[[#This Row],[sell]]-Table15[[#This Row],[Buy]]</f>
        <v>-794649546.08000004</v>
      </c>
      <c r="X284" s="8">
        <f>IF(Table15[[#This Row],[Profit]]&gt;0,1,0)</f>
        <v>0</v>
      </c>
      <c r="Y284" s="5" t="str">
        <f>IF(Table15[[#This Row],[is Profit]]=1,"Profit","Loss")</f>
        <v>Loss</v>
      </c>
      <c r="Z284" s="5">
        <f>SUMIFS(Table1[quantity],Table1[order_id],Table15[[#This Row],[order_id]],Table1[side],"SELL")</f>
        <v>0</v>
      </c>
      <c r="AA284" s="5">
        <f>Table15[[#This Row],[Buy_value]]*Table15[[#This Row],[Buy_Quantity]]</f>
        <v>794649546.08000004</v>
      </c>
      <c r="AB284" s="5">
        <f>Table15[[#This Row],[Sell_Value]]*Table15[[#This Row],[Sell_Quantity]]</f>
        <v>0</v>
      </c>
      <c r="AC284" s="5">
        <f>SUMIFS(Table1[quantity],Table1[order_id],Table15[[#This Row],[order_id]],Table1[side],"BUY")</f>
        <v>988</v>
      </c>
      <c r="AE284" s="9" t="s">
        <v>802</v>
      </c>
      <c r="AF284" s="10" t="str">
        <f>IF(Table1[[#This Row],[Sell-Buy]]&gt;0,"Profit","Loss")</f>
        <v>Profit</v>
      </c>
      <c r="AG284">
        <f>Table1[[#This Row],[Column2]]-Table1[[#This Row],[Buy-sell]]</f>
        <v>232.55</v>
      </c>
    </row>
    <row r="285" spans="1:33" x14ac:dyDescent="0.3">
      <c r="A285" t="s">
        <v>1004</v>
      </c>
      <c r="B285" t="s">
        <v>345</v>
      </c>
      <c r="C285" s="1">
        <v>45824.001388888886</v>
      </c>
      <c r="D285" t="s">
        <v>22</v>
      </c>
      <c r="E285" t="s">
        <v>171</v>
      </c>
      <c r="F285">
        <v>301</v>
      </c>
      <c r="G285">
        <v>258.60000000000002</v>
      </c>
      <c r="H285">
        <v>38.92</v>
      </c>
      <c r="I285" t="s">
        <v>108</v>
      </c>
      <c r="J285" t="s">
        <v>64</v>
      </c>
      <c r="L285" s="1">
        <v>45742</v>
      </c>
      <c r="N285">
        <f>IF(Table1[[#This Row],[side]]="BUY", Table1[[#This Row],[quantity]],-Table1[[#This Row],[quantity]])</f>
        <v>-301</v>
      </c>
      <c r="O285" t="s">
        <v>171</v>
      </c>
      <c r="P285">
        <f>IF(Table1[[#This Row],[side]]="Sell",Table1[[#This Row],[price]],"0")</f>
        <v>258.60000000000002</v>
      </c>
      <c r="Q285">
        <f>SUMIFS(Table1[quantity],Table1[company_id],Table8[[#This Row],[COMPANY_ID]],Table1[side],"BUY")-SUMIFS(Table1[quantity],Table1[company_id],Table8[[#This Row],[COMPANY_ID]],Table1[side],"SELL")</f>
        <v>0</v>
      </c>
      <c r="R285">
        <f>Table1[[#This Row],[Column2]]-Table1[[#This Row],[Buy-sell]]</f>
        <v>258.60000000000002</v>
      </c>
      <c r="S285" t="str">
        <f>IF(Table1[[#This Row],[Sell-Buy]]&gt;0,"Profit","Loss")</f>
        <v>Profit</v>
      </c>
      <c r="T285" s="4" t="s">
        <v>596</v>
      </c>
      <c r="U285" s="8">
        <f>SUMIFS(Table1[price],Table1[order_id],Table15[[#This Row],[order_id]],Table1[side],"BUY")*Table15[[#This Row],[Buy_Quantity]]</f>
        <v>12896.24</v>
      </c>
      <c r="V285" s="8">
        <f>SUMIFS(Table1[price],Table1[order_id],Table15[[#This Row],[order_id]],Table1[side],"SELL")</f>
        <v>473.97</v>
      </c>
      <c r="W285" s="8">
        <f>Table15[[#This Row],[sell]]-Table15[[#This Row],[Buy]]</f>
        <v>-468141.5199999999</v>
      </c>
      <c r="X285" s="8">
        <f>IF(Table15[[#This Row],[Profit]]&gt;0,1,0)</f>
        <v>0</v>
      </c>
      <c r="Y285" s="5" t="str">
        <f>IF(Table15[[#This Row],[is Profit]]=1,"Profit","Loss")</f>
        <v>Loss</v>
      </c>
      <c r="Z285" s="5">
        <f>SUMIFS(Table1[quantity],Table1[order_id],Table15[[#This Row],[order_id]],Table1[side],"SELL")</f>
        <v>536</v>
      </c>
      <c r="AA285" s="5">
        <f>Table15[[#This Row],[Buy_value]]*Table15[[#This Row],[Buy_Quantity]]</f>
        <v>722189.44</v>
      </c>
      <c r="AB285" s="5">
        <f>Table15[[#This Row],[Sell_Value]]*Table15[[#This Row],[Sell_Quantity]]</f>
        <v>254047.92</v>
      </c>
      <c r="AC285" s="5">
        <f>SUMIFS(Table1[quantity],Table1[order_id],Table15[[#This Row],[order_id]],Table1[side],"BUY")</f>
        <v>56</v>
      </c>
      <c r="AE285" s="10" t="s">
        <v>706</v>
      </c>
      <c r="AF285" s="10" t="str">
        <f>IF(Table1[[#This Row],[Sell-Buy]]&gt;0,"Profit","Loss")</f>
        <v>Profit</v>
      </c>
      <c r="AG285">
        <f>Table1[[#This Row],[Column2]]-Table1[[#This Row],[Buy-sell]]</f>
        <v>258.60000000000002</v>
      </c>
    </row>
    <row r="286" spans="1:33" x14ac:dyDescent="0.3">
      <c r="A286" t="s">
        <v>1027</v>
      </c>
      <c r="B286" t="s">
        <v>405</v>
      </c>
      <c r="C286" s="1">
        <v>45679.015972222223</v>
      </c>
      <c r="D286" t="s">
        <v>22</v>
      </c>
      <c r="E286" t="s">
        <v>166</v>
      </c>
      <c r="F286">
        <v>432</v>
      </c>
      <c r="G286">
        <v>236.31</v>
      </c>
      <c r="H286">
        <v>51.04</v>
      </c>
      <c r="I286" t="s">
        <v>146</v>
      </c>
      <c r="J286" t="s">
        <v>70</v>
      </c>
      <c r="L286" s="1">
        <v>45821</v>
      </c>
      <c r="M286" t="s">
        <v>166</v>
      </c>
      <c r="N286">
        <f>IF(Table1[[#This Row],[side]]="BUY", Table1[[#This Row],[quantity]],-Table1[[#This Row],[quantity]])</f>
        <v>432</v>
      </c>
      <c r="P286" t="str">
        <f>IF(Table1[[#This Row],[side]]="Sell",Table1[[#This Row],[price]],"0")</f>
        <v>0</v>
      </c>
      <c r="Q286">
        <f>SUMIFS(Table1[quantity],Table1[company_id],Table8[[#This Row],[COMPANY_ID]],Table1[side],"BUY")-SUMIFS(Table1[quantity],Table1[company_id],Table8[[#This Row],[COMPANY_ID]],Table1[side],"SELL")</f>
        <v>0</v>
      </c>
      <c r="R286">
        <f>Table1[[#This Row],[Column2]]-Table1[[#This Row],[Buy-sell]]</f>
        <v>0</v>
      </c>
      <c r="S286" t="str">
        <f>IF(Table1[[#This Row],[Sell-Buy]]&gt;0,"Profit","Loss")</f>
        <v>Loss</v>
      </c>
      <c r="T286" s="5" t="s">
        <v>597</v>
      </c>
      <c r="U286" s="8">
        <f>SUMIFS(Table1[price],Table1[order_id],Table15[[#This Row],[order_id]],Table1[side],"BUY")*Table15[[#This Row],[Buy_Quantity]]</f>
        <v>2994569.83</v>
      </c>
      <c r="V286" s="8">
        <f>SUMIFS(Table1[price],Table1[order_id],Table15[[#This Row],[order_id]],Table1[side],"SELL")</f>
        <v>585.1</v>
      </c>
      <c r="W286" s="8">
        <f>Table15[[#This Row],[sell]]-Table15[[#This Row],[Buy]]</f>
        <v>-2661661201.4699998</v>
      </c>
      <c r="X286" s="8">
        <f>IF(Table15[[#This Row],[Profit]]&gt;0,1,0)</f>
        <v>0</v>
      </c>
      <c r="Y286" s="5" t="str">
        <f>IF(Table15[[#This Row],[is Profit]]=1,"Profit","Loss")</f>
        <v>Loss</v>
      </c>
      <c r="Z286" s="5">
        <f>SUMIFS(Table1[quantity],Table1[order_id],Table15[[#This Row],[order_id]],Table1[side],"SELL")</f>
        <v>874</v>
      </c>
      <c r="AA286" s="5">
        <f>Table15[[#This Row],[Buy_value]]*Table15[[#This Row],[Buy_Quantity]]</f>
        <v>2662172578.8699999</v>
      </c>
      <c r="AB286" s="5">
        <f>Table15[[#This Row],[Sell_Value]]*Table15[[#This Row],[Sell_Quantity]]</f>
        <v>511377.4</v>
      </c>
      <c r="AC286" s="5">
        <f>SUMIFS(Table1[quantity],Table1[order_id],Table15[[#This Row],[order_id]],Table1[side],"BUY")</f>
        <v>889</v>
      </c>
      <c r="AE286" s="9" t="s">
        <v>880</v>
      </c>
      <c r="AF286" s="10" t="str">
        <f>IF(Table1[[#This Row],[Sell-Buy]]&gt;0,"Profit","Loss")</f>
        <v>Loss</v>
      </c>
      <c r="AG286">
        <f>Table1[[#This Row],[Column2]]-Table1[[#This Row],[Buy-sell]]</f>
        <v>0</v>
      </c>
    </row>
    <row r="287" spans="1:33" x14ac:dyDescent="0.3">
      <c r="A287" t="s">
        <v>1038</v>
      </c>
      <c r="B287" t="s">
        <v>432</v>
      </c>
      <c r="C287" s="1">
        <v>45673.037499999999</v>
      </c>
      <c r="D287" t="s">
        <v>22</v>
      </c>
      <c r="E287" t="s">
        <v>171</v>
      </c>
      <c r="F287">
        <v>165</v>
      </c>
      <c r="G287">
        <v>233.9</v>
      </c>
      <c r="H287">
        <v>19.3</v>
      </c>
      <c r="I287" t="s">
        <v>120</v>
      </c>
      <c r="J287" t="s">
        <v>52</v>
      </c>
      <c r="L287" s="1">
        <v>45728</v>
      </c>
      <c r="N287">
        <f>IF(Table1[[#This Row],[side]]="BUY", Table1[[#This Row],[quantity]],-Table1[[#This Row],[quantity]])</f>
        <v>-165</v>
      </c>
      <c r="O287" t="s">
        <v>171</v>
      </c>
      <c r="P287">
        <f>IF(Table1[[#This Row],[side]]="Sell",Table1[[#This Row],[price]],"0")</f>
        <v>233.9</v>
      </c>
      <c r="Q287">
        <f>SUMIFS(Table1[quantity],Table1[company_id],Table8[[#This Row],[COMPANY_ID]],Table1[side],"BUY")-SUMIFS(Table1[quantity],Table1[company_id],Table8[[#This Row],[COMPANY_ID]],Table1[side],"SELL")</f>
        <v>0</v>
      </c>
      <c r="R287">
        <f>Table1[[#This Row],[Column2]]-Table1[[#This Row],[Buy-sell]]</f>
        <v>233.9</v>
      </c>
      <c r="S287" t="str">
        <f>IF(Table1[[#This Row],[Sell-Buy]]&gt;0,"Profit","Loss")</f>
        <v>Profit</v>
      </c>
      <c r="T287" s="4" t="s">
        <v>599</v>
      </c>
      <c r="U287" s="8">
        <f>SUMIFS(Table1[price],Table1[order_id],Table15[[#This Row],[order_id]],Table1[side],"BUY")*Table15[[#This Row],[Buy_Quantity]]</f>
        <v>80346.880000000005</v>
      </c>
      <c r="V287" s="8">
        <f>SUMIFS(Table1[price],Table1[order_id],Table15[[#This Row],[order_id]],Table1[side],"SELL")</f>
        <v>0</v>
      </c>
      <c r="W287" s="8">
        <f>Table15[[#This Row],[sell]]-Table15[[#This Row],[Buy]]</f>
        <v>-10284400.640000001</v>
      </c>
      <c r="X287" s="8">
        <f>IF(Table15[[#This Row],[Profit]]&gt;0,1,0)</f>
        <v>0</v>
      </c>
      <c r="Y287" s="5" t="str">
        <f>IF(Table15[[#This Row],[is Profit]]=1,"Profit","Loss")</f>
        <v>Loss</v>
      </c>
      <c r="Z287" s="5">
        <f>SUMIFS(Table1[quantity],Table1[order_id],Table15[[#This Row],[order_id]],Table1[side],"SELL")</f>
        <v>0</v>
      </c>
      <c r="AA287" s="5">
        <f>Table15[[#This Row],[Buy_value]]*Table15[[#This Row],[Buy_Quantity]]</f>
        <v>10284400.640000001</v>
      </c>
      <c r="AB287" s="5">
        <f>Table15[[#This Row],[Sell_Value]]*Table15[[#This Row],[Sell_Quantity]]</f>
        <v>0</v>
      </c>
      <c r="AC287" s="5">
        <f>SUMIFS(Table1[quantity],Table1[order_id],Table15[[#This Row],[order_id]],Table1[side],"BUY")</f>
        <v>128</v>
      </c>
      <c r="AE287" s="10" t="s">
        <v>892</v>
      </c>
      <c r="AF287" s="10" t="str">
        <f>IF(Table1[[#This Row],[Sell-Buy]]&gt;0,"Profit","Loss")</f>
        <v>Profit</v>
      </c>
      <c r="AG287">
        <f>Table1[[#This Row],[Column2]]-Table1[[#This Row],[Buy-sell]]</f>
        <v>233.9</v>
      </c>
    </row>
    <row r="288" spans="1:33" x14ac:dyDescent="0.3">
      <c r="A288" t="s">
        <v>1040</v>
      </c>
      <c r="B288" t="s">
        <v>596</v>
      </c>
      <c r="C288" s="1">
        <v>45688.040972222225</v>
      </c>
      <c r="D288" t="s">
        <v>22</v>
      </c>
      <c r="E288" t="s">
        <v>171</v>
      </c>
      <c r="F288">
        <v>164</v>
      </c>
      <c r="G288">
        <v>230.11</v>
      </c>
      <c r="H288">
        <v>18.87</v>
      </c>
      <c r="I288" t="s">
        <v>88</v>
      </c>
      <c r="J288" t="s">
        <v>64</v>
      </c>
      <c r="L288" s="1">
        <v>45810</v>
      </c>
      <c r="N288">
        <f>IF(Table1[[#This Row],[side]]="BUY", Table1[[#This Row],[quantity]],-Table1[[#This Row],[quantity]])</f>
        <v>-164</v>
      </c>
      <c r="O288" t="s">
        <v>171</v>
      </c>
      <c r="P288">
        <f>IF(Table1[[#This Row],[side]]="Sell",Table1[[#This Row],[price]],"0")</f>
        <v>230.11</v>
      </c>
      <c r="Q288">
        <f>SUMIFS(Table1[quantity],Table1[company_id],Table8[[#This Row],[COMPANY_ID]],Table1[side],"BUY")-SUMIFS(Table1[quantity],Table1[company_id],Table8[[#This Row],[COMPANY_ID]],Table1[side],"SELL")</f>
        <v>0</v>
      </c>
      <c r="R288">
        <f>Table1[[#This Row],[Column2]]-Table1[[#This Row],[Buy-sell]]</f>
        <v>230.11</v>
      </c>
      <c r="S288" t="str">
        <f>IF(Table1[[#This Row],[Sell-Buy]]&gt;0,"Profit","Loss")</f>
        <v>Profit</v>
      </c>
      <c r="T288" s="4" t="s">
        <v>600</v>
      </c>
      <c r="U288" s="8">
        <f>SUMIFS(Table1[price],Table1[order_id],Table15[[#This Row],[order_id]],Table1[side],"BUY")*Table15[[#This Row],[Buy_Quantity]]</f>
        <v>0</v>
      </c>
      <c r="V288" s="8">
        <f>SUMIFS(Table1[price],Table1[order_id],Table15[[#This Row],[order_id]],Table1[side],"SELL")</f>
        <v>2264.2600000000002</v>
      </c>
      <c r="W288" s="8">
        <f>Table15[[#This Row],[sell]]-Table15[[#This Row],[Buy]]</f>
        <v>2549556.7600000002</v>
      </c>
      <c r="X288" s="8">
        <f>IF(Table15[[#This Row],[Profit]]&gt;0,1,0)</f>
        <v>1</v>
      </c>
      <c r="Y288" s="5" t="str">
        <f>IF(Table15[[#This Row],[is Profit]]=1,"Profit","Loss")</f>
        <v>Profit</v>
      </c>
      <c r="Z288" s="5">
        <f>SUMIFS(Table1[quantity],Table1[order_id],Table15[[#This Row],[order_id]],Table1[side],"SELL")</f>
        <v>1126</v>
      </c>
      <c r="AA288" s="5">
        <f>Table15[[#This Row],[Buy_value]]*Table15[[#This Row],[Buy_Quantity]]</f>
        <v>0</v>
      </c>
      <c r="AB288" s="5">
        <f>Table15[[#This Row],[Sell_Value]]*Table15[[#This Row],[Sell_Quantity]]</f>
        <v>2549556.7600000002</v>
      </c>
      <c r="AC288" s="5">
        <f>SUMIFS(Table1[quantity],Table1[order_id],Table15[[#This Row],[order_id]],Table1[side],"BUY")</f>
        <v>0</v>
      </c>
      <c r="AE288" s="9" t="s">
        <v>926</v>
      </c>
      <c r="AF288" s="10" t="str">
        <f>IF(Table1[[#This Row],[Sell-Buy]]&gt;0,"Profit","Loss")</f>
        <v>Profit</v>
      </c>
      <c r="AG288">
        <f>Table1[[#This Row],[Column2]]-Table1[[#This Row],[Buy-sell]]</f>
        <v>230.11</v>
      </c>
    </row>
    <row r="289" spans="1:33" x14ac:dyDescent="0.3">
      <c r="A289" t="s">
        <v>1056</v>
      </c>
      <c r="B289" t="s">
        <v>424</v>
      </c>
      <c r="C289" s="1">
        <v>45666.011111111111</v>
      </c>
      <c r="D289" t="s">
        <v>22</v>
      </c>
      <c r="E289" t="s">
        <v>166</v>
      </c>
      <c r="F289">
        <v>473</v>
      </c>
      <c r="G289">
        <v>227.37</v>
      </c>
      <c r="H289">
        <v>53.77</v>
      </c>
      <c r="I289" t="s">
        <v>148</v>
      </c>
      <c r="J289" t="s">
        <v>49</v>
      </c>
      <c r="L289" s="1">
        <v>45733</v>
      </c>
      <c r="M289" t="s">
        <v>166</v>
      </c>
      <c r="N289">
        <f>IF(Table1[[#This Row],[side]]="BUY", Table1[[#This Row],[quantity]],-Table1[[#This Row],[quantity]])</f>
        <v>473</v>
      </c>
      <c r="P289" t="str">
        <f>IF(Table1[[#This Row],[side]]="Sell",Table1[[#This Row],[price]],"0")</f>
        <v>0</v>
      </c>
      <c r="Q289">
        <f>SUMIFS(Table1[quantity],Table1[company_id],Table8[[#This Row],[COMPANY_ID]],Table1[side],"BUY")-SUMIFS(Table1[quantity],Table1[company_id],Table8[[#This Row],[COMPANY_ID]],Table1[side],"SELL")</f>
        <v>0</v>
      </c>
      <c r="R289">
        <f>Table1[[#This Row],[Column2]]-Table1[[#This Row],[Buy-sell]]</f>
        <v>0</v>
      </c>
      <c r="S289" t="str">
        <f>IF(Table1[[#This Row],[Sell-Buy]]&gt;0,"Profit","Loss")</f>
        <v>Loss</v>
      </c>
      <c r="T289" s="5" t="s">
        <v>601</v>
      </c>
      <c r="U289" s="8">
        <f>SUMIFS(Table1[price],Table1[order_id],Table15[[#This Row],[order_id]],Table1[side],"BUY")*Table15[[#This Row],[Buy_Quantity]]</f>
        <v>0</v>
      </c>
      <c r="V289" s="8">
        <f>SUMIFS(Table1[price],Table1[order_id],Table15[[#This Row],[order_id]],Table1[side],"SELL")</f>
        <v>1993.48</v>
      </c>
      <c r="W289" s="8">
        <f>Table15[[#This Row],[sell]]-Table15[[#This Row],[Buy]]</f>
        <v>1445273</v>
      </c>
      <c r="X289" s="8">
        <f>IF(Table15[[#This Row],[Profit]]&gt;0,1,0)</f>
        <v>1</v>
      </c>
      <c r="Y289" s="5" t="str">
        <f>IF(Table15[[#This Row],[is Profit]]=1,"Profit","Loss")</f>
        <v>Profit</v>
      </c>
      <c r="Z289" s="5">
        <f>SUMIFS(Table1[quantity],Table1[order_id],Table15[[#This Row],[order_id]],Table1[side],"SELL")</f>
        <v>725</v>
      </c>
      <c r="AA289" s="5">
        <f>Table15[[#This Row],[Buy_value]]*Table15[[#This Row],[Buy_Quantity]]</f>
        <v>0</v>
      </c>
      <c r="AB289" s="5">
        <f>Table15[[#This Row],[Sell_Value]]*Table15[[#This Row],[Sell_Quantity]]</f>
        <v>1445273</v>
      </c>
      <c r="AC289" s="5">
        <f>SUMIFS(Table1[quantity],Table1[order_id],Table15[[#This Row],[order_id]],Table1[side],"BUY")</f>
        <v>0</v>
      </c>
      <c r="AE289" s="10" t="s">
        <v>1103</v>
      </c>
      <c r="AF289" s="10" t="str">
        <f>IF(Table1[[#This Row],[Sell-Buy]]&gt;0,"Profit","Loss")</f>
        <v>Loss</v>
      </c>
      <c r="AG289">
        <f>Table1[[#This Row],[Column2]]-Table1[[#This Row],[Buy-sell]]</f>
        <v>0</v>
      </c>
    </row>
    <row r="290" spans="1:33" x14ac:dyDescent="0.3">
      <c r="A290" t="s">
        <v>1077</v>
      </c>
      <c r="B290" t="s">
        <v>596</v>
      </c>
      <c r="C290" s="1">
        <v>45688.032638888886</v>
      </c>
      <c r="D290" t="s">
        <v>22</v>
      </c>
      <c r="E290" t="s">
        <v>166</v>
      </c>
      <c r="F290">
        <v>56</v>
      </c>
      <c r="G290">
        <v>230.29</v>
      </c>
      <c r="H290">
        <v>6.45</v>
      </c>
      <c r="I290" t="s">
        <v>108</v>
      </c>
      <c r="J290" t="s">
        <v>76</v>
      </c>
      <c r="L290" s="1">
        <v>45667</v>
      </c>
      <c r="M290" t="s">
        <v>166</v>
      </c>
      <c r="N290">
        <f>IF(Table1[[#This Row],[side]]="BUY", Table1[[#This Row],[quantity]],-Table1[[#This Row],[quantity]])</f>
        <v>56</v>
      </c>
      <c r="P290" t="str">
        <f>IF(Table1[[#This Row],[side]]="Sell",Table1[[#This Row],[price]],"0")</f>
        <v>0</v>
      </c>
      <c r="Q290">
        <f>SUMIFS(Table1[quantity],Table1[company_id],Table8[[#This Row],[COMPANY_ID]],Table1[side],"BUY")-SUMIFS(Table1[quantity],Table1[company_id],Table8[[#This Row],[COMPANY_ID]],Table1[side],"SELL")</f>
        <v>0</v>
      </c>
      <c r="R290">
        <f>Table1[[#This Row],[Column2]]-Table1[[#This Row],[Buy-sell]]</f>
        <v>0</v>
      </c>
      <c r="S290" t="str">
        <f>IF(Table1[[#This Row],[Sell-Buy]]&gt;0,"Profit","Loss")</f>
        <v>Loss</v>
      </c>
      <c r="T290" s="4" t="s">
        <v>602</v>
      </c>
      <c r="U290" s="8">
        <f>SUMIFS(Table1[price],Table1[order_id],Table15[[#This Row],[order_id]],Table1[side],"BUY")*Table15[[#This Row],[Buy_Quantity]]</f>
        <v>0</v>
      </c>
      <c r="V290" s="8">
        <f>SUMIFS(Table1[price],Table1[order_id],Table15[[#This Row],[order_id]],Table1[side],"SELL")</f>
        <v>2638.33</v>
      </c>
      <c r="W290" s="8">
        <f>Table15[[#This Row],[sell]]-Table15[[#This Row],[Buy]]</f>
        <v>1271675.06</v>
      </c>
      <c r="X290" s="8">
        <f>IF(Table15[[#This Row],[Profit]]&gt;0,1,0)</f>
        <v>1</v>
      </c>
      <c r="Y290" s="5" t="str">
        <f>IF(Table15[[#This Row],[is Profit]]=1,"Profit","Loss")</f>
        <v>Profit</v>
      </c>
      <c r="Z290" s="5">
        <f>SUMIFS(Table1[quantity],Table1[order_id],Table15[[#This Row],[order_id]],Table1[side],"SELL")</f>
        <v>482</v>
      </c>
      <c r="AA290" s="5">
        <f>Table15[[#This Row],[Buy_value]]*Table15[[#This Row],[Buy_Quantity]]</f>
        <v>0</v>
      </c>
      <c r="AB290" s="5">
        <f>Table15[[#This Row],[Sell_Value]]*Table15[[#This Row],[Sell_Quantity]]</f>
        <v>1271675.06</v>
      </c>
      <c r="AC290" s="5">
        <f>SUMIFS(Table1[quantity],Table1[order_id],Table15[[#This Row],[order_id]],Table1[side],"BUY")</f>
        <v>0</v>
      </c>
      <c r="AE290" s="9" t="s">
        <v>1120</v>
      </c>
      <c r="AF290" s="10" t="str">
        <f>IF(Table1[[#This Row],[Sell-Buy]]&gt;0,"Profit","Loss")</f>
        <v>Loss</v>
      </c>
      <c r="AG290">
        <f>Table1[[#This Row],[Column2]]-Table1[[#This Row],[Buy-sell]]</f>
        <v>0</v>
      </c>
    </row>
    <row r="291" spans="1:33" x14ac:dyDescent="0.3">
      <c r="A291" t="s">
        <v>1094</v>
      </c>
      <c r="B291" t="s">
        <v>381</v>
      </c>
      <c r="C291" s="1">
        <v>45749.022916666669</v>
      </c>
      <c r="D291" t="s">
        <v>22</v>
      </c>
      <c r="E291" t="s">
        <v>166</v>
      </c>
      <c r="F291">
        <v>671</v>
      </c>
      <c r="G291">
        <v>246.87</v>
      </c>
      <c r="H291">
        <v>82.82</v>
      </c>
      <c r="I291" t="s">
        <v>120</v>
      </c>
      <c r="J291" t="s">
        <v>61</v>
      </c>
      <c r="L291" s="1">
        <v>45741</v>
      </c>
      <c r="M291" t="s">
        <v>166</v>
      </c>
      <c r="N291">
        <f>IF(Table1[[#This Row],[side]]="BUY", Table1[[#This Row],[quantity]],-Table1[[#This Row],[quantity]])</f>
        <v>671</v>
      </c>
      <c r="P291" t="str">
        <f>IF(Table1[[#This Row],[side]]="Sell",Table1[[#This Row],[price]],"0")</f>
        <v>0</v>
      </c>
      <c r="Q291">
        <f>SUMIFS(Table1[quantity],Table1[company_id],Table8[[#This Row],[COMPANY_ID]],Table1[side],"BUY")-SUMIFS(Table1[quantity],Table1[company_id],Table8[[#This Row],[COMPANY_ID]],Table1[side],"SELL")</f>
        <v>0</v>
      </c>
      <c r="R291">
        <f>Table1[[#This Row],[Column2]]-Table1[[#This Row],[Buy-sell]]</f>
        <v>0</v>
      </c>
      <c r="S291" t="str">
        <f>IF(Table1[[#This Row],[Sell-Buy]]&gt;0,"Profit","Loss")</f>
        <v>Loss</v>
      </c>
      <c r="T291" s="4" t="s">
        <v>603</v>
      </c>
      <c r="U291" s="8">
        <f>SUMIFS(Table1[price],Table1[order_id],Table15[[#This Row],[order_id]],Table1[side],"BUY")*Table15[[#This Row],[Buy_Quantity]]</f>
        <v>566959.9</v>
      </c>
      <c r="V291" s="8">
        <f>SUMIFS(Table1[price],Table1[order_id],Table15[[#This Row],[order_id]],Table1[side],"SELL")</f>
        <v>0</v>
      </c>
      <c r="W291" s="8">
        <f>Table15[[#This Row],[sell]]-Table15[[#This Row],[Buy]]</f>
        <v>-422385125.5</v>
      </c>
      <c r="X291" s="8">
        <f>IF(Table15[[#This Row],[Profit]]&gt;0,1,0)</f>
        <v>0</v>
      </c>
      <c r="Y291" s="5" t="str">
        <f>IF(Table15[[#This Row],[is Profit]]=1,"Profit","Loss")</f>
        <v>Loss</v>
      </c>
      <c r="Z291" s="5">
        <f>SUMIFS(Table1[quantity],Table1[order_id],Table15[[#This Row],[order_id]],Table1[side],"SELL")</f>
        <v>0</v>
      </c>
      <c r="AA291" s="5">
        <f>Table15[[#This Row],[Buy_value]]*Table15[[#This Row],[Buy_Quantity]]</f>
        <v>422385125.5</v>
      </c>
      <c r="AB291" s="5">
        <f>Table15[[#This Row],[Sell_Value]]*Table15[[#This Row],[Sell_Quantity]]</f>
        <v>0</v>
      </c>
      <c r="AC291" s="5">
        <f>SUMIFS(Table1[quantity],Table1[order_id],Table15[[#This Row],[order_id]],Table1[side],"BUY")</f>
        <v>745</v>
      </c>
      <c r="AE291" s="10" t="s">
        <v>804</v>
      </c>
      <c r="AF291" s="10" t="str">
        <f>IF(Table1[[#This Row],[Sell-Buy]]&gt;0,"Profit","Loss")</f>
        <v>Loss</v>
      </c>
      <c r="AG291">
        <f>Table1[[#This Row],[Column2]]-Table1[[#This Row],[Buy-sell]]</f>
        <v>0</v>
      </c>
    </row>
    <row r="292" spans="1:33" x14ac:dyDescent="0.3">
      <c r="A292" t="s">
        <v>1097</v>
      </c>
      <c r="B292" t="s">
        <v>531</v>
      </c>
      <c r="C292" s="1">
        <v>45748.032638888886</v>
      </c>
      <c r="D292" t="s">
        <v>22</v>
      </c>
      <c r="E292" t="s">
        <v>166</v>
      </c>
      <c r="F292">
        <v>740</v>
      </c>
      <c r="G292">
        <v>246.36</v>
      </c>
      <c r="H292">
        <v>91.15</v>
      </c>
      <c r="I292" t="s">
        <v>94</v>
      </c>
      <c r="J292" t="s">
        <v>52</v>
      </c>
      <c r="L292" s="1">
        <v>45775</v>
      </c>
      <c r="M292" t="s">
        <v>166</v>
      </c>
      <c r="N292">
        <f>IF(Table1[[#This Row],[side]]="BUY", Table1[[#This Row],[quantity]],-Table1[[#This Row],[quantity]])</f>
        <v>740</v>
      </c>
      <c r="P292" t="str">
        <f>IF(Table1[[#This Row],[side]]="Sell",Table1[[#This Row],[price]],"0")</f>
        <v>0</v>
      </c>
      <c r="Q292">
        <f>SUMIFS(Table1[quantity],Table1[company_id],Table8[[#This Row],[COMPANY_ID]],Table1[side],"BUY")-SUMIFS(Table1[quantity],Table1[company_id],Table8[[#This Row],[COMPANY_ID]],Table1[side],"SELL")</f>
        <v>0</v>
      </c>
      <c r="R292">
        <f>Table1[[#This Row],[Column2]]-Table1[[#This Row],[Buy-sell]]</f>
        <v>0</v>
      </c>
      <c r="S292" t="str">
        <f>IF(Table1[[#This Row],[Sell-Buy]]&gt;0,"Profit","Loss")</f>
        <v>Loss</v>
      </c>
      <c r="T292" s="5" t="s">
        <v>605</v>
      </c>
      <c r="U292" s="8">
        <f>SUMIFS(Table1[price],Table1[order_id],Table15[[#This Row],[order_id]],Table1[side],"BUY")*Table15[[#This Row],[Buy_Quantity]]</f>
        <v>161511.41999999998</v>
      </c>
      <c r="V292" s="8">
        <f>SUMIFS(Table1[price],Table1[order_id],Table15[[#This Row],[order_id]],Table1[side],"SELL")</f>
        <v>0</v>
      </c>
      <c r="W292" s="8">
        <f>Table15[[#This Row],[sell]]-Table15[[#This Row],[Buy]]</f>
        <v>-38601229.379999995</v>
      </c>
      <c r="X292" s="8">
        <f>IF(Table15[[#This Row],[Profit]]&gt;0,1,0)</f>
        <v>0</v>
      </c>
      <c r="Y292" s="5" t="str">
        <f>IF(Table15[[#This Row],[is Profit]]=1,"Profit","Loss")</f>
        <v>Loss</v>
      </c>
      <c r="Z292" s="5">
        <f>SUMIFS(Table1[quantity],Table1[order_id],Table15[[#This Row],[order_id]],Table1[side],"SELL")</f>
        <v>0</v>
      </c>
      <c r="AA292" s="5">
        <f>Table15[[#This Row],[Buy_value]]*Table15[[#This Row],[Buy_Quantity]]</f>
        <v>38601229.379999995</v>
      </c>
      <c r="AB292" s="5">
        <f>Table15[[#This Row],[Sell_Value]]*Table15[[#This Row],[Sell_Quantity]]</f>
        <v>0</v>
      </c>
      <c r="AC292" s="5">
        <f>SUMIFS(Table1[quantity],Table1[order_id],Table15[[#This Row],[order_id]],Table1[side],"BUY")</f>
        <v>239</v>
      </c>
      <c r="AE292" s="9" t="s">
        <v>939</v>
      </c>
      <c r="AF292" s="10" t="str">
        <f>IF(Table1[[#This Row],[Sell-Buy]]&gt;0,"Profit","Loss")</f>
        <v>Loss</v>
      </c>
      <c r="AG292">
        <f>Table1[[#This Row],[Column2]]-Table1[[#This Row],[Buy-sell]]</f>
        <v>0</v>
      </c>
    </row>
    <row r="293" spans="1:33" x14ac:dyDescent="0.3">
      <c r="A293" t="s">
        <v>1102</v>
      </c>
      <c r="B293" t="s">
        <v>468</v>
      </c>
      <c r="C293" s="1">
        <v>45797.015972222223</v>
      </c>
      <c r="D293" t="s">
        <v>22</v>
      </c>
      <c r="E293" t="s">
        <v>166</v>
      </c>
      <c r="F293">
        <v>157</v>
      </c>
      <c r="G293">
        <v>250.05</v>
      </c>
      <c r="H293">
        <v>19.63</v>
      </c>
      <c r="I293" t="s">
        <v>136</v>
      </c>
      <c r="J293" t="s">
        <v>73</v>
      </c>
      <c r="L293" s="1">
        <v>45751</v>
      </c>
      <c r="M293" t="s">
        <v>166</v>
      </c>
      <c r="N293">
        <f>IF(Table1[[#This Row],[side]]="BUY", Table1[[#This Row],[quantity]],-Table1[[#This Row],[quantity]])</f>
        <v>157</v>
      </c>
      <c r="P293" t="str">
        <f>IF(Table1[[#This Row],[side]]="Sell",Table1[[#This Row],[price]],"0")</f>
        <v>0</v>
      </c>
      <c r="Q293">
        <f>SUMIFS(Table1[quantity],Table1[company_id],Table8[[#This Row],[COMPANY_ID]],Table1[side],"BUY")-SUMIFS(Table1[quantity],Table1[company_id],Table8[[#This Row],[COMPANY_ID]],Table1[side],"SELL")</f>
        <v>0</v>
      </c>
      <c r="R293">
        <f>Table1[[#This Row],[Column2]]-Table1[[#This Row],[Buy-sell]]</f>
        <v>0</v>
      </c>
      <c r="S293" t="str">
        <f>IF(Table1[[#This Row],[Sell-Buy]]&gt;0,"Profit","Loss")</f>
        <v>Loss</v>
      </c>
      <c r="T293" s="4" t="s">
        <v>606</v>
      </c>
      <c r="U293" s="8">
        <f>SUMIFS(Table1[price],Table1[order_id],Table15[[#This Row],[order_id]],Table1[side],"BUY")*Table15[[#This Row],[Buy_Quantity]]</f>
        <v>170036.55000000002</v>
      </c>
      <c r="V293" s="8">
        <f>SUMIFS(Table1[price],Table1[order_id],Table15[[#This Row],[order_id]],Table1[side],"SELL")</f>
        <v>1929.68</v>
      </c>
      <c r="W293" s="8">
        <f>Table15[[#This Row],[sell]]-Table15[[#This Row],[Buy]]</f>
        <v>-118572070.91000001</v>
      </c>
      <c r="X293" s="8">
        <f>IF(Table15[[#This Row],[Profit]]&gt;0,1,0)</f>
        <v>0</v>
      </c>
      <c r="Y293" s="5" t="str">
        <f>IF(Table15[[#This Row],[is Profit]]=1,"Profit","Loss")</f>
        <v>Loss</v>
      </c>
      <c r="Z293" s="5">
        <f>SUMIFS(Table1[quantity],Table1[order_id],Table15[[#This Row],[order_id]],Table1[side],"SELL")</f>
        <v>1733</v>
      </c>
      <c r="AA293" s="5">
        <f>Table15[[#This Row],[Buy_value]]*Table15[[#This Row],[Buy_Quantity]]</f>
        <v>121916206.35000001</v>
      </c>
      <c r="AB293" s="5">
        <f>Table15[[#This Row],[Sell_Value]]*Table15[[#This Row],[Sell_Quantity]]</f>
        <v>3344135.44</v>
      </c>
      <c r="AC293" s="5">
        <f>SUMIFS(Table1[quantity],Table1[order_id],Table15[[#This Row],[order_id]],Table1[side],"BUY")</f>
        <v>717</v>
      </c>
      <c r="AE293" s="10" t="s">
        <v>921</v>
      </c>
      <c r="AF293" s="10" t="str">
        <f>IF(Table1[[#This Row],[Sell-Buy]]&gt;0,"Profit","Loss")</f>
        <v>Loss</v>
      </c>
      <c r="AG293">
        <f>Table1[[#This Row],[Column2]]-Table1[[#This Row],[Buy-sell]]</f>
        <v>0</v>
      </c>
    </row>
    <row r="294" spans="1:33" x14ac:dyDescent="0.3">
      <c r="A294" t="s">
        <v>1110</v>
      </c>
      <c r="B294" t="s">
        <v>420</v>
      </c>
      <c r="C294" s="1">
        <v>45819.013194444444</v>
      </c>
      <c r="D294" t="s">
        <v>22</v>
      </c>
      <c r="E294" t="s">
        <v>171</v>
      </c>
      <c r="F294">
        <v>728</v>
      </c>
      <c r="G294">
        <v>256.85000000000002</v>
      </c>
      <c r="H294">
        <v>93.49</v>
      </c>
      <c r="I294" t="s">
        <v>108</v>
      </c>
      <c r="J294" t="s">
        <v>70</v>
      </c>
      <c r="L294" s="1">
        <v>45736</v>
      </c>
      <c r="N294">
        <f>IF(Table1[[#This Row],[side]]="BUY", Table1[[#This Row],[quantity]],-Table1[[#This Row],[quantity]])</f>
        <v>-728</v>
      </c>
      <c r="O294" t="s">
        <v>171</v>
      </c>
      <c r="P294">
        <f>IF(Table1[[#This Row],[side]]="Sell",Table1[[#This Row],[price]],"0")</f>
        <v>256.85000000000002</v>
      </c>
      <c r="Q294">
        <f>SUMIFS(Table1[quantity],Table1[company_id],Table8[[#This Row],[COMPANY_ID]],Table1[side],"BUY")-SUMIFS(Table1[quantity],Table1[company_id],Table8[[#This Row],[COMPANY_ID]],Table1[side],"SELL")</f>
        <v>0</v>
      </c>
      <c r="R294">
        <f>Table1[[#This Row],[Column2]]-Table1[[#This Row],[Buy-sell]]</f>
        <v>256.85000000000002</v>
      </c>
      <c r="S294" t="str">
        <f>IF(Table1[[#This Row],[Sell-Buy]]&gt;0,"Profit","Loss")</f>
        <v>Profit</v>
      </c>
      <c r="T294" s="4" t="s">
        <v>607</v>
      </c>
      <c r="U294" s="8">
        <f>SUMIFS(Table1[price],Table1[order_id],Table15[[#This Row],[order_id]],Table1[side],"BUY")*Table15[[#This Row],[Buy_Quantity]]</f>
        <v>0</v>
      </c>
      <c r="V294" s="8">
        <f>SUMIFS(Table1[price],Table1[order_id],Table15[[#This Row],[order_id]],Table1[side],"SELL")</f>
        <v>1014.5600000000001</v>
      </c>
      <c r="W294" s="8">
        <f>Table15[[#This Row],[sell]]-Table15[[#This Row],[Buy]]</f>
        <v>362197.92000000004</v>
      </c>
      <c r="X294" s="8">
        <f>IF(Table15[[#This Row],[Profit]]&gt;0,1,0)</f>
        <v>1</v>
      </c>
      <c r="Y294" s="5" t="str">
        <f>IF(Table15[[#This Row],[is Profit]]=1,"Profit","Loss")</f>
        <v>Profit</v>
      </c>
      <c r="Z294" s="5">
        <f>SUMIFS(Table1[quantity],Table1[order_id],Table15[[#This Row],[order_id]],Table1[side],"SELL")</f>
        <v>357</v>
      </c>
      <c r="AA294" s="5">
        <f>Table15[[#This Row],[Buy_value]]*Table15[[#This Row],[Buy_Quantity]]</f>
        <v>0</v>
      </c>
      <c r="AB294" s="5">
        <f>Table15[[#This Row],[Sell_Value]]*Table15[[#This Row],[Sell_Quantity]]</f>
        <v>362197.92000000004</v>
      </c>
      <c r="AC294" s="5">
        <f>SUMIFS(Table1[quantity],Table1[order_id],Table15[[#This Row],[order_id]],Table1[side],"BUY")</f>
        <v>0</v>
      </c>
      <c r="AE294" s="9" t="s">
        <v>1079</v>
      </c>
      <c r="AF294" s="10" t="str">
        <f>IF(Table1[[#This Row],[Sell-Buy]]&gt;0,"Profit","Loss")</f>
        <v>Profit</v>
      </c>
      <c r="AG294">
        <f>Table1[[#This Row],[Column2]]-Table1[[#This Row],[Buy-sell]]</f>
        <v>256.85000000000002</v>
      </c>
    </row>
    <row r="295" spans="1:33" x14ac:dyDescent="0.3">
      <c r="A295" t="s">
        <v>1114</v>
      </c>
      <c r="B295" t="s">
        <v>497</v>
      </c>
      <c r="C295" s="1">
        <v>45712.021527777775</v>
      </c>
      <c r="D295" t="s">
        <v>22</v>
      </c>
      <c r="E295" t="s">
        <v>171</v>
      </c>
      <c r="F295">
        <v>677</v>
      </c>
      <c r="G295">
        <v>231.43</v>
      </c>
      <c r="H295">
        <v>78.34</v>
      </c>
      <c r="I295" t="s">
        <v>146</v>
      </c>
      <c r="J295" t="s">
        <v>70</v>
      </c>
      <c r="L295" s="1">
        <v>45825</v>
      </c>
      <c r="N295">
        <f>IF(Table1[[#This Row],[side]]="BUY", Table1[[#This Row],[quantity]],-Table1[[#This Row],[quantity]])</f>
        <v>-677</v>
      </c>
      <c r="O295" t="s">
        <v>171</v>
      </c>
      <c r="P295">
        <f>IF(Table1[[#This Row],[side]]="Sell",Table1[[#This Row],[price]],"0")</f>
        <v>231.43</v>
      </c>
      <c r="Q295">
        <f>SUMIFS(Table1[quantity],Table1[company_id],Table8[[#This Row],[COMPANY_ID]],Table1[side],"BUY")-SUMIFS(Table1[quantity],Table1[company_id],Table8[[#This Row],[COMPANY_ID]],Table1[side],"SELL")</f>
        <v>0</v>
      </c>
      <c r="R295">
        <f>Table1[[#This Row],[Column2]]-Table1[[#This Row],[Buy-sell]]</f>
        <v>231.43</v>
      </c>
      <c r="S295" t="str">
        <f>IF(Table1[[#This Row],[Sell-Buy]]&gt;0,"Profit","Loss")</f>
        <v>Profit</v>
      </c>
      <c r="T295" s="4" t="s">
        <v>610</v>
      </c>
      <c r="U295" s="8">
        <f>SUMIFS(Table1[price],Table1[order_id],Table15[[#This Row],[order_id]],Table1[side],"BUY")*Table15[[#This Row],[Buy_Quantity]]</f>
        <v>526801.44999999995</v>
      </c>
      <c r="V295" s="8">
        <f>SUMIFS(Table1[price],Table1[order_id],Table15[[#This Row],[order_id]],Table1[side],"SELL")</f>
        <v>0</v>
      </c>
      <c r="W295" s="8">
        <f>Table15[[#This Row],[sell]]-Table15[[#This Row],[Buy]]</f>
        <v>-129066355.24999999</v>
      </c>
      <c r="X295" s="8">
        <f>IF(Table15[[#This Row],[Profit]]&gt;0,1,0)</f>
        <v>0</v>
      </c>
      <c r="Y295" s="5" t="str">
        <f>IF(Table15[[#This Row],[is Profit]]=1,"Profit","Loss")</f>
        <v>Loss</v>
      </c>
      <c r="Z295" s="5">
        <f>SUMIFS(Table1[quantity],Table1[order_id],Table15[[#This Row],[order_id]],Table1[side],"SELL")</f>
        <v>0</v>
      </c>
      <c r="AA295" s="5">
        <f>Table15[[#This Row],[Buy_value]]*Table15[[#This Row],[Buy_Quantity]]</f>
        <v>129066355.24999999</v>
      </c>
      <c r="AB295" s="5">
        <f>Table15[[#This Row],[Sell_Value]]*Table15[[#This Row],[Sell_Quantity]]</f>
        <v>0</v>
      </c>
      <c r="AC295" s="5">
        <f>SUMIFS(Table1[quantity],Table1[order_id],Table15[[#This Row],[order_id]],Table1[side],"BUY")</f>
        <v>245</v>
      </c>
      <c r="AE295" s="10" t="s">
        <v>809</v>
      </c>
      <c r="AF295" s="10" t="str">
        <f>IF(Table1[[#This Row],[Sell-Buy]]&gt;0,"Profit","Loss")</f>
        <v>Profit</v>
      </c>
      <c r="AG295">
        <f>Table1[[#This Row],[Column2]]-Table1[[#This Row],[Buy-sell]]</f>
        <v>231.43</v>
      </c>
    </row>
    <row r="296" spans="1:33" x14ac:dyDescent="0.3">
      <c r="A296" t="s">
        <v>1134</v>
      </c>
      <c r="B296" t="s">
        <v>196</v>
      </c>
      <c r="C296" s="1">
        <v>45784.001388888886</v>
      </c>
      <c r="D296" t="s">
        <v>22</v>
      </c>
      <c r="E296" t="s">
        <v>166</v>
      </c>
      <c r="F296">
        <v>176</v>
      </c>
      <c r="G296">
        <v>257.83999999999997</v>
      </c>
      <c r="H296">
        <v>22.69</v>
      </c>
      <c r="I296" t="s">
        <v>120</v>
      </c>
      <c r="J296" t="s">
        <v>61</v>
      </c>
      <c r="L296" s="1">
        <v>45671</v>
      </c>
      <c r="M296" t="s">
        <v>166</v>
      </c>
      <c r="N296">
        <f>IF(Table1[[#This Row],[side]]="BUY", Table1[[#This Row],[quantity]],-Table1[[#This Row],[quantity]])</f>
        <v>176</v>
      </c>
      <c r="P296" t="str">
        <f>IF(Table1[[#This Row],[side]]="Sell",Table1[[#This Row],[price]],"0")</f>
        <v>0</v>
      </c>
      <c r="Q296">
        <f>SUMIFS(Table1[quantity],Table1[company_id],Table8[[#This Row],[COMPANY_ID]],Table1[side],"BUY")-SUMIFS(Table1[quantity],Table1[company_id],Table8[[#This Row],[COMPANY_ID]],Table1[side],"SELL")</f>
        <v>0</v>
      </c>
      <c r="R296">
        <f>Table1[[#This Row],[Column2]]-Table1[[#This Row],[Buy-sell]]</f>
        <v>0</v>
      </c>
      <c r="S296" t="str">
        <f>IF(Table1[[#This Row],[Sell-Buy]]&gt;0,"Profit","Loss")</f>
        <v>Loss</v>
      </c>
      <c r="T296" s="5" t="s">
        <v>611</v>
      </c>
      <c r="U296" s="8">
        <f>SUMIFS(Table1[price],Table1[order_id],Table15[[#This Row],[order_id]],Table1[side],"BUY")*Table15[[#This Row],[Buy_Quantity]]</f>
        <v>65160.5</v>
      </c>
      <c r="V296" s="8">
        <f>SUMIFS(Table1[price],Table1[order_id],Table15[[#This Row],[order_id]],Table1[side],"SELL")</f>
        <v>0</v>
      </c>
      <c r="W296" s="8">
        <f>Table15[[#This Row],[sell]]-Table15[[#This Row],[Buy]]</f>
        <v>-3258025</v>
      </c>
      <c r="X296" s="8">
        <f>IF(Table15[[#This Row],[Profit]]&gt;0,1,0)</f>
        <v>0</v>
      </c>
      <c r="Y296" s="5" t="str">
        <f>IF(Table15[[#This Row],[is Profit]]=1,"Profit","Loss")</f>
        <v>Loss</v>
      </c>
      <c r="Z296" s="5">
        <f>SUMIFS(Table1[quantity],Table1[order_id],Table15[[#This Row],[order_id]],Table1[side],"SELL")</f>
        <v>0</v>
      </c>
      <c r="AA296" s="5">
        <f>Table15[[#This Row],[Buy_value]]*Table15[[#This Row],[Buy_Quantity]]</f>
        <v>3258025</v>
      </c>
      <c r="AB296" s="5">
        <f>Table15[[#This Row],[Sell_Value]]*Table15[[#This Row],[Sell_Quantity]]</f>
        <v>0</v>
      </c>
      <c r="AC296" s="5">
        <f>SUMIFS(Table1[quantity],Table1[order_id],Table15[[#This Row],[order_id]],Table1[side],"BUY")</f>
        <v>50</v>
      </c>
      <c r="AE296" s="9" t="s">
        <v>1102</v>
      </c>
      <c r="AF296" s="10" t="str">
        <f>IF(Table1[[#This Row],[Sell-Buy]]&gt;0,"Profit","Loss")</f>
        <v>Loss</v>
      </c>
      <c r="AG296">
        <f>Table1[[#This Row],[Column2]]-Table1[[#This Row],[Buy-sell]]</f>
        <v>0</v>
      </c>
    </row>
    <row r="297" spans="1:33" x14ac:dyDescent="0.3">
      <c r="A297" t="s">
        <v>1136</v>
      </c>
      <c r="B297" t="s">
        <v>177</v>
      </c>
      <c r="C297" s="1">
        <v>45686.034722222219</v>
      </c>
      <c r="D297" t="s">
        <v>22</v>
      </c>
      <c r="E297" t="s">
        <v>171</v>
      </c>
      <c r="F297">
        <v>150</v>
      </c>
      <c r="G297">
        <v>236.99</v>
      </c>
      <c r="H297">
        <v>17.77</v>
      </c>
      <c r="I297" t="s">
        <v>120</v>
      </c>
      <c r="J297" t="s">
        <v>67</v>
      </c>
      <c r="L297" s="1">
        <v>45806</v>
      </c>
      <c r="N297">
        <f>IF(Table1[[#This Row],[side]]="BUY", Table1[[#This Row],[quantity]],-Table1[[#This Row],[quantity]])</f>
        <v>-150</v>
      </c>
      <c r="O297" t="s">
        <v>171</v>
      </c>
      <c r="P297">
        <f>IF(Table1[[#This Row],[side]]="Sell",Table1[[#This Row],[price]],"0")</f>
        <v>236.99</v>
      </c>
      <c r="Q297">
        <f>SUMIFS(Table1[quantity],Table1[company_id],Table8[[#This Row],[COMPANY_ID]],Table1[side],"BUY")-SUMIFS(Table1[quantity],Table1[company_id],Table8[[#This Row],[COMPANY_ID]],Table1[side],"SELL")</f>
        <v>0</v>
      </c>
      <c r="R297">
        <f>Table1[[#This Row],[Column2]]-Table1[[#This Row],[Buy-sell]]</f>
        <v>236.99</v>
      </c>
      <c r="S297" t="str">
        <f>IF(Table1[[#This Row],[Sell-Buy]]&gt;0,"Profit","Loss")</f>
        <v>Profit</v>
      </c>
      <c r="T297" s="5" t="s">
        <v>614</v>
      </c>
      <c r="U297" s="8">
        <f>SUMIFS(Table1[price],Table1[order_id],Table15[[#This Row],[order_id]],Table1[side],"BUY")*Table15[[#This Row],[Buy_Quantity]]</f>
        <v>487709.1</v>
      </c>
      <c r="V297" s="8">
        <f>SUMIFS(Table1[price],Table1[order_id],Table15[[#This Row],[order_id]],Table1[side],"SELL")</f>
        <v>237.47</v>
      </c>
      <c r="W297" s="8">
        <f>Table15[[#This Row],[sell]]-Table15[[#This Row],[Buy]]</f>
        <v>-416869933.32999998</v>
      </c>
      <c r="X297" s="8">
        <f>IF(Table15[[#This Row],[Profit]]&gt;0,1,0)</f>
        <v>0</v>
      </c>
      <c r="Y297" s="5" t="str">
        <f>IF(Table15[[#This Row],[is Profit]]=1,"Profit","Loss")</f>
        <v>Loss</v>
      </c>
      <c r="Z297" s="5">
        <f>SUMIFS(Table1[quantity],Table1[order_id],Table15[[#This Row],[order_id]],Table1[side],"SELL")</f>
        <v>511</v>
      </c>
      <c r="AA297" s="5">
        <f>Table15[[#This Row],[Buy_value]]*Table15[[#This Row],[Buy_Quantity]]</f>
        <v>416991280.5</v>
      </c>
      <c r="AB297" s="5">
        <f>Table15[[#This Row],[Sell_Value]]*Table15[[#This Row],[Sell_Quantity]]</f>
        <v>121347.17</v>
      </c>
      <c r="AC297" s="5">
        <f>SUMIFS(Table1[quantity],Table1[order_id],Table15[[#This Row],[order_id]],Table1[side],"BUY")</f>
        <v>855</v>
      </c>
      <c r="AE297" s="10" t="s">
        <v>860</v>
      </c>
      <c r="AF297" s="10" t="str">
        <f>IF(Table1[[#This Row],[Sell-Buy]]&gt;0,"Profit","Loss")</f>
        <v>Profit</v>
      </c>
      <c r="AG297">
        <f>Table1[[#This Row],[Column2]]-Table1[[#This Row],[Buy-sell]]</f>
        <v>236.99</v>
      </c>
    </row>
    <row r="298" spans="1:33" x14ac:dyDescent="0.3">
      <c r="A298" t="s">
        <v>1148</v>
      </c>
      <c r="B298" t="s">
        <v>328</v>
      </c>
      <c r="C298" s="1">
        <v>45707.01666666667</v>
      </c>
      <c r="D298" t="s">
        <v>22</v>
      </c>
      <c r="E298" t="s">
        <v>166</v>
      </c>
      <c r="F298">
        <v>959</v>
      </c>
      <c r="G298">
        <v>234.02</v>
      </c>
      <c r="H298">
        <v>112.21</v>
      </c>
      <c r="I298" t="s">
        <v>132</v>
      </c>
      <c r="J298" t="s">
        <v>61</v>
      </c>
      <c r="L298" s="1">
        <v>45723</v>
      </c>
      <c r="M298" t="s">
        <v>166</v>
      </c>
      <c r="N298">
        <f>IF(Table1[[#This Row],[side]]="BUY", Table1[[#This Row],[quantity]],-Table1[[#This Row],[quantity]])</f>
        <v>959</v>
      </c>
      <c r="P298" t="str">
        <f>IF(Table1[[#This Row],[side]]="Sell",Table1[[#This Row],[price]],"0")</f>
        <v>0</v>
      </c>
      <c r="Q298">
        <f>SUMIFS(Table1[quantity],Table1[company_id],Table8[[#This Row],[COMPANY_ID]],Table1[side],"BUY")-SUMIFS(Table1[quantity],Table1[company_id],Table8[[#This Row],[COMPANY_ID]],Table1[side],"SELL")</f>
        <v>0</v>
      </c>
      <c r="R298">
        <f>Table1[[#This Row],[Column2]]-Table1[[#This Row],[Buy-sell]]</f>
        <v>0</v>
      </c>
      <c r="S298" t="str">
        <f>IF(Table1[[#This Row],[Sell-Buy]]&gt;0,"Profit","Loss")</f>
        <v>Loss</v>
      </c>
      <c r="T298" s="4" t="s">
        <v>616</v>
      </c>
      <c r="U298" s="8">
        <f>SUMIFS(Table1[price],Table1[order_id],Table15[[#This Row],[order_id]],Table1[side],"BUY")*Table15[[#This Row],[Buy_Quantity]]</f>
        <v>0</v>
      </c>
      <c r="V298" s="8">
        <f>SUMIFS(Table1[price],Table1[order_id],Table15[[#This Row],[order_id]],Table1[side],"SELL")</f>
        <v>991.56</v>
      </c>
      <c r="W298" s="8">
        <f>Table15[[#This Row],[sell]]-Table15[[#This Row],[Buy]]</f>
        <v>221117.87999999998</v>
      </c>
      <c r="X298" s="8">
        <f>IF(Table15[[#This Row],[Profit]]&gt;0,1,0)</f>
        <v>1</v>
      </c>
      <c r="Y298" s="5" t="str">
        <f>IF(Table15[[#This Row],[is Profit]]=1,"Profit","Loss")</f>
        <v>Profit</v>
      </c>
      <c r="Z298" s="5">
        <f>SUMIFS(Table1[quantity],Table1[order_id],Table15[[#This Row],[order_id]],Table1[side],"SELL")</f>
        <v>223</v>
      </c>
      <c r="AA298" s="5">
        <f>Table15[[#This Row],[Buy_value]]*Table15[[#This Row],[Buy_Quantity]]</f>
        <v>0</v>
      </c>
      <c r="AB298" s="5">
        <f>Table15[[#This Row],[Sell_Value]]*Table15[[#This Row],[Sell_Quantity]]</f>
        <v>221117.87999999998</v>
      </c>
      <c r="AC298" s="5">
        <f>SUMIFS(Table1[quantity],Table1[order_id],Table15[[#This Row],[order_id]],Table1[side],"BUY")</f>
        <v>0</v>
      </c>
      <c r="AE298" s="9" t="s">
        <v>1003</v>
      </c>
      <c r="AF298" s="10" t="str">
        <f>IF(Table1[[#This Row],[Sell-Buy]]&gt;0,"Profit","Loss")</f>
        <v>Loss</v>
      </c>
      <c r="AG298">
        <f>Table1[[#This Row],[Column2]]-Table1[[#This Row],[Buy-sell]]</f>
        <v>0</v>
      </c>
    </row>
    <row r="299" spans="1:33" x14ac:dyDescent="0.3">
      <c r="A299" t="s">
        <v>1156</v>
      </c>
      <c r="B299" t="s">
        <v>313</v>
      </c>
      <c r="C299" s="1">
        <v>45770.038888888892</v>
      </c>
      <c r="D299" t="s">
        <v>22</v>
      </c>
      <c r="E299" t="s">
        <v>171</v>
      </c>
      <c r="F299">
        <v>616</v>
      </c>
      <c r="G299">
        <v>265.17</v>
      </c>
      <c r="H299">
        <v>81.67</v>
      </c>
      <c r="I299" t="s">
        <v>140</v>
      </c>
      <c r="J299" t="s">
        <v>61</v>
      </c>
      <c r="L299" s="1">
        <v>45714</v>
      </c>
      <c r="N299">
        <f>IF(Table1[[#This Row],[side]]="BUY", Table1[[#This Row],[quantity]],-Table1[[#This Row],[quantity]])</f>
        <v>-616</v>
      </c>
      <c r="O299" t="s">
        <v>171</v>
      </c>
      <c r="P299">
        <f>IF(Table1[[#This Row],[side]]="Sell",Table1[[#This Row],[price]],"0")</f>
        <v>265.17</v>
      </c>
      <c r="Q299">
        <f>SUMIFS(Table1[quantity],Table1[company_id],Table8[[#This Row],[COMPANY_ID]],Table1[side],"BUY")-SUMIFS(Table1[quantity],Table1[company_id],Table8[[#This Row],[COMPANY_ID]],Table1[side],"SELL")</f>
        <v>0</v>
      </c>
      <c r="R299">
        <f>Table1[[#This Row],[Column2]]-Table1[[#This Row],[Buy-sell]]</f>
        <v>265.17</v>
      </c>
      <c r="S299" t="str">
        <f>IF(Table1[[#This Row],[Sell-Buy]]&gt;0,"Profit","Loss")</f>
        <v>Profit</v>
      </c>
      <c r="T299" s="4" t="s">
        <v>617</v>
      </c>
      <c r="U299" s="8">
        <f>SUMIFS(Table1[price],Table1[order_id],Table15[[#This Row],[order_id]],Table1[side],"BUY")*Table15[[#This Row],[Buy_Quantity]]</f>
        <v>1066427.04</v>
      </c>
      <c r="V299" s="8">
        <f>SUMIFS(Table1[price],Table1[order_id],Table15[[#This Row],[order_id]],Table1[side],"SELL")</f>
        <v>0</v>
      </c>
      <c r="W299" s="8">
        <f>Table15[[#This Row],[sell]]-Table15[[#This Row],[Buy]]</f>
        <v>-923525816.63999999</v>
      </c>
      <c r="X299" s="8">
        <f>IF(Table15[[#This Row],[Profit]]&gt;0,1,0)</f>
        <v>0</v>
      </c>
      <c r="Y299" s="5" t="str">
        <f>IF(Table15[[#This Row],[is Profit]]=1,"Profit","Loss")</f>
        <v>Loss</v>
      </c>
      <c r="Z299" s="5">
        <f>SUMIFS(Table1[quantity],Table1[order_id],Table15[[#This Row],[order_id]],Table1[side],"SELL")</f>
        <v>0</v>
      </c>
      <c r="AA299" s="5">
        <f>Table15[[#This Row],[Buy_value]]*Table15[[#This Row],[Buy_Quantity]]</f>
        <v>923525816.63999999</v>
      </c>
      <c r="AB299" s="5">
        <f>Table15[[#This Row],[Sell_Value]]*Table15[[#This Row],[Sell_Quantity]]</f>
        <v>0</v>
      </c>
      <c r="AC299" s="5">
        <f>SUMIFS(Table1[quantity],Table1[order_id],Table15[[#This Row],[order_id]],Table1[side],"BUY")</f>
        <v>866</v>
      </c>
      <c r="AE299" s="10" t="s">
        <v>776</v>
      </c>
      <c r="AF299" s="10" t="str">
        <f>IF(Table1[[#This Row],[Sell-Buy]]&gt;0,"Profit","Loss")</f>
        <v>Profit</v>
      </c>
      <c r="AG299">
        <f>Table1[[#This Row],[Column2]]-Table1[[#This Row],[Buy-sell]]</f>
        <v>265.17</v>
      </c>
    </row>
    <row r="300" spans="1:33" x14ac:dyDescent="0.3">
      <c r="A300" t="s">
        <v>1173</v>
      </c>
      <c r="B300" t="s">
        <v>631</v>
      </c>
      <c r="C300" s="1">
        <v>45765.040277777778</v>
      </c>
      <c r="D300" t="s">
        <v>22</v>
      </c>
      <c r="E300" t="s">
        <v>166</v>
      </c>
      <c r="F300">
        <v>902</v>
      </c>
      <c r="G300">
        <v>256.23</v>
      </c>
      <c r="H300">
        <v>115.56</v>
      </c>
      <c r="I300" t="s">
        <v>140</v>
      </c>
      <c r="J300" t="s">
        <v>64</v>
      </c>
      <c r="L300" s="1">
        <v>45779</v>
      </c>
      <c r="M300" t="s">
        <v>166</v>
      </c>
      <c r="N300">
        <f>IF(Table1[[#This Row],[side]]="BUY", Table1[[#This Row],[quantity]],-Table1[[#This Row],[quantity]])</f>
        <v>902</v>
      </c>
      <c r="P300" t="str">
        <f>IF(Table1[[#This Row],[side]]="Sell",Table1[[#This Row],[price]],"0")</f>
        <v>0</v>
      </c>
      <c r="Q300">
        <f>SUMIFS(Table1[quantity],Table1[company_id],Table8[[#This Row],[COMPANY_ID]],Table1[side],"BUY")-SUMIFS(Table1[quantity],Table1[company_id],Table8[[#This Row],[COMPANY_ID]],Table1[side],"SELL")</f>
        <v>0</v>
      </c>
      <c r="R300">
        <f>Table1[[#This Row],[Column2]]-Table1[[#This Row],[Buy-sell]]</f>
        <v>0</v>
      </c>
      <c r="S300" t="str">
        <f>IF(Table1[[#This Row],[Sell-Buy]]&gt;0,"Profit","Loss")</f>
        <v>Loss</v>
      </c>
      <c r="T300" s="5" t="s">
        <v>618</v>
      </c>
      <c r="U300" s="8">
        <f>SUMIFS(Table1[price],Table1[order_id],Table15[[#This Row],[order_id]],Table1[side],"BUY")*Table15[[#This Row],[Buy_Quantity]]</f>
        <v>159051.6</v>
      </c>
      <c r="V300" s="8">
        <f>SUMIFS(Table1[price],Table1[order_id],Table15[[#This Row],[order_id]],Table1[side],"SELL")</f>
        <v>244.76</v>
      </c>
      <c r="W300" s="8">
        <f>Table15[[#This Row],[sell]]-Table15[[#This Row],[Buy]]</f>
        <v>-102899244.75999999</v>
      </c>
      <c r="X300" s="8">
        <f>IF(Table15[[#This Row],[Profit]]&gt;0,1,0)</f>
        <v>0</v>
      </c>
      <c r="Y300" s="5" t="str">
        <f>IF(Table15[[#This Row],[is Profit]]=1,"Profit","Loss")</f>
        <v>Loss</v>
      </c>
      <c r="Z300" s="5">
        <f>SUMIFS(Table1[quantity],Table1[order_id],Table15[[#This Row],[order_id]],Table1[side],"SELL")</f>
        <v>679</v>
      </c>
      <c r="AA300" s="5">
        <f>Table15[[#This Row],[Buy_value]]*Table15[[#This Row],[Buy_Quantity]]</f>
        <v>103065436.8</v>
      </c>
      <c r="AB300" s="5">
        <f>Table15[[#This Row],[Sell_Value]]*Table15[[#This Row],[Sell_Quantity]]</f>
        <v>166192.04</v>
      </c>
      <c r="AC300" s="5">
        <f>SUMIFS(Table1[quantity],Table1[order_id],Table15[[#This Row],[order_id]],Table1[side],"BUY")</f>
        <v>648</v>
      </c>
      <c r="AE300" s="9" t="s">
        <v>824</v>
      </c>
      <c r="AF300" s="10" t="str">
        <f>IF(Table1[[#This Row],[Sell-Buy]]&gt;0,"Profit","Loss")</f>
        <v>Loss</v>
      </c>
      <c r="AG300">
        <f>Table1[[#This Row],[Column2]]-Table1[[#This Row],[Buy-sell]]</f>
        <v>0</v>
      </c>
    </row>
    <row r="301" spans="1:33" x14ac:dyDescent="0.3">
      <c r="A301" t="s">
        <v>680</v>
      </c>
      <c r="B301" t="s">
        <v>417</v>
      </c>
      <c r="C301" s="1">
        <v>45765.025000000001</v>
      </c>
      <c r="D301" t="s">
        <v>26</v>
      </c>
      <c r="E301" t="s">
        <v>166</v>
      </c>
      <c r="F301">
        <v>203</v>
      </c>
      <c r="G301">
        <v>241.39</v>
      </c>
      <c r="H301">
        <v>24.5</v>
      </c>
      <c r="I301" t="s">
        <v>130</v>
      </c>
      <c r="J301" t="s">
        <v>55</v>
      </c>
      <c r="L301" s="1">
        <v>45763</v>
      </c>
      <c r="M301" t="s">
        <v>166</v>
      </c>
      <c r="N301">
        <f>IF(Table1[[#This Row],[side]]="BUY", Table1[[#This Row],[quantity]],-Table1[[#This Row],[quantity]])</f>
        <v>203</v>
      </c>
      <c r="P301" t="str">
        <f>IF(Table1[[#This Row],[side]]="Sell",Table1[[#This Row],[price]],"0")</f>
        <v>0</v>
      </c>
      <c r="Q301">
        <f>SUMIFS(Table1[quantity],Table1[company_id],Table8[[#This Row],[COMPANY_ID]],Table1[side],"BUY")-SUMIFS(Table1[quantity],Table1[company_id],Table8[[#This Row],[COMPANY_ID]],Table1[side],"SELL")</f>
        <v>0</v>
      </c>
      <c r="R301">
        <f>Table1[[#This Row],[Column2]]-Table1[[#This Row],[Buy-sell]]</f>
        <v>0</v>
      </c>
      <c r="S301" t="str">
        <f>IF(Table1[[#This Row],[Sell-Buy]]&gt;0,"Profit","Loss")</f>
        <v>Loss</v>
      </c>
      <c r="T301" s="4" t="s">
        <v>619</v>
      </c>
      <c r="U301" s="8">
        <f>SUMIFS(Table1[price],Table1[order_id],Table15[[#This Row],[order_id]],Table1[side],"BUY")*Table15[[#This Row],[Buy_Quantity]]</f>
        <v>946594.06</v>
      </c>
      <c r="V301" s="8">
        <f>SUMIFS(Table1[price],Table1[order_id],Table15[[#This Row],[order_id]],Table1[side],"SELL")</f>
        <v>0</v>
      </c>
      <c r="W301" s="8">
        <f>Table15[[#This Row],[sell]]-Table15[[#This Row],[Buy]]</f>
        <v>-737396772.74000001</v>
      </c>
      <c r="X301" s="8">
        <f>IF(Table15[[#This Row],[Profit]]&gt;0,1,0)</f>
        <v>0</v>
      </c>
      <c r="Y301" s="5" t="str">
        <f>IF(Table15[[#This Row],[is Profit]]=1,"Profit","Loss")</f>
        <v>Loss</v>
      </c>
      <c r="Z301" s="5">
        <f>SUMIFS(Table1[quantity],Table1[order_id],Table15[[#This Row],[order_id]],Table1[side],"SELL")</f>
        <v>0</v>
      </c>
      <c r="AA301" s="5">
        <f>Table15[[#This Row],[Buy_value]]*Table15[[#This Row],[Buy_Quantity]]</f>
        <v>737396772.74000001</v>
      </c>
      <c r="AB301" s="5">
        <f>Table15[[#This Row],[Sell_Value]]*Table15[[#This Row],[Sell_Quantity]]</f>
        <v>0</v>
      </c>
      <c r="AC301" s="5">
        <f>SUMIFS(Table1[quantity],Table1[order_id],Table15[[#This Row],[order_id]],Table1[side],"BUY")</f>
        <v>779</v>
      </c>
      <c r="AE301" s="10" t="s">
        <v>902</v>
      </c>
      <c r="AF301" s="10" t="str">
        <f>IF(Table1[[#This Row],[Sell-Buy]]&gt;0,"Profit","Loss")</f>
        <v>Loss</v>
      </c>
      <c r="AG301">
        <f>Table1[[#This Row],[Column2]]-Table1[[#This Row],[Buy-sell]]</f>
        <v>0</v>
      </c>
    </row>
    <row r="302" spans="1:33" x14ac:dyDescent="0.3">
      <c r="A302" t="s">
        <v>689</v>
      </c>
      <c r="B302" t="s">
        <v>339</v>
      </c>
      <c r="C302" s="1">
        <v>45812.020833333336</v>
      </c>
      <c r="D302" t="s">
        <v>26</v>
      </c>
      <c r="E302" t="s">
        <v>166</v>
      </c>
      <c r="F302">
        <v>138</v>
      </c>
      <c r="G302">
        <v>245.54</v>
      </c>
      <c r="H302">
        <v>16.940000000000001</v>
      </c>
      <c r="I302" t="s">
        <v>146</v>
      </c>
      <c r="J302" t="s">
        <v>70</v>
      </c>
      <c r="L302" s="1">
        <v>45784</v>
      </c>
      <c r="M302" t="s">
        <v>166</v>
      </c>
      <c r="N302">
        <f>IF(Table1[[#This Row],[side]]="BUY", Table1[[#This Row],[quantity]],-Table1[[#This Row],[quantity]])</f>
        <v>138</v>
      </c>
      <c r="P302" t="str">
        <f>IF(Table1[[#This Row],[side]]="Sell",Table1[[#This Row],[price]],"0")</f>
        <v>0</v>
      </c>
      <c r="Q302">
        <f>SUMIFS(Table1[quantity],Table1[company_id],Table8[[#This Row],[COMPANY_ID]],Table1[side],"BUY")-SUMIFS(Table1[quantity],Table1[company_id],Table8[[#This Row],[COMPANY_ID]],Table1[side],"SELL")</f>
        <v>0</v>
      </c>
      <c r="R302">
        <f>Table1[[#This Row],[Column2]]-Table1[[#This Row],[Buy-sell]]</f>
        <v>0</v>
      </c>
      <c r="S302" t="str">
        <f>IF(Table1[[#This Row],[Sell-Buy]]&gt;0,"Profit","Loss")</f>
        <v>Loss</v>
      </c>
      <c r="T302" s="5" t="s">
        <v>620</v>
      </c>
      <c r="U302" s="8">
        <f>SUMIFS(Table1[price],Table1[order_id],Table15[[#This Row],[order_id]],Table1[side],"BUY")*Table15[[#This Row],[Buy_Quantity]]</f>
        <v>536046.75</v>
      </c>
      <c r="V302" s="8">
        <f>SUMIFS(Table1[price],Table1[order_id],Table15[[#This Row],[order_id]],Table1[side],"SELL")</f>
        <v>0</v>
      </c>
      <c r="W302" s="8">
        <f>Table15[[#This Row],[sell]]-Table15[[#This Row],[Buy]]</f>
        <v>-495843243.75</v>
      </c>
      <c r="X302" s="8">
        <f>IF(Table15[[#This Row],[Profit]]&gt;0,1,0)</f>
        <v>0</v>
      </c>
      <c r="Y302" s="5" t="str">
        <f>IF(Table15[[#This Row],[is Profit]]=1,"Profit","Loss")</f>
        <v>Loss</v>
      </c>
      <c r="Z302" s="5">
        <f>SUMIFS(Table1[quantity],Table1[order_id],Table15[[#This Row],[order_id]],Table1[side],"SELL")</f>
        <v>0</v>
      </c>
      <c r="AA302" s="5">
        <f>Table15[[#This Row],[Buy_value]]*Table15[[#This Row],[Buy_Quantity]]</f>
        <v>495843243.75</v>
      </c>
      <c r="AB302" s="5">
        <f>Table15[[#This Row],[Sell_Value]]*Table15[[#This Row],[Sell_Quantity]]</f>
        <v>0</v>
      </c>
      <c r="AC302" s="5">
        <f>SUMIFS(Table1[quantity],Table1[order_id],Table15[[#This Row],[order_id]],Table1[side],"BUY")</f>
        <v>925</v>
      </c>
      <c r="AE302" s="9" t="s">
        <v>957</v>
      </c>
      <c r="AF302" s="10" t="str">
        <f>IF(Table1[[#This Row],[Sell-Buy]]&gt;0,"Profit","Loss")</f>
        <v>Loss</v>
      </c>
      <c r="AG302">
        <f>Table1[[#This Row],[Column2]]-Table1[[#This Row],[Buy-sell]]</f>
        <v>0</v>
      </c>
    </row>
    <row r="303" spans="1:33" x14ac:dyDescent="0.3">
      <c r="A303" t="s">
        <v>714</v>
      </c>
      <c r="B303" t="s">
        <v>175</v>
      </c>
      <c r="C303" s="1">
        <v>45786.015972222223</v>
      </c>
      <c r="D303" t="s">
        <v>26</v>
      </c>
      <c r="E303" t="s">
        <v>171</v>
      </c>
      <c r="F303">
        <v>993</v>
      </c>
      <c r="G303">
        <v>226.75</v>
      </c>
      <c r="H303">
        <v>112.58</v>
      </c>
      <c r="I303" t="s">
        <v>126</v>
      </c>
      <c r="J303" t="s">
        <v>58</v>
      </c>
      <c r="L303" s="1">
        <v>45820</v>
      </c>
      <c r="N303">
        <f>IF(Table1[[#This Row],[side]]="BUY", Table1[[#This Row],[quantity]],-Table1[[#This Row],[quantity]])</f>
        <v>-993</v>
      </c>
      <c r="O303" t="s">
        <v>171</v>
      </c>
      <c r="P303">
        <f>IF(Table1[[#This Row],[side]]="Sell",Table1[[#This Row],[price]],"0")</f>
        <v>226.75</v>
      </c>
      <c r="Q303">
        <f>SUMIFS(Table1[quantity],Table1[company_id],Table8[[#This Row],[COMPANY_ID]],Table1[side],"BUY")-SUMIFS(Table1[quantity],Table1[company_id],Table8[[#This Row],[COMPANY_ID]],Table1[side],"SELL")</f>
        <v>0</v>
      </c>
      <c r="R303">
        <f>Table1[[#This Row],[Column2]]-Table1[[#This Row],[Buy-sell]]</f>
        <v>226.75</v>
      </c>
      <c r="S303" t="str">
        <f>IF(Table1[[#This Row],[Sell-Buy]]&gt;0,"Profit","Loss")</f>
        <v>Profit</v>
      </c>
      <c r="T303" s="5" t="s">
        <v>621</v>
      </c>
      <c r="U303" s="8">
        <f>SUMIFS(Table1[price],Table1[order_id],Table15[[#This Row],[order_id]],Table1[side],"BUY")*Table15[[#This Row],[Buy_Quantity]]</f>
        <v>218396.79</v>
      </c>
      <c r="V303" s="8">
        <f>SUMIFS(Table1[price],Table1[order_id],Table15[[#This Row],[order_id]],Table1[side],"SELL")</f>
        <v>0</v>
      </c>
      <c r="W303" s="8">
        <f>Table15[[#This Row],[sell]]-Table15[[#This Row],[Buy]]</f>
        <v>-33414708.870000001</v>
      </c>
      <c r="X303" s="8">
        <f>IF(Table15[[#This Row],[Profit]]&gt;0,1,0)</f>
        <v>0</v>
      </c>
      <c r="Y303" s="5" t="str">
        <f>IF(Table15[[#This Row],[is Profit]]=1,"Profit","Loss")</f>
        <v>Loss</v>
      </c>
      <c r="Z303" s="5">
        <f>SUMIFS(Table1[quantity],Table1[order_id],Table15[[#This Row],[order_id]],Table1[side],"SELL")</f>
        <v>0</v>
      </c>
      <c r="AA303" s="5">
        <f>Table15[[#This Row],[Buy_value]]*Table15[[#This Row],[Buy_Quantity]]</f>
        <v>33414708.870000001</v>
      </c>
      <c r="AB303" s="5">
        <f>Table15[[#This Row],[Sell_Value]]*Table15[[#This Row],[Sell_Quantity]]</f>
        <v>0</v>
      </c>
      <c r="AC303" s="5">
        <f>SUMIFS(Table1[quantity],Table1[order_id],Table15[[#This Row],[order_id]],Table1[side],"BUY")</f>
        <v>153</v>
      </c>
      <c r="AE303" s="10" t="s">
        <v>837</v>
      </c>
      <c r="AF303" s="10" t="str">
        <f>IF(Table1[[#This Row],[Sell-Buy]]&gt;0,"Profit","Loss")</f>
        <v>Profit</v>
      </c>
      <c r="AG303">
        <f>Table1[[#This Row],[Column2]]-Table1[[#This Row],[Buy-sell]]</f>
        <v>226.75</v>
      </c>
    </row>
    <row r="304" spans="1:33" x14ac:dyDescent="0.3">
      <c r="A304" t="s">
        <v>699</v>
      </c>
      <c r="B304" t="s">
        <v>444</v>
      </c>
      <c r="C304" s="1">
        <v>45693.004166666666</v>
      </c>
      <c r="D304" t="s">
        <v>26</v>
      </c>
      <c r="E304" t="s">
        <v>166</v>
      </c>
      <c r="F304">
        <v>930</v>
      </c>
      <c r="G304">
        <v>234.9</v>
      </c>
      <c r="H304">
        <v>109.23</v>
      </c>
      <c r="I304" t="s">
        <v>122</v>
      </c>
      <c r="J304" t="s">
        <v>61</v>
      </c>
      <c r="L304" s="1">
        <v>45715</v>
      </c>
      <c r="M304" t="s">
        <v>166</v>
      </c>
      <c r="N304">
        <f>IF(Table1[[#This Row],[side]]="BUY", Table1[[#This Row],[quantity]],-Table1[[#This Row],[quantity]])</f>
        <v>930</v>
      </c>
      <c r="P304" t="str">
        <f>IF(Table1[[#This Row],[side]]="Sell",Table1[[#This Row],[price]],"0")</f>
        <v>0</v>
      </c>
      <c r="Q304">
        <f>SUMIFS(Table1[quantity],Table1[company_id],Table8[[#This Row],[COMPANY_ID]],Table1[side],"BUY")-SUMIFS(Table1[quantity],Table1[company_id],Table8[[#This Row],[COMPANY_ID]],Table1[side],"SELL")</f>
        <v>0</v>
      </c>
      <c r="R304">
        <f>Table1[[#This Row],[Column2]]-Table1[[#This Row],[Buy-sell]]</f>
        <v>0</v>
      </c>
      <c r="S304" t="str">
        <f>IF(Table1[[#This Row],[Sell-Buy]]&gt;0,"Profit","Loss")</f>
        <v>Loss</v>
      </c>
      <c r="T304" s="4" t="s">
        <v>622</v>
      </c>
      <c r="U304" s="8">
        <f>SUMIFS(Table1[price],Table1[order_id],Table15[[#This Row],[order_id]],Table1[side],"BUY")*Table15[[#This Row],[Buy_Quantity]]</f>
        <v>0</v>
      </c>
      <c r="V304" s="8">
        <f>SUMIFS(Table1[price],Table1[order_id],Table15[[#This Row],[order_id]],Table1[side],"SELL")</f>
        <v>238.96</v>
      </c>
      <c r="W304" s="8">
        <f>Table15[[#This Row],[sell]]-Table15[[#This Row],[Buy]]</f>
        <v>100124.24</v>
      </c>
      <c r="X304" s="8">
        <f>IF(Table15[[#This Row],[Profit]]&gt;0,1,0)</f>
        <v>1</v>
      </c>
      <c r="Y304" s="5" t="str">
        <f>IF(Table15[[#This Row],[is Profit]]=1,"Profit","Loss")</f>
        <v>Profit</v>
      </c>
      <c r="Z304" s="5">
        <f>SUMIFS(Table1[quantity],Table1[order_id],Table15[[#This Row],[order_id]],Table1[side],"SELL")</f>
        <v>419</v>
      </c>
      <c r="AA304" s="5">
        <f>Table15[[#This Row],[Buy_value]]*Table15[[#This Row],[Buy_Quantity]]</f>
        <v>0</v>
      </c>
      <c r="AB304" s="5">
        <f>Table15[[#This Row],[Sell_Value]]*Table15[[#This Row],[Sell_Quantity]]</f>
        <v>100124.24</v>
      </c>
      <c r="AC304" s="5">
        <f>SUMIFS(Table1[quantity],Table1[order_id],Table15[[#This Row],[order_id]],Table1[side],"BUY")</f>
        <v>0</v>
      </c>
      <c r="AE304" s="9" t="s">
        <v>1155</v>
      </c>
      <c r="AF304" s="10" t="str">
        <f>IF(Table1[[#This Row],[Sell-Buy]]&gt;0,"Profit","Loss")</f>
        <v>Loss</v>
      </c>
      <c r="AG304">
        <f>Table1[[#This Row],[Column2]]-Table1[[#This Row],[Buy-sell]]</f>
        <v>0</v>
      </c>
    </row>
    <row r="305" spans="1:33" x14ac:dyDescent="0.3">
      <c r="A305" t="s">
        <v>709</v>
      </c>
      <c r="B305" t="s">
        <v>409</v>
      </c>
      <c r="C305" s="1">
        <v>45778.015277777777</v>
      </c>
      <c r="D305" t="s">
        <v>26</v>
      </c>
      <c r="E305" t="s">
        <v>166</v>
      </c>
      <c r="F305">
        <v>99</v>
      </c>
      <c r="G305">
        <v>236.11</v>
      </c>
      <c r="H305">
        <v>11.69</v>
      </c>
      <c r="I305" t="s">
        <v>150</v>
      </c>
      <c r="J305" t="s">
        <v>55</v>
      </c>
      <c r="L305" s="1">
        <v>45658</v>
      </c>
      <c r="M305" t="s">
        <v>166</v>
      </c>
      <c r="N305">
        <f>IF(Table1[[#This Row],[side]]="BUY", Table1[[#This Row],[quantity]],-Table1[[#This Row],[quantity]])</f>
        <v>99</v>
      </c>
      <c r="P305" t="str">
        <f>IF(Table1[[#This Row],[side]]="Sell",Table1[[#This Row],[price]],"0")</f>
        <v>0</v>
      </c>
      <c r="Q305">
        <f>SUMIFS(Table1[quantity],Table1[company_id],Table8[[#This Row],[COMPANY_ID]],Table1[side],"BUY")-SUMIFS(Table1[quantity],Table1[company_id],Table8[[#This Row],[COMPANY_ID]],Table1[side],"SELL")</f>
        <v>0</v>
      </c>
      <c r="R305">
        <f>Table1[[#This Row],[Column2]]-Table1[[#This Row],[Buy-sell]]</f>
        <v>0</v>
      </c>
      <c r="S305" t="str">
        <f>IF(Table1[[#This Row],[Sell-Buy]]&gt;0,"Profit","Loss")</f>
        <v>Loss</v>
      </c>
      <c r="T305" s="4" t="s">
        <v>623</v>
      </c>
      <c r="U305" s="8">
        <f>SUMIFS(Table1[price],Table1[order_id],Table15[[#This Row],[order_id]],Table1[side],"BUY")*Table15[[#This Row],[Buy_Quantity]]</f>
        <v>0</v>
      </c>
      <c r="V305" s="8">
        <f>SUMIFS(Table1[price],Table1[order_id],Table15[[#This Row],[order_id]],Table1[side],"SELL")</f>
        <v>512.34</v>
      </c>
      <c r="W305" s="8">
        <f>Table15[[#This Row],[sell]]-Table15[[#This Row],[Buy]]</f>
        <v>100418.64</v>
      </c>
      <c r="X305" s="8">
        <f>IF(Table15[[#This Row],[Profit]]&gt;0,1,0)</f>
        <v>1</v>
      </c>
      <c r="Y305" s="5" t="str">
        <f>IF(Table15[[#This Row],[is Profit]]=1,"Profit","Loss")</f>
        <v>Profit</v>
      </c>
      <c r="Z305" s="5">
        <f>SUMIFS(Table1[quantity],Table1[order_id],Table15[[#This Row],[order_id]],Table1[side],"SELL")</f>
        <v>196</v>
      </c>
      <c r="AA305" s="5">
        <f>Table15[[#This Row],[Buy_value]]*Table15[[#This Row],[Buy_Quantity]]</f>
        <v>0</v>
      </c>
      <c r="AB305" s="5">
        <f>Table15[[#This Row],[Sell_Value]]*Table15[[#This Row],[Sell_Quantity]]</f>
        <v>100418.64</v>
      </c>
      <c r="AC305" s="5">
        <f>SUMIFS(Table1[quantity],Table1[order_id],Table15[[#This Row],[order_id]],Table1[side],"BUY")</f>
        <v>0</v>
      </c>
      <c r="AE305" s="10" t="s">
        <v>796</v>
      </c>
      <c r="AF305" s="10" t="str">
        <f>IF(Table1[[#This Row],[Sell-Buy]]&gt;0,"Profit","Loss")</f>
        <v>Loss</v>
      </c>
      <c r="AG305">
        <f>Table1[[#This Row],[Column2]]-Table1[[#This Row],[Buy-sell]]</f>
        <v>0</v>
      </c>
    </row>
    <row r="306" spans="1:33" x14ac:dyDescent="0.3">
      <c r="A306" t="s">
        <v>741</v>
      </c>
      <c r="B306" t="s">
        <v>438</v>
      </c>
      <c r="C306" s="1">
        <v>45705.017361111109</v>
      </c>
      <c r="D306" t="s">
        <v>26</v>
      </c>
      <c r="E306" t="s">
        <v>171</v>
      </c>
      <c r="F306">
        <v>354</v>
      </c>
      <c r="G306">
        <v>231.98</v>
      </c>
      <c r="H306">
        <v>41.06</v>
      </c>
      <c r="I306" t="s">
        <v>136</v>
      </c>
      <c r="J306" t="s">
        <v>73</v>
      </c>
      <c r="L306" s="1">
        <v>45826</v>
      </c>
      <c r="N306">
        <f>IF(Table1[[#This Row],[side]]="BUY", Table1[[#This Row],[quantity]],-Table1[[#This Row],[quantity]])</f>
        <v>-354</v>
      </c>
      <c r="O306" t="s">
        <v>171</v>
      </c>
      <c r="P306">
        <f>IF(Table1[[#This Row],[side]]="Sell",Table1[[#This Row],[price]],"0")</f>
        <v>231.98</v>
      </c>
      <c r="Q306">
        <f>SUMIFS(Table1[quantity],Table1[company_id],Table8[[#This Row],[COMPANY_ID]],Table1[side],"BUY")-SUMIFS(Table1[quantity],Table1[company_id],Table8[[#This Row],[COMPANY_ID]],Table1[side],"SELL")</f>
        <v>0</v>
      </c>
      <c r="R306">
        <f>Table1[[#This Row],[Column2]]-Table1[[#This Row],[Buy-sell]]</f>
        <v>231.98</v>
      </c>
      <c r="S306" t="str">
        <f>IF(Table1[[#This Row],[Sell-Buy]]&gt;0,"Profit","Loss")</f>
        <v>Profit</v>
      </c>
      <c r="T306" s="4" t="s">
        <v>624</v>
      </c>
      <c r="U306" s="8">
        <f>SUMIFS(Table1[price],Table1[order_id],Table15[[#This Row],[order_id]],Table1[side],"BUY")*Table15[[#This Row],[Buy_Quantity]]</f>
        <v>939628.5</v>
      </c>
      <c r="V306" s="8">
        <f>SUMIFS(Table1[price],Table1[order_id],Table15[[#This Row],[order_id]],Table1[side],"SELL")</f>
        <v>0</v>
      </c>
      <c r="W306" s="8">
        <f>Table15[[#This Row],[sell]]-Table15[[#This Row],[Buy]]</f>
        <v>-673713634.5</v>
      </c>
      <c r="X306" s="8">
        <f>IF(Table15[[#This Row],[Profit]]&gt;0,1,0)</f>
        <v>0</v>
      </c>
      <c r="Y306" s="5" t="str">
        <f>IF(Table15[[#This Row],[is Profit]]=1,"Profit","Loss")</f>
        <v>Loss</v>
      </c>
      <c r="Z306" s="5">
        <f>SUMIFS(Table1[quantity],Table1[order_id],Table15[[#This Row],[order_id]],Table1[side],"SELL")</f>
        <v>0</v>
      </c>
      <c r="AA306" s="5">
        <f>Table15[[#This Row],[Buy_value]]*Table15[[#This Row],[Buy_Quantity]]</f>
        <v>673713634.5</v>
      </c>
      <c r="AB306" s="5">
        <f>Table15[[#This Row],[Sell_Value]]*Table15[[#This Row],[Sell_Quantity]]</f>
        <v>0</v>
      </c>
      <c r="AC306" s="5">
        <f>SUMIFS(Table1[quantity],Table1[order_id],Table15[[#This Row],[order_id]],Table1[side],"BUY")</f>
        <v>717</v>
      </c>
      <c r="AE306" s="9" t="s">
        <v>1020</v>
      </c>
      <c r="AF306" s="10" t="str">
        <f>IF(Table1[[#This Row],[Sell-Buy]]&gt;0,"Profit","Loss")</f>
        <v>Profit</v>
      </c>
      <c r="AG306">
        <f>Table1[[#This Row],[Column2]]-Table1[[#This Row],[Buy-sell]]</f>
        <v>231.98</v>
      </c>
    </row>
    <row r="307" spans="1:33" x14ac:dyDescent="0.3">
      <c r="A307" t="s">
        <v>746</v>
      </c>
      <c r="B307" t="s">
        <v>520</v>
      </c>
      <c r="C307" s="1">
        <v>45670.011805555558</v>
      </c>
      <c r="D307" t="s">
        <v>26</v>
      </c>
      <c r="E307" t="s">
        <v>171</v>
      </c>
      <c r="F307">
        <v>999</v>
      </c>
      <c r="G307">
        <v>240.8</v>
      </c>
      <c r="H307">
        <v>120.28</v>
      </c>
      <c r="I307" t="s">
        <v>132</v>
      </c>
      <c r="J307" t="s">
        <v>73</v>
      </c>
      <c r="L307" s="1">
        <v>45761</v>
      </c>
      <c r="N307">
        <f>IF(Table1[[#This Row],[side]]="BUY", Table1[[#This Row],[quantity]],-Table1[[#This Row],[quantity]])</f>
        <v>-999</v>
      </c>
      <c r="O307" t="s">
        <v>171</v>
      </c>
      <c r="P307">
        <f>IF(Table1[[#This Row],[side]]="Sell",Table1[[#This Row],[price]],"0")</f>
        <v>240.8</v>
      </c>
      <c r="Q307">
        <f>SUMIFS(Table1[quantity],Table1[company_id],Table8[[#This Row],[COMPANY_ID]],Table1[side],"BUY")-SUMIFS(Table1[quantity],Table1[company_id],Table8[[#This Row],[COMPANY_ID]],Table1[side],"SELL")</f>
        <v>0</v>
      </c>
      <c r="R307">
        <f>Table1[[#This Row],[Column2]]-Table1[[#This Row],[Buy-sell]]</f>
        <v>240.8</v>
      </c>
      <c r="S307" t="str">
        <f>IF(Table1[[#This Row],[Sell-Buy]]&gt;0,"Profit","Loss")</f>
        <v>Profit</v>
      </c>
      <c r="T307" s="5" t="s">
        <v>625</v>
      </c>
      <c r="U307" s="8">
        <f>SUMIFS(Table1[price],Table1[order_id],Table15[[#This Row],[order_id]],Table1[side],"BUY")*Table15[[#This Row],[Buy_Quantity]]</f>
        <v>0</v>
      </c>
      <c r="V307" s="8">
        <f>SUMIFS(Table1[price],Table1[order_id],Table15[[#This Row],[order_id]],Table1[side],"SELL")</f>
        <v>664.41</v>
      </c>
      <c r="W307" s="8">
        <f>Table15[[#This Row],[sell]]-Table15[[#This Row],[Buy]]</f>
        <v>211946.78999999998</v>
      </c>
      <c r="X307" s="8">
        <f>IF(Table15[[#This Row],[Profit]]&gt;0,1,0)</f>
        <v>1</v>
      </c>
      <c r="Y307" s="5" t="str">
        <f>IF(Table15[[#This Row],[is Profit]]=1,"Profit","Loss")</f>
        <v>Profit</v>
      </c>
      <c r="Z307" s="5">
        <f>SUMIFS(Table1[quantity],Table1[order_id],Table15[[#This Row],[order_id]],Table1[side],"SELL")</f>
        <v>319</v>
      </c>
      <c r="AA307" s="5">
        <f>Table15[[#This Row],[Buy_value]]*Table15[[#This Row],[Buy_Quantity]]</f>
        <v>0</v>
      </c>
      <c r="AB307" s="5">
        <f>Table15[[#This Row],[Sell_Value]]*Table15[[#This Row],[Sell_Quantity]]</f>
        <v>211946.78999999998</v>
      </c>
      <c r="AC307" s="5">
        <f>SUMIFS(Table1[quantity],Table1[order_id],Table15[[#This Row],[order_id]],Table1[side],"BUY")</f>
        <v>0</v>
      </c>
      <c r="AE307" s="10" t="s">
        <v>740</v>
      </c>
      <c r="AF307" s="10" t="str">
        <f>IF(Table1[[#This Row],[Sell-Buy]]&gt;0,"Profit","Loss")</f>
        <v>Profit</v>
      </c>
      <c r="AG307">
        <f>Table1[[#This Row],[Column2]]-Table1[[#This Row],[Buy-sell]]</f>
        <v>240.8</v>
      </c>
    </row>
    <row r="308" spans="1:33" x14ac:dyDescent="0.3">
      <c r="A308" t="s">
        <v>754</v>
      </c>
      <c r="B308" t="s">
        <v>377</v>
      </c>
      <c r="C308" s="1">
        <v>45769.040277777778</v>
      </c>
      <c r="D308" t="s">
        <v>26</v>
      </c>
      <c r="E308" t="s">
        <v>171</v>
      </c>
      <c r="F308">
        <v>509</v>
      </c>
      <c r="G308">
        <v>246.09</v>
      </c>
      <c r="H308">
        <v>62.63</v>
      </c>
      <c r="I308" t="s">
        <v>91</v>
      </c>
      <c r="J308" t="s">
        <v>73</v>
      </c>
      <c r="L308" s="1">
        <v>45671</v>
      </c>
      <c r="N308">
        <f>IF(Table1[[#This Row],[side]]="BUY", Table1[[#This Row],[quantity]],-Table1[[#This Row],[quantity]])</f>
        <v>-509</v>
      </c>
      <c r="O308" t="s">
        <v>171</v>
      </c>
      <c r="P308">
        <f>IF(Table1[[#This Row],[side]]="Sell",Table1[[#This Row],[price]],"0")</f>
        <v>246.09</v>
      </c>
      <c r="Q308">
        <f>SUMIFS(Table1[quantity],Table1[company_id],Table8[[#This Row],[COMPANY_ID]],Table1[side],"BUY")-SUMIFS(Table1[quantity],Table1[company_id],Table8[[#This Row],[COMPANY_ID]],Table1[side],"SELL")</f>
        <v>0</v>
      </c>
      <c r="R308">
        <f>Table1[[#This Row],[Column2]]-Table1[[#This Row],[Buy-sell]]</f>
        <v>246.09</v>
      </c>
      <c r="S308" t="str">
        <f>IF(Table1[[#This Row],[Sell-Buy]]&gt;0,"Profit","Loss")</f>
        <v>Profit</v>
      </c>
      <c r="T308" s="4" t="s">
        <v>626</v>
      </c>
      <c r="U308" s="8">
        <f>SUMIFS(Table1[price],Table1[order_id],Table15[[#This Row],[order_id]],Table1[side],"BUY")*Table15[[#This Row],[Buy_Quantity]]</f>
        <v>900718.41999999993</v>
      </c>
      <c r="V308" s="8">
        <f>SUMIFS(Table1[price],Table1[order_id],Table15[[#This Row],[order_id]],Table1[side],"SELL")</f>
        <v>0</v>
      </c>
      <c r="W308" s="8">
        <f>Table15[[#This Row],[sell]]-Table15[[#This Row],[Buy]]</f>
        <v>-989889543.57999992</v>
      </c>
      <c r="X308" s="8">
        <f>IF(Table15[[#This Row],[Profit]]&gt;0,1,0)</f>
        <v>0</v>
      </c>
      <c r="Y308" s="5" t="str">
        <f>IF(Table15[[#This Row],[is Profit]]=1,"Profit","Loss")</f>
        <v>Loss</v>
      </c>
      <c r="Z308" s="5">
        <f>SUMIFS(Table1[quantity],Table1[order_id],Table15[[#This Row],[order_id]],Table1[side],"SELL")</f>
        <v>0</v>
      </c>
      <c r="AA308" s="5">
        <f>Table15[[#This Row],[Buy_value]]*Table15[[#This Row],[Buy_Quantity]]</f>
        <v>989889543.57999992</v>
      </c>
      <c r="AB308" s="5">
        <f>Table15[[#This Row],[Sell_Value]]*Table15[[#This Row],[Sell_Quantity]]</f>
        <v>0</v>
      </c>
      <c r="AC308" s="5">
        <f>SUMIFS(Table1[quantity],Table1[order_id],Table15[[#This Row],[order_id]],Table1[side],"BUY")</f>
        <v>1099</v>
      </c>
      <c r="AE308" s="9" t="s">
        <v>729</v>
      </c>
      <c r="AF308" s="10" t="str">
        <f>IF(Table1[[#This Row],[Sell-Buy]]&gt;0,"Profit","Loss")</f>
        <v>Profit</v>
      </c>
      <c r="AG308">
        <f>Table1[[#This Row],[Column2]]-Table1[[#This Row],[Buy-sell]]</f>
        <v>246.09</v>
      </c>
    </row>
    <row r="309" spans="1:33" x14ac:dyDescent="0.3">
      <c r="A309" t="s">
        <v>762</v>
      </c>
      <c r="B309" t="s">
        <v>614</v>
      </c>
      <c r="C309" s="1">
        <v>45727.006249999999</v>
      </c>
      <c r="D309" t="s">
        <v>26</v>
      </c>
      <c r="E309" t="s">
        <v>171</v>
      </c>
      <c r="F309">
        <v>511</v>
      </c>
      <c r="G309">
        <v>237.47</v>
      </c>
      <c r="H309">
        <v>60.67</v>
      </c>
      <c r="I309" t="s">
        <v>144</v>
      </c>
      <c r="J309" t="s">
        <v>64</v>
      </c>
      <c r="L309" s="1">
        <v>45761</v>
      </c>
      <c r="N309">
        <f>IF(Table1[[#This Row],[side]]="BUY", Table1[[#This Row],[quantity]],-Table1[[#This Row],[quantity]])</f>
        <v>-511</v>
      </c>
      <c r="O309" t="s">
        <v>171</v>
      </c>
      <c r="P309">
        <f>IF(Table1[[#This Row],[side]]="Sell",Table1[[#This Row],[price]],"0")</f>
        <v>237.47</v>
      </c>
      <c r="Q309">
        <f>SUMIFS(Table1[quantity],Table1[company_id],Table8[[#This Row],[COMPANY_ID]],Table1[side],"BUY")-SUMIFS(Table1[quantity],Table1[company_id],Table8[[#This Row],[COMPANY_ID]],Table1[side],"SELL")</f>
        <v>0</v>
      </c>
      <c r="R309">
        <f>Table1[[#This Row],[Column2]]-Table1[[#This Row],[Buy-sell]]</f>
        <v>237.47</v>
      </c>
      <c r="S309" t="str">
        <f>IF(Table1[[#This Row],[Sell-Buy]]&gt;0,"Profit","Loss")</f>
        <v>Profit</v>
      </c>
      <c r="T309" s="5" t="s">
        <v>627</v>
      </c>
      <c r="U309" s="8">
        <f>SUMIFS(Table1[price],Table1[order_id],Table15[[#This Row],[order_id]],Table1[side],"BUY")*Table15[[#This Row],[Buy_Quantity]]</f>
        <v>581880.5</v>
      </c>
      <c r="V309" s="8">
        <f>SUMIFS(Table1[price],Table1[order_id],Table15[[#This Row],[order_id]],Table1[side],"SELL")</f>
        <v>0</v>
      </c>
      <c r="W309" s="8">
        <f>Table15[[#This Row],[sell]]-Table15[[#This Row],[Buy]]</f>
        <v>-538239462.5</v>
      </c>
      <c r="X309" s="8">
        <f>IF(Table15[[#This Row],[Profit]]&gt;0,1,0)</f>
        <v>0</v>
      </c>
      <c r="Y309" s="5" t="str">
        <f>IF(Table15[[#This Row],[is Profit]]=1,"Profit","Loss")</f>
        <v>Loss</v>
      </c>
      <c r="Z309" s="5">
        <f>SUMIFS(Table1[quantity],Table1[order_id],Table15[[#This Row],[order_id]],Table1[side],"SELL")</f>
        <v>0</v>
      </c>
      <c r="AA309" s="5">
        <f>Table15[[#This Row],[Buy_value]]*Table15[[#This Row],[Buy_Quantity]]</f>
        <v>538239462.5</v>
      </c>
      <c r="AB309" s="5">
        <f>Table15[[#This Row],[Sell_Value]]*Table15[[#This Row],[Sell_Quantity]]</f>
        <v>0</v>
      </c>
      <c r="AC309" s="5">
        <f>SUMIFS(Table1[quantity],Table1[order_id],Table15[[#This Row],[order_id]],Table1[side],"BUY")</f>
        <v>925</v>
      </c>
      <c r="AE309" s="10" t="s">
        <v>1083</v>
      </c>
      <c r="AF309" s="10" t="str">
        <f>IF(Table1[[#This Row],[Sell-Buy]]&gt;0,"Profit","Loss")</f>
        <v>Profit</v>
      </c>
      <c r="AG309">
        <f>Table1[[#This Row],[Column2]]-Table1[[#This Row],[Buy-sell]]</f>
        <v>237.47</v>
      </c>
    </row>
    <row r="310" spans="1:33" x14ac:dyDescent="0.3">
      <c r="A310" t="s">
        <v>771</v>
      </c>
      <c r="B310" t="s">
        <v>578</v>
      </c>
      <c r="C310" s="1">
        <v>45701.011805555558</v>
      </c>
      <c r="D310" t="s">
        <v>26</v>
      </c>
      <c r="E310" t="s">
        <v>171</v>
      </c>
      <c r="F310">
        <v>170</v>
      </c>
      <c r="G310">
        <v>230.88</v>
      </c>
      <c r="H310">
        <v>19.62</v>
      </c>
      <c r="I310" t="s">
        <v>132</v>
      </c>
      <c r="J310" t="s">
        <v>61</v>
      </c>
      <c r="L310" s="1">
        <v>45692</v>
      </c>
      <c r="N310">
        <f>IF(Table1[[#This Row],[side]]="BUY", Table1[[#This Row],[quantity]],-Table1[[#This Row],[quantity]])</f>
        <v>-170</v>
      </c>
      <c r="O310" t="s">
        <v>171</v>
      </c>
      <c r="P310">
        <f>IF(Table1[[#This Row],[side]]="Sell",Table1[[#This Row],[price]],"0")</f>
        <v>230.88</v>
      </c>
      <c r="Q310">
        <f>SUMIFS(Table1[quantity],Table1[company_id],Table8[[#This Row],[COMPANY_ID]],Table1[side],"BUY")-SUMIFS(Table1[quantity],Table1[company_id],Table8[[#This Row],[COMPANY_ID]],Table1[side],"SELL")</f>
        <v>0</v>
      </c>
      <c r="R310">
        <f>Table1[[#This Row],[Column2]]-Table1[[#This Row],[Buy-sell]]</f>
        <v>230.88</v>
      </c>
      <c r="S310" t="str">
        <f>IF(Table1[[#This Row],[Sell-Buy]]&gt;0,"Profit","Loss")</f>
        <v>Profit</v>
      </c>
      <c r="T310" s="4" t="s">
        <v>628</v>
      </c>
      <c r="U310" s="8">
        <f>SUMIFS(Table1[price],Table1[order_id],Table15[[#This Row],[order_id]],Table1[side],"BUY")*Table15[[#This Row],[Buy_Quantity]]</f>
        <v>0</v>
      </c>
      <c r="V310" s="8">
        <f>SUMIFS(Table1[price],Table1[order_id],Table15[[#This Row],[order_id]],Table1[side],"SELL")</f>
        <v>1306.9000000000001</v>
      </c>
      <c r="W310" s="8">
        <f>Table15[[#This Row],[sell]]-Table15[[#This Row],[Buy]]</f>
        <v>1133082.3</v>
      </c>
      <c r="X310" s="8">
        <f>IF(Table15[[#This Row],[Profit]]&gt;0,1,0)</f>
        <v>1</v>
      </c>
      <c r="Y310" s="5" t="str">
        <f>IF(Table15[[#This Row],[is Profit]]=1,"Profit","Loss")</f>
        <v>Profit</v>
      </c>
      <c r="Z310" s="5">
        <f>SUMIFS(Table1[quantity],Table1[order_id],Table15[[#This Row],[order_id]],Table1[side],"SELL")</f>
        <v>867</v>
      </c>
      <c r="AA310" s="5">
        <f>Table15[[#This Row],[Buy_value]]*Table15[[#This Row],[Buy_Quantity]]</f>
        <v>0</v>
      </c>
      <c r="AB310" s="5">
        <f>Table15[[#This Row],[Sell_Value]]*Table15[[#This Row],[Sell_Quantity]]</f>
        <v>1133082.3</v>
      </c>
      <c r="AC310" s="5">
        <f>SUMIFS(Table1[quantity],Table1[order_id],Table15[[#This Row],[order_id]],Table1[side],"BUY")</f>
        <v>0</v>
      </c>
      <c r="AE310" s="9" t="s">
        <v>747</v>
      </c>
      <c r="AF310" s="10" t="str">
        <f>IF(Table1[[#This Row],[Sell-Buy]]&gt;0,"Profit","Loss")</f>
        <v>Profit</v>
      </c>
      <c r="AG310">
        <f>Table1[[#This Row],[Column2]]-Table1[[#This Row],[Buy-sell]]</f>
        <v>230.88</v>
      </c>
    </row>
    <row r="311" spans="1:33" x14ac:dyDescent="0.3">
      <c r="A311" t="s">
        <v>773</v>
      </c>
      <c r="B311" t="s">
        <v>553</v>
      </c>
      <c r="C311" s="1">
        <v>45712.036805555559</v>
      </c>
      <c r="D311" t="s">
        <v>26</v>
      </c>
      <c r="E311" t="s">
        <v>171</v>
      </c>
      <c r="F311">
        <v>198</v>
      </c>
      <c r="G311">
        <v>237.07</v>
      </c>
      <c r="H311">
        <v>23.47</v>
      </c>
      <c r="I311" t="s">
        <v>122</v>
      </c>
      <c r="J311" t="s">
        <v>70</v>
      </c>
      <c r="L311" s="1">
        <v>45693</v>
      </c>
      <c r="N311">
        <f>IF(Table1[[#This Row],[side]]="BUY", Table1[[#This Row],[quantity]],-Table1[[#This Row],[quantity]])</f>
        <v>-198</v>
      </c>
      <c r="O311" t="s">
        <v>171</v>
      </c>
      <c r="P311">
        <f>IF(Table1[[#This Row],[side]]="Sell",Table1[[#This Row],[price]],"0")</f>
        <v>237.07</v>
      </c>
      <c r="Q311">
        <f>SUMIFS(Table1[quantity],Table1[company_id],Table8[[#This Row],[COMPANY_ID]],Table1[side],"BUY")-SUMIFS(Table1[quantity],Table1[company_id],Table8[[#This Row],[COMPANY_ID]],Table1[side],"SELL")</f>
        <v>0</v>
      </c>
      <c r="R311">
        <f>Table1[[#This Row],[Column2]]-Table1[[#This Row],[Buy-sell]]</f>
        <v>237.07</v>
      </c>
      <c r="S311" t="str">
        <f>IF(Table1[[#This Row],[Sell-Buy]]&gt;0,"Profit","Loss")</f>
        <v>Profit</v>
      </c>
      <c r="T311" s="4" t="s">
        <v>630</v>
      </c>
      <c r="U311" s="8">
        <f>SUMIFS(Table1[price],Table1[order_id],Table15[[#This Row],[order_id]],Table1[side],"BUY")*Table15[[#This Row],[Buy_Quantity]]</f>
        <v>118868.04999999999</v>
      </c>
      <c r="V311" s="8">
        <f>SUMIFS(Table1[price],Table1[order_id],Table15[[#This Row],[order_id]],Table1[side],"SELL")</f>
        <v>1370.03</v>
      </c>
      <c r="W311" s="8">
        <f>Table15[[#This Row],[sell]]-Table15[[#This Row],[Buy]]</f>
        <v>-54907917.029999994</v>
      </c>
      <c r="X311" s="8">
        <f>IF(Table15[[#This Row],[Profit]]&gt;0,1,0)</f>
        <v>0</v>
      </c>
      <c r="Y311" s="5" t="str">
        <f>IF(Table15[[#This Row],[is Profit]]=1,"Profit","Loss")</f>
        <v>Loss</v>
      </c>
      <c r="Z311" s="5">
        <f>SUMIFS(Table1[quantity],Table1[order_id],Table15[[#This Row],[order_id]],Table1[side],"SELL")</f>
        <v>614</v>
      </c>
      <c r="AA311" s="5">
        <f>Table15[[#This Row],[Buy_value]]*Table15[[#This Row],[Buy_Quantity]]</f>
        <v>55749115.449999996</v>
      </c>
      <c r="AB311" s="5">
        <f>Table15[[#This Row],[Sell_Value]]*Table15[[#This Row],[Sell_Quantity]]</f>
        <v>841198.41999999993</v>
      </c>
      <c r="AC311" s="5">
        <f>SUMIFS(Table1[quantity],Table1[order_id],Table15[[#This Row],[order_id]],Table1[side],"BUY")</f>
        <v>469</v>
      </c>
      <c r="AE311" s="10" t="s">
        <v>1057</v>
      </c>
      <c r="AF311" s="10" t="str">
        <f>IF(Table1[[#This Row],[Sell-Buy]]&gt;0,"Profit","Loss")</f>
        <v>Profit</v>
      </c>
      <c r="AG311">
        <f>Table1[[#This Row],[Column2]]-Table1[[#This Row],[Buy-sell]]</f>
        <v>237.07</v>
      </c>
    </row>
    <row r="312" spans="1:33" x14ac:dyDescent="0.3">
      <c r="A312" t="s">
        <v>748</v>
      </c>
      <c r="B312" t="s">
        <v>441</v>
      </c>
      <c r="C312" s="1">
        <v>45713.034722222219</v>
      </c>
      <c r="D312" t="s">
        <v>26</v>
      </c>
      <c r="E312" t="s">
        <v>166</v>
      </c>
      <c r="F312">
        <v>841</v>
      </c>
      <c r="G312">
        <v>233.99</v>
      </c>
      <c r="H312">
        <v>98.39</v>
      </c>
      <c r="I312" t="s">
        <v>148</v>
      </c>
      <c r="J312" t="s">
        <v>58</v>
      </c>
      <c r="L312" s="1">
        <v>45765</v>
      </c>
      <c r="M312" t="s">
        <v>166</v>
      </c>
      <c r="N312">
        <f>IF(Table1[[#This Row],[side]]="BUY", Table1[[#This Row],[quantity]],-Table1[[#This Row],[quantity]])</f>
        <v>841</v>
      </c>
      <c r="P312" t="str">
        <f>IF(Table1[[#This Row],[side]]="Sell",Table1[[#This Row],[price]],"0")</f>
        <v>0</v>
      </c>
      <c r="Q312">
        <f>SUMIFS(Table1[quantity],Table1[company_id],Table8[[#This Row],[COMPANY_ID]],Table1[side],"BUY")-SUMIFS(Table1[quantity],Table1[company_id],Table8[[#This Row],[COMPANY_ID]],Table1[side],"SELL")</f>
        <v>0</v>
      </c>
      <c r="R312">
        <f>Table1[[#This Row],[Column2]]-Table1[[#This Row],[Buy-sell]]</f>
        <v>0</v>
      </c>
      <c r="S312" t="str">
        <f>IF(Table1[[#This Row],[Sell-Buy]]&gt;0,"Profit","Loss")</f>
        <v>Loss</v>
      </c>
      <c r="T312" s="5" t="s">
        <v>631</v>
      </c>
      <c r="U312" s="8">
        <f>SUMIFS(Table1[price],Table1[order_id],Table15[[#This Row],[order_id]],Table1[side],"BUY")*Table15[[#This Row],[Buy_Quantity]]</f>
        <v>231119.46000000002</v>
      </c>
      <c r="V312" s="8">
        <f>SUMIFS(Table1[price],Table1[order_id],Table15[[#This Row],[order_id]],Table1[side],"SELL")</f>
        <v>0</v>
      </c>
      <c r="W312" s="8">
        <f>Table15[[#This Row],[sell]]-Table15[[#This Row],[Buy]]</f>
        <v>-208469752.92000002</v>
      </c>
      <c r="X312" s="8">
        <f>IF(Table15[[#This Row],[Profit]]&gt;0,1,0)</f>
        <v>0</v>
      </c>
      <c r="Y312" s="5" t="str">
        <f>IF(Table15[[#This Row],[is Profit]]=1,"Profit","Loss")</f>
        <v>Loss</v>
      </c>
      <c r="Z312" s="5">
        <f>SUMIFS(Table1[quantity],Table1[order_id],Table15[[#This Row],[order_id]],Table1[side],"SELL")</f>
        <v>0</v>
      </c>
      <c r="AA312" s="5">
        <f>Table15[[#This Row],[Buy_value]]*Table15[[#This Row],[Buy_Quantity]]</f>
        <v>208469752.92000002</v>
      </c>
      <c r="AB312" s="5">
        <f>Table15[[#This Row],[Sell_Value]]*Table15[[#This Row],[Sell_Quantity]]</f>
        <v>0</v>
      </c>
      <c r="AC312" s="5">
        <f>SUMIFS(Table1[quantity],Table1[order_id],Table15[[#This Row],[order_id]],Table1[side],"BUY")</f>
        <v>902</v>
      </c>
      <c r="AE312" s="9" t="s">
        <v>702</v>
      </c>
      <c r="AF312" s="10" t="str">
        <f>IF(Table1[[#This Row],[Sell-Buy]]&gt;0,"Profit","Loss")</f>
        <v>Loss</v>
      </c>
      <c r="AG312">
        <f>Table1[[#This Row],[Column2]]-Table1[[#This Row],[Buy-sell]]</f>
        <v>0</v>
      </c>
    </row>
    <row r="313" spans="1:33" x14ac:dyDescent="0.3">
      <c r="A313" t="s">
        <v>755</v>
      </c>
      <c r="B313" t="s">
        <v>566</v>
      </c>
      <c r="C313" s="1">
        <v>45698.040972222225</v>
      </c>
      <c r="D313" t="s">
        <v>26</v>
      </c>
      <c r="E313" t="s">
        <v>166</v>
      </c>
      <c r="F313">
        <v>135</v>
      </c>
      <c r="G313">
        <v>234.73</v>
      </c>
      <c r="H313">
        <v>15.84</v>
      </c>
      <c r="I313" t="s">
        <v>132</v>
      </c>
      <c r="J313" t="s">
        <v>55</v>
      </c>
      <c r="L313" s="1">
        <v>45659</v>
      </c>
      <c r="M313" t="s">
        <v>166</v>
      </c>
      <c r="N313">
        <f>IF(Table1[[#This Row],[side]]="BUY", Table1[[#This Row],[quantity]],-Table1[[#This Row],[quantity]])</f>
        <v>135</v>
      </c>
      <c r="P313" t="str">
        <f>IF(Table1[[#This Row],[side]]="Sell",Table1[[#This Row],[price]],"0")</f>
        <v>0</v>
      </c>
      <c r="Q313">
        <f>SUMIFS(Table1[quantity],Table1[company_id],Table8[[#This Row],[COMPANY_ID]],Table1[side],"BUY")-SUMIFS(Table1[quantity],Table1[company_id],Table8[[#This Row],[COMPANY_ID]],Table1[side],"SELL")</f>
        <v>0</v>
      </c>
      <c r="R313">
        <f>Table1[[#This Row],[Column2]]-Table1[[#This Row],[Buy-sell]]</f>
        <v>0</v>
      </c>
      <c r="S313" t="str">
        <f>IF(Table1[[#This Row],[Sell-Buy]]&gt;0,"Profit","Loss")</f>
        <v>Loss</v>
      </c>
      <c r="T313" s="4" t="s">
        <v>632</v>
      </c>
      <c r="U313" s="8">
        <f>SUMIFS(Table1[price],Table1[order_id],Table15[[#This Row],[order_id]],Table1[side],"BUY")*Table15[[#This Row],[Buy_Quantity]]</f>
        <v>0</v>
      </c>
      <c r="V313" s="8">
        <f>SUMIFS(Table1[price],Table1[order_id],Table15[[#This Row],[order_id]],Table1[side],"SELL")</f>
        <v>1361.27</v>
      </c>
      <c r="W313" s="8">
        <f>Table15[[#This Row],[sell]]-Table15[[#This Row],[Buy]]</f>
        <v>850793.75</v>
      </c>
      <c r="X313" s="8">
        <f>IF(Table15[[#This Row],[Profit]]&gt;0,1,0)</f>
        <v>1</v>
      </c>
      <c r="Y313" s="5" t="str">
        <f>IF(Table15[[#This Row],[is Profit]]=1,"Profit","Loss")</f>
        <v>Profit</v>
      </c>
      <c r="Z313" s="5">
        <f>SUMIFS(Table1[quantity],Table1[order_id],Table15[[#This Row],[order_id]],Table1[side],"SELL")</f>
        <v>625</v>
      </c>
      <c r="AA313" s="5">
        <f>Table15[[#This Row],[Buy_value]]*Table15[[#This Row],[Buy_Quantity]]</f>
        <v>0</v>
      </c>
      <c r="AB313" s="5">
        <f>Table15[[#This Row],[Sell_Value]]*Table15[[#This Row],[Sell_Quantity]]</f>
        <v>850793.75</v>
      </c>
      <c r="AC313" s="5">
        <f>SUMIFS(Table1[quantity],Table1[order_id],Table15[[#This Row],[order_id]],Table1[side],"BUY")</f>
        <v>0</v>
      </c>
      <c r="AE313" s="10" t="s">
        <v>781</v>
      </c>
      <c r="AF313" s="10" t="str">
        <f>IF(Table1[[#This Row],[Sell-Buy]]&gt;0,"Profit","Loss")</f>
        <v>Loss</v>
      </c>
      <c r="AG313">
        <f>Table1[[#This Row],[Column2]]-Table1[[#This Row],[Buy-sell]]</f>
        <v>0</v>
      </c>
    </row>
    <row r="314" spans="1:33" x14ac:dyDescent="0.3">
      <c r="A314" t="s">
        <v>840</v>
      </c>
      <c r="B314" t="s">
        <v>412</v>
      </c>
      <c r="C314" s="1">
        <v>45783.040972222225</v>
      </c>
      <c r="D314" t="s">
        <v>26</v>
      </c>
      <c r="E314" t="s">
        <v>171</v>
      </c>
      <c r="F314">
        <v>570</v>
      </c>
      <c r="G314">
        <v>227.17</v>
      </c>
      <c r="H314">
        <v>64.739999999999995</v>
      </c>
      <c r="I314" t="s">
        <v>94</v>
      </c>
      <c r="J314" t="s">
        <v>52</v>
      </c>
      <c r="L314" s="1">
        <v>45749</v>
      </c>
      <c r="N314">
        <f>IF(Table1[[#This Row],[side]]="BUY", Table1[[#This Row],[quantity]],-Table1[[#This Row],[quantity]])</f>
        <v>-570</v>
      </c>
      <c r="O314" t="s">
        <v>171</v>
      </c>
      <c r="P314">
        <f>IF(Table1[[#This Row],[side]]="Sell",Table1[[#This Row],[price]],"0")</f>
        <v>227.17</v>
      </c>
      <c r="Q314">
        <f>SUMIFS(Table1[quantity],Table1[company_id],Table8[[#This Row],[COMPANY_ID]],Table1[side],"BUY")-SUMIFS(Table1[quantity],Table1[company_id],Table8[[#This Row],[COMPANY_ID]],Table1[side],"SELL")</f>
        <v>0</v>
      </c>
      <c r="R314">
        <f>Table1[[#This Row],[Column2]]-Table1[[#This Row],[Buy-sell]]</f>
        <v>227.17</v>
      </c>
      <c r="S314" t="str">
        <f>IF(Table1[[#This Row],[Sell-Buy]]&gt;0,"Profit","Loss")</f>
        <v>Profit</v>
      </c>
      <c r="T314" s="4" t="s">
        <v>633</v>
      </c>
      <c r="U314" s="8">
        <f>SUMIFS(Table1[price],Table1[order_id],Table15[[#This Row],[order_id]],Table1[side],"BUY")*Table15[[#This Row],[Buy_Quantity]]</f>
        <v>1579328.84</v>
      </c>
      <c r="V314" s="8">
        <f>SUMIFS(Table1[price],Table1[order_id],Table15[[#This Row],[order_id]],Table1[side],"SELL")</f>
        <v>0</v>
      </c>
      <c r="W314" s="8">
        <f>Table15[[#This Row],[sell]]-Table15[[#This Row],[Buy]]</f>
        <v>-2773301443.04</v>
      </c>
      <c r="X314" s="8">
        <f>IF(Table15[[#This Row],[Profit]]&gt;0,1,0)</f>
        <v>0</v>
      </c>
      <c r="Y314" s="5" t="str">
        <f>IF(Table15[[#This Row],[is Profit]]=1,"Profit","Loss")</f>
        <v>Loss</v>
      </c>
      <c r="Z314" s="5">
        <f>SUMIFS(Table1[quantity],Table1[order_id],Table15[[#This Row],[order_id]],Table1[side],"SELL")</f>
        <v>0</v>
      </c>
      <c r="AA314" s="5">
        <f>Table15[[#This Row],[Buy_value]]*Table15[[#This Row],[Buy_Quantity]]</f>
        <v>2773301443.04</v>
      </c>
      <c r="AB314" s="5">
        <f>Table15[[#This Row],[Sell_Value]]*Table15[[#This Row],[Sell_Quantity]]</f>
        <v>0</v>
      </c>
      <c r="AC314" s="5">
        <f>SUMIFS(Table1[quantity],Table1[order_id],Table15[[#This Row],[order_id]],Table1[side],"BUY")</f>
        <v>1756</v>
      </c>
      <c r="AE314" s="9" t="s">
        <v>1096</v>
      </c>
      <c r="AF314" s="10" t="str">
        <f>IF(Table1[[#This Row],[Sell-Buy]]&gt;0,"Profit","Loss")</f>
        <v>Profit</v>
      </c>
      <c r="AG314">
        <f>Table1[[#This Row],[Column2]]-Table1[[#This Row],[Buy-sell]]</f>
        <v>227.17</v>
      </c>
    </row>
    <row r="315" spans="1:33" x14ac:dyDescent="0.3">
      <c r="A315" t="s">
        <v>772</v>
      </c>
      <c r="B315" t="s">
        <v>572</v>
      </c>
      <c r="C315" s="1">
        <v>45705.005555555559</v>
      </c>
      <c r="D315" t="s">
        <v>26</v>
      </c>
      <c r="E315" t="s">
        <v>166</v>
      </c>
      <c r="F315">
        <v>608</v>
      </c>
      <c r="G315">
        <v>232.69</v>
      </c>
      <c r="H315">
        <v>70.739999999999995</v>
      </c>
      <c r="I315" t="s">
        <v>148</v>
      </c>
      <c r="J315" t="s">
        <v>76</v>
      </c>
      <c r="L315" s="1">
        <v>45798</v>
      </c>
      <c r="M315" t="s">
        <v>166</v>
      </c>
      <c r="N315">
        <f>IF(Table1[[#This Row],[side]]="BUY", Table1[[#This Row],[quantity]],-Table1[[#This Row],[quantity]])</f>
        <v>608</v>
      </c>
      <c r="P315" t="str">
        <f>IF(Table1[[#This Row],[side]]="Sell",Table1[[#This Row],[price]],"0")</f>
        <v>0</v>
      </c>
      <c r="Q315">
        <f>SUMIFS(Table1[quantity],Table1[company_id],Table8[[#This Row],[COMPANY_ID]],Table1[side],"BUY")-SUMIFS(Table1[quantity],Table1[company_id],Table8[[#This Row],[COMPANY_ID]],Table1[side],"SELL")</f>
        <v>0</v>
      </c>
      <c r="R315">
        <f>Table1[[#This Row],[Column2]]-Table1[[#This Row],[Buy-sell]]</f>
        <v>0</v>
      </c>
      <c r="S315" t="str">
        <f>IF(Table1[[#This Row],[Sell-Buy]]&gt;0,"Profit","Loss")</f>
        <v>Loss</v>
      </c>
      <c r="T315" s="5" t="s">
        <v>634</v>
      </c>
      <c r="U315" s="8">
        <f>SUMIFS(Table1[price],Table1[order_id],Table15[[#This Row],[order_id]],Table1[side],"BUY")*Table15[[#This Row],[Buy_Quantity]]</f>
        <v>0</v>
      </c>
      <c r="V315" s="8">
        <f>SUMIFS(Table1[price],Table1[order_id],Table15[[#This Row],[order_id]],Table1[side],"SELL")</f>
        <v>1040.8499999999999</v>
      </c>
      <c r="W315" s="8">
        <f>Table15[[#This Row],[sell]]-Table15[[#This Row],[Buy]]</f>
        <v>427789.35</v>
      </c>
      <c r="X315" s="8">
        <f>IF(Table15[[#This Row],[Profit]]&gt;0,1,0)</f>
        <v>1</v>
      </c>
      <c r="Y315" s="5" t="str">
        <f>IF(Table15[[#This Row],[is Profit]]=1,"Profit","Loss")</f>
        <v>Profit</v>
      </c>
      <c r="Z315" s="5">
        <f>SUMIFS(Table1[quantity],Table1[order_id],Table15[[#This Row],[order_id]],Table1[side],"SELL")</f>
        <v>411</v>
      </c>
      <c r="AA315" s="5">
        <f>Table15[[#This Row],[Buy_value]]*Table15[[#This Row],[Buy_Quantity]]</f>
        <v>0</v>
      </c>
      <c r="AB315" s="5">
        <f>Table15[[#This Row],[Sell_Value]]*Table15[[#This Row],[Sell_Quantity]]</f>
        <v>427789.35</v>
      </c>
      <c r="AC315" s="5">
        <f>SUMIFS(Table1[quantity],Table1[order_id],Table15[[#This Row],[order_id]],Table1[side],"BUY")</f>
        <v>0</v>
      </c>
      <c r="AE315" s="10" t="s">
        <v>705</v>
      </c>
      <c r="AF315" s="10" t="str">
        <f>IF(Table1[[#This Row],[Sell-Buy]]&gt;0,"Profit","Loss")</f>
        <v>Loss</v>
      </c>
      <c r="AG315">
        <f>Table1[[#This Row],[Column2]]-Table1[[#This Row],[Buy-sell]]</f>
        <v>0</v>
      </c>
    </row>
    <row r="316" spans="1:33" x14ac:dyDescent="0.3">
      <c r="A316" t="s">
        <v>879</v>
      </c>
      <c r="B316" t="s">
        <v>192</v>
      </c>
      <c r="C316" s="1">
        <v>45664.038888888892</v>
      </c>
      <c r="D316" t="s">
        <v>26</v>
      </c>
      <c r="E316" t="s">
        <v>171</v>
      </c>
      <c r="F316">
        <v>739</v>
      </c>
      <c r="G316">
        <v>239.25</v>
      </c>
      <c r="H316">
        <v>88.4</v>
      </c>
      <c r="I316" t="s">
        <v>118</v>
      </c>
      <c r="J316" t="s">
        <v>52</v>
      </c>
      <c r="L316" s="1">
        <v>45707</v>
      </c>
      <c r="N316">
        <f>IF(Table1[[#This Row],[side]]="BUY", Table1[[#This Row],[quantity]],-Table1[[#This Row],[quantity]])</f>
        <v>-739</v>
      </c>
      <c r="O316" t="s">
        <v>171</v>
      </c>
      <c r="P316">
        <f>IF(Table1[[#This Row],[side]]="Sell",Table1[[#This Row],[price]],"0")</f>
        <v>239.25</v>
      </c>
      <c r="Q316">
        <f>SUMIFS(Table1[quantity],Table1[company_id],Table8[[#This Row],[COMPANY_ID]],Table1[side],"BUY")-SUMIFS(Table1[quantity],Table1[company_id],Table8[[#This Row],[COMPANY_ID]],Table1[side],"SELL")</f>
        <v>0</v>
      </c>
      <c r="R316">
        <f>Table1[[#This Row],[Column2]]-Table1[[#This Row],[Buy-sell]]</f>
        <v>239.25</v>
      </c>
      <c r="S316" t="str">
        <f>IF(Table1[[#This Row],[Sell-Buy]]&gt;0,"Profit","Loss")</f>
        <v>Profit</v>
      </c>
      <c r="T316" s="4" t="s">
        <v>636</v>
      </c>
      <c r="U316" s="8">
        <f>SUMIFS(Table1[price],Table1[order_id],Table15[[#This Row],[order_id]],Table1[side],"BUY")*Table15[[#This Row],[Buy_Quantity]]</f>
        <v>0</v>
      </c>
      <c r="V316" s="8">
        <f>SUMIFS(Table1[price],Table1[order_id],Table15[[#This Row],[order_id]],Table1[side],"SELL")</f>
        <v>1428.79</v>
      </c>
      <c r="W316" s="8">
        <f>Table15[[#This Row],[sell]]-Table15[[#This Row],[Buy]]</f>
        <v>1201612.3899999999</v>
      </c>
      <c r="X316" s="8">
        <f>IF(Table15[[#This Row],[Profit]]&gt;0,1,0)</f>
        <v>1</v>
      </c>
      <c r="Y316" s="5" t="str">
        <f>IF(Table15[[#This Row],[is Profit]]=1,"Profit","Loss")</f>
        <v>Profit</v>
      </c>
      <c r="Z316" s="5">
        <f>SUMIFS(Table1[quantity],Table1[order_id],Table15[[#This Row],[order_id]],Table1[side],"SELL")</f>
        <v>841</v>
      </c>
      <c r="AA316" s="5">
        <f>Table15[[#This Row],[Buy_value]]*Table15[[#This Row],[Buy_Quantity]]</f>
        <v>0</v>
      </c>
      <c r="AB316" s="5">
        <f>Table15[[#This Row],[Sell_Value]]*Table15[[#This Row],[Sell_Quantity]]</f>
        <v>1201612.3899999999</v>
      </c>
      <c r="AC316" s="5">
        <f>SUMIFS(Table1[quantity],Table1[order_id],Table15[[#This Row],[order_id]],Table1[side],"BUY")</f>
        <v>0</v>
      </c>
      <c r="AE316" s="9" t="s">
        <v>839</v>
      </c>
      <c r="AF316" s="10" t="str">
        <f>IF(Table1[[#This Row],[Sell-Buy]]&gt;0,"Profit","Loss")</f>
        <v>Profit</v>
      </c>
      <c r="AG316">
        <f>Table1[[#This Row],[Column2]]-Table1[[#This Row],[Buy-sell]]</f>
        <v>239.25</v>
      </c>
    </row>
    <row r="317" spans="1:33" x14ac:dyDescent="0.3">
      <c r="A317" t="s">
        <v>792</v>
      </c>
      <c r="B317" t="s">
        <v>287</v>
      </c>
      <c r="C317" s="1">
        <v>45761.027083333334</v>
      </c>
      <c r="D317" t="s">
        <v>26</v>
      </c>
      <c r="E317" t="s">
        <v>166</v>
      </c>
      <c r="F317">
        <v>546</v>
      </c>
      <c r="G317">
        <v>246.61</v>
      </c>
      <c r="H317">
        <v>67.319999999999993</v>
      </c>
      <c r="I317" t="s">
        <v>140</v>
      </c>
      <c r="J317" t="s">
        <v>58</v>
      </c>
      <c r="L317" s="1">
        <v>45784</v>
      </c>
      <c r="M317" t="s">
        <v>166</v>
      </c>
      <c r="N317">
        <f>IF(Table1[[#This Row],[side]]="BUY", Table1[[#This Row],[quantity]],-Table1[[#This Row],[quantity]])</f>
        <v>546</v>
      </c>
      <c r="P317" t="str">
        <f>IF(Table1[[#This Row],[side]]="Sell",Table1[[#This Row],[price]],"0")</f>
        <v>0</v>
      </c>
      <c r="Q317">
        <f>SUMIFS(Table1[quantity],Table1[company_id],Table8[[#This Row],[COMPANY_ID]],Table1[side],"BUY")-SUMIFS(Table1[quantity],Table1[company_id],Table8[[#This Row],[COMPANY_ID]],Table1[side],"SELL")</f>
        <v>0</v>
      </c>
      <c r="R317">
        <f>Table1[[#This Row],[Column2]]-Table1[[#This Row],[Buy-sell]]</f>
        <v>0</v>
      </c>
      <c r="S317" t="str">
        <f>IF(Table1[[#This Row],[Sell-Buy]]&gt;0,"Profit","Loss")</f>
        <v>Loss</v>
      </c>
      <c r="T317" s="4" t="s">
        <v>637</v>
      </c>
      <c r="U317" s="8">
        <f>SUMIFS(Table1[price],Table1[order_id],Table15[[#This Row],[order_id]],Table1[side],"BUY")*Table15[[#This Row],[Buy_Quantity]]</f>
        <v>673232</v>
      </c>
      <c r="V317" s="8">
        <f>SUMIFS(Table1[price],Table1[order_id],Table15[[#This Row],[order_id]],Table1[side],"SELL")</f>
        <v>0</v>
      </c>
      <c r="W317" s="8">
        <f>Table15[[#This Row],[sell]]-Table15[[#This Row],[Buy]]</f>
        <v>-215434240</v>
      </c>
      <c r="X317" s="8">
        <f>IF(Table15[[#This Row],[Profit]]&gt;0,1,0)</f>
        <v>0</v>
      </c>
      <c r="Y317" s="5" t="str">
        <f>IF(Table15[[#This Row],[is Profit]]=1,"Profit","Loss")</f>
        <v>Loss</v>
      </c>
      <c r="Z317" s="5">
        <f>SUMIFS(Table1[quantity],Table1[order_id],Table15[[#This Row],[order_id]],Table1[side],"SELL")</f>
        <v>0</v>
      </c>
      <c r="AA317" s="5">
        <f>Table15[[#This Row],[Buy_value]]*Table15[[#This Row],[Buy_Quantity]]</f>
        <v>215434240</v>
      </c>
      <c r="AB317" s="5">
        <f>Table15[[#This Row],[Sell_Value]]*Table15[[#This Row],[Sell_Quantity]]</f>
        <v>0</v>
      </c>
      <c r="AC317" s="5">
        <f>SUMIFS(Table1[quantity],Table1[order_id],Table15[[#This Row],[order_id]],Table1[side],"BUY")</f>
        <v>320</v>
      </c>
      <c r="AE317" s="10" t="s">
        <v>858</v>
      </c>
      <c r="AF317" s="10" t="str">
        <f>IF(Table1[[#This Row],[Sell-Buy]]&gt;0,"Profit","Loss")</f>
        <v>Loss</v>
      </c>
      <c r="AG317">
        <f>Table1[[#This Row],[Column2]]-Table1[[#This Row],[Buy-sell]]</f>
        <v>0</v>
      </c>
    </row>
    <row r="318" spans="1:33" x14ac:dyDescent="0.3">
      <c r="A318" t="s">
        <v>798</v>
      </c>
      <c r="B318" t="s">
        <v>234</v>
      </c>
      <c r="C318" s="1">
        <v>45785.009722222225</v>
      </c>
      <c r="D318" t="s">
        <v>26</v>
      </c>
      <c r="E318" t="s">
        <v>166</v>
      </c>
      <c r="F318">
        <v>442</v>
      </c>
      <c r="G318">
        <v>227.22</v>
      </c>
      <c r="H318">
        <v>50.22</v>
      </c>
      <c r="I318" t="s">
        <v>130</v>
      </c>
      <c r="J318" t="s">
        <v>55</v>
      </c>
      <c r="L318" s="1">
        <v>45826</v>
      </c>
      <c r="M318" t="s">
        <v>166</v>
      </c>
      <c r="N318">
        <f>IF(Table1[[#This Row],[side]]="BUY", Table1[[#This Row],[quantity]],-Table1[[#This Row],[quantity]])</f>
        <v>442</v>
      </c>
      <c r="P318" t="str">
        <f>IF(Table1[[#This Row],[side]]="Sell",Table1[[#This Row],[price]],"0")</f>
        <v>0</v>
      </c>
      <c r="Q318">
        <f>SUMIFS(Table1[quantity],Table1[company_id],Table8[[#This Row],[COMPANY_ID]],Table1[side],"BUY")-SUMIFS(Table1[quantity],Table1[company_id],Table8[[#This Row],[COMPANY_ID]],Table1[side],"SELL")</f>
        <v>0</v>
      </c>
      <c r="R318">
        <f>Table1[[#This Row],[Column2]]-Table1[[#This Row],[Buy-sell]]</f>
        <v>0</v>
      </c>
      <c r="S318" t="str">
        <f>IF(Table1[[#This Row],[Sell-Buy]]&gt;0,"Profit","Loss")</f>
        <v>Loss</v>
      </c>
      <c r="T318" s="4" t="s">
        <v>639</v>
      </c>
      <c r="U318" s="8">
        <f>SUMIFS(Table1[price],Table1[order_id],Table15[[#This Row],[order_id]],Table1[side],"BUY")*Table15[[#This Row],[Buy_Quantity]]</f>
        <v>1069027.44</v>
      </c>
      <c r="V318" s="8">
        <f>SUMIFS(Table1[price],Table1[order_id],Table15[[#This Row],[order_id]],Table1[side],"SELL")</f>
        <v>0</v>
      </c>
      <c r="W318" s="8">
        <f>Table15[[#This Row],[sell]]-Table15[[#This Row],[Buy]]</f>
        <v>-569791625.51999998</v>
      </c>
      <c r="X318" s="8">
        <f>IF(Table15[[#This Row],[Profit]]&gt;0,1,0)</f>
        <v>0</v>
      </c>
      <c r="Y318" s="5" t="str">
        <f>IF(Table15[[#This Row],[is Profit]]=1,"Profit","Loss")</f>
        <v>Loss</v>
      </c>
      <c r="Z318" s="5">
        <f>SUMIFS(Table1[quantity],Table1[order_id],Table15[[#This Row],[order_id]],Table1[side],"SELL")</f>
        <v>0</v>
      </c>
      <c r="AA318" s="5">
        <f>Table15[[#This Row],[Buy_value]]*Table15[[#This Row],[Buy_Quantity]]</f>
        <v>569791625.51999998</v>
      </c>
      <c r="AB318" s="5">
        <f>Table15[[#This Row],[Sell_Value]]*Table15[[#This Row],[Sell_Quantity]]</f>
        <v>0</v>
      </c>
      <c r="AC318" s="5">
        <f>SUMIFS(Table1[quantity],Table1[order_id],Table15[[#This Row],[order_id]],Table1[side],"BUY")</f>
        <v>533</v>
      </c>
      <c r="AE318" s="9" t="s">
        <v>881</v>
      </c>
      <c r="AF318" s="10" t="str">
        <f>IF(Table1[[#This Row],[Sell-Buy]]&gt;0,"Profit","Loss")</f>
        <v>Loss</v>
      </c>
      <c r="AG318">
        <f>Table1[[#This Row],[Column2]]-Table1[[#This Row],[Buy-sell]]</f>
        <v>0</v>
      </c>
    </row>
    <row r="319" spans="1:33" x14ac:dyDescent="0.3">
      <c r="A319" t="s">
        <v>802</v>
      </c>
      <c r="B319" t="s">
        <v>458</v>
      </c>
      <c r="C319" s="1">
        <v>45765.020138888889</v>
      </c>
      <c r="D319" t="s">
        <v>26</v>
      </c>
      <c r="E319" t="s">
        <v>166</v>
      </c>
      <c r="F319">
        <v>820</v>
      </c>
      <c r="G319">
        <v>241.42</v>
      </c>
      <c r="H319">
        <v>98.98</v>
      </c>
      <c r="I319" t="s">
        <v>138</v>
      </c>
      <c r="J319" t="s">
        <v>67</v>
      </c>
      <c r="L319" s="1">
        <v>45792</v>
      </c>
      <c r="M319" t="s">
        <v>166</v>
      </c>
      <c r="N319">
        <f>IF(Table1[[#This Row],[side]]="BUY", Table1[[#This Row],[quantity]],-Table1[[#This Row],[quantity]])</f>
        <v>820</v>
      </c>
      <c r="P319" t="str">
        <f>IF(Table1[[#This Row],[side]]="Sell",Table1[[#This Row],[price]],"0")</f>
        <v>0</v>
      </c>
      <c r="Q319">
        <f>SUMIFS(Table1[quantity],Table1[company_id],Table8[[#This Row],[COMPANY_ID]],Table1[side],"BUY")-SUMIFS(Table1[quantity],Table1[company_id],Table8[[#This Row],[COMPANY_ID]],Table1[side],"SELL")</f>
        <v>0</v>
      </c>
      <c r="R319">
        <f>Table1[[#This Row],[Column2]]-Table1[[#This Row],[Buy-sell]]</f>
        <v>0</v>
      </c>
      <c r="S319" t="str">
        <f>IF(Table1[[#This Row],[Sell-Buy]]&gt;0,"Profit","Loss")</f>
        <v>Loss</v>
      </c>
      <c r="T319" s="4" t="s">
        <v>640</v>
      </c>
      <c r="U319" s="8">
        <f>SUMIFS(Table1[price],Table1[order_id],Table15[[#This Row],[order_id]],Table1[side],"BUY")*Table15[[#This Row],[Buy_Quantity]]</f>
        <v>199875.87</v>
      </c>
      <c r="V319" s="8">
        <f>SUMIFS(Table1[price],Table1[order_id],Table15[[#This Row],[order_id]],Table1[side],"SELL")</f>
        <v>0</v>
      </c>
      <c r="W319" s="8">
        <f>Table15[[#This Row],[sell]]-Table15[[#This Row],[Buy]]</f>
        <v>-78551216.909999996</v>
      </c>
      <c r="X319" s="8">
        <f>IF(Table15[[#This Row],[Profit]]&gt;0,1,0)</f>
        <v>0</v>
      </c>
      <c r="Y319" s="5" t="str">
        <f>IF(Table15[[#This Row],[is Profit]]=1,"Profit","Loss")</f>
        <v>Loss</v>
      </c>
      <c r="Z319" s="5">
        <f>SUMIFS(Table1[quantity],Table1[order_id],Table15[[#This Row],[order_id]],Table1[side],"SELL")</f>
        <v>0</v>
      </c>
      <c r="AA319" s="5">
        <f>Table15[[#This Row],[Buy_value]]*Table15[[#This Row],[Buy_Quantity]]</f>
        <v>78551216.909999996</v>
      </c>
      <c r="AB319" s="5">
        <f>Table15[[#This Row],[Sell_Value]]*Table15[[#This Row],[Sell_Quantity]]</f>
        <v>0</v>
      </c>
      <c r="AC319" s="5">
        <f>SUMIFS(Table1[quantity],Table1[order_id],Table15[[#This Row],[order_id]],Table1[side],"BUY")</f>
        <v>393</v>
      </c>
      <c r="AE319" s="10" t="s">
        <v>849</v>
      </c>
      <c r="AF319" s="10" t="str">
        <f>IF(Table1[[#This Row],[Sell-Buy]]&gt;0,"Profit","Loss")</f>
        <v>Loss</v>
      </c>
      <c r="AG319">
        <f>Table1[[#This Row],[Column2]]-Table1[[#This Row],[Buy-sell]]</f>
        <v>0</v>
      </c>
    </row>
    <row r="320" spans="1:33" x14ac:dyDescent="0.3">
      <c r="A320" t="s">
        <v>806</v>
      </c>
      <c r="B320" t="s">
        <v>451</v>
      </c>
      <c r="C320" s="1">
        <v>45673.019444444442</v>
      </c>
      <c r="D320" t="s">
        <v>26</v>
      </c>
      <c r="E320" t="s">
        <v>166</v>
      </c>
      <c r="F320">
        <v>817</v>
      </c>
      <c r="G320">
        <v>243.15</v>
      </c>
      <c r="H320">
        <v>99.33</v>
      </c>
      <c r="I320" t="s">
        <v>108</v>
      </c>
      <c r="J320" t="s">
        <v>55</v>
      </c>
      <c r="L320" s="1">
        <v>45761</v>
      </c>
      <c r="M320" t="s">
        <v>166</v>
      </c>
      <c r="N320">
        <f>IF(Table1[[#This Row],[side]]="BUY", Table1[[#This Row],[quantity]],-Table1[[#This Row],[quantity]])</f>
        <v>817</v>
      </c>
      <c r="P320" t="str">
        <f>IF(Table1[[#This Row],[side]]="Sell",Table1[[#This Row],[price]],"0")</f>
        <v>0</v>
      </c>
      <c r="Q320">
        <f>SUMIFS(Table1[quantity],Table1[company_id],Table8[[#This Row],[COMPANY_ID]],Table1[side],"BUY")-SUMIFS(Table1[quantity],Table1[company_id],Table8[[#This Row],[COMPANY_ID]],Table1[side],"SELL")</f>
        <v>0</v>
      </c>
      <c r="R320">
        <f>Table1[[#This Row],[Column2]]-Table1[[#This Row],[Buy-sell]]</f>
        <v>0</v>
      </c>
      <c r="S320" t="str">
        <f>IF(Table1[[#This Row],[Sell-Buy]]&gt;0,"Profit","Loss")</f>
        <v>Loss</v>
      </c>
      <c r="T320" s="4" t="s">
        <v>641</v>
      </c>
      <c r="U320" s="8">
        <f>SUMIFS(Table1[price],Table1[order_id],Table15[[#This Row],[order_id]],Table1[side],"BUY")*Table15[[#This Row],[Buy_Quantity]]</f>
        <v>0</v>
      </c>
      <c r="V320" s="8">
        <f>SUMIFS(Table1[price],Table1[order_id],Table15[[#This Row],[order_id]],Table1[side],"SELL")</f>
        <v>231.88</v>
      </c>
      <c r="W320" s="8">
        <f>Table15[[#This Row],[sell]]-Table15[[#This Row],[Buy]]</f>
        <v>54491.799999999996</v>
      </c>
      <c r="X320" s="8">
        <f>IF(Table15[[#This Row],[Profit]]&gt;0,1,0)</f>
        <v>1</v>
      </c>
      <c r="Y320" s="5" t="str">
        <f>IF(Table15[[#This Row],[is Profit]]=1,"Profit","Loss")</f>
        <v>Profit</v>
      </c>
      <c r="Z320" s="5">
        <f>SUMIFS(Table1[quantity],Table1[order_id],Table15[[#This Row],[order_id]],Table1[side],"SELL")</f>
        <v>235</v>
      </c>
      <c r="AA320" s="5">
        <f>Table15[[#This Row],[Buy_value]]*Table15[[#This Row],[Buy_Quantity]]</f>
        <v>0</v>
      </c>
      <c r="AB320" s="5">
        <f>Table15[[#This Row],[Sell_Value]]*Table15[[#This Row],[Sell_Quantity]]</f>
        <v>54491.799999999996</v>
      </c>
      <c r="AC320" s="5">
        <f>SUMIFS(Table1[quantity],Table1[order_id],Table15[[#This Row],[order_id]],Table1[side],"BUY")</f>
        <v>0</v>
      </c>
      <c r="AE320" s="9" t="s">
        <v>1106</v>
      </c>
      <c r="AF320" s="10" t="str">
        <f>IF(Table1[[#This Row],[Sell-Buy]]&gt;0,"Profit","Loss")</f>
        <v>Loss</v>
      </c>
      <c r="AG320">
        <f>Table1[[#This Row],[Column2]]-Table1[[#This Row],[Buy-sell]]</f>
        <v>0</v>
      </c>
    </row>
    <row r="321" spans="1:33" x14ac:dyDescent="0.3">
      <c r="A321" t="s">
        <v>827</v>
      </c>
      <c r="B321" t="s">
        <v>618</v>
      </c>
      <c r="C321" s="1">
        <v>45659.020833333336</v>
      </c>
      <c r="D321" t="s">
        <v>26</v>
      </c>
      <c r="E321" t="s">
        <v>166</v>
      </c>
      <c r="F321">
        <v>648</v>
      </c>
      <c r="G321">
        <v>245.45</v>
      </c>
      <c r="H321">
        <v>79.53</v>
      </c>
      <c r="I321" t="s">
        <v>102</v>
      </c>
      <c r="J321" t="s">
        <v>55</v>
      </c>
      <c r="L321" s="1">
        <v>45833</v>
      </c>
      <c r="M321" t="s">
        <v>166</v>
      </c>
      <c r="N321">
        <f>IF(Table1[[#This Row],[side]]="BUY", Table1[[#This Row],[quantity]],-Table1[[#This Row],[quantity]])</f>
        <v>648</v>
      </c>
      <c r="P321" t="str">
        <f>IF(Table1[[#This Row],[side]]="Sell",Table1[[#This Row],[price]],"0")</f>
        <v>0</v>
      </c>
      <c r="Q321">
        <f>SUMIFS(Table1[quantity],Table1[company_id],Table8[[#This Row],[COMPANY_ID]],Table1[side],"BUY")-SUMIFS(Table1[quantity],Table1[company_id],Table8[[#This Row],[COMPANY_ID]],Table1[side],"SELL")</f>
        <v>0</v>
      </c>
      <c r="R321">
        <f>Table1[[#This Row],[Column2]]-Table1[[#This Row],[Buy-sell]]</f>
        <v>0</v>
      </c>
      <c r="S321" t="str">
        <f>IF(Table1[[#This Row],[Sell-Buy]]&gt;0,"Profit","Loss")</f>
        <v>Loss</v>
      </c>
      <c r="T321" s="5" t="s">
        <v>642</v>
      </c>
      <c r="U321" s="8">
        <f>SUMIFS(Table1[price],Table1[order_id],Table15[[#This Row],[order_id]],Table1[side],"BUY")*Table15[[#This Row],[Buy_Quantity]]</f>
        <v>0</v>
      </c>
      <c r="V321" s="8">
        <f>SUMIFS(Table1[price],Table1[order_id],Table15[[#This Row],[order_id]],Table1[side],"SELL")</f>
        <v>591.79999999999995</v>
      </c>
      <c r="W321" s="8">
        <f>Table15[[#This Row],[sell]]-Table15[[#This Row],[Buy]]</f>
        <v>474031.8</v>
      </c>
      <c r="X321" s="8">
        <f>IF(Table15[[#This Row],[Profit]]&gt;0,1,0)</f>
        <v>1</v>
      </c>
      <c r="Y321" s="5" t="str">
        <f>IF(Table15[[#This Row],[is Profit]]=1,"Profit","Loss")</f>
        <v>Profit</v>
      </c>
      <c r="Z321" s="5">
        <f>SUMIFS(Table1[quantity],Table1[order_id],Table15[[#This Row],[order_id]],Table1[side],"SELL")</f>
        <v>801</v>
      </c>
      <c r="AA321" s="5">
        <f>Table15[[#This Row],[Buy_value]]*Table15[[#This Row],[Buy_Quantity]]</f>
        <v>0</v>
      </c>
      <c r="AB321" s="5">
        <f>Table15[[#This Row],[Sell_Value]]*Table15[[#This Row],[Sell_Quantity]]</f>
        <v>474031.8</v>
      </c>
      <c r="AC321" s="5">
        <f>SUMIFS(Table1[quantity],Table1[order_id],Table15[[#This Row],[order_id]],Table1[side],"BUY")</f>
        <v>0</v>
      </c>
      <c r="AE321" s="10" t="s">
        <v>845</v>
      </c>
      <c r="AF321" s="10" t="str">
        <f>IF(Table1[[#This Row],[Sell-Buy]]&gt;0,"Profit","Loss")</f>
        <v>Loss</v>
      </c>
      <c r="AG321">
        <f>Table1[[#This Row],[Column2]]-Table1[[#This Row],[Buy-sell]]</f>
        <v>0</v>
      </c>
    </row>
    <row r="322" spans="1:33" x14ac:dyDescent="0.3">
      <c r="A322" t="s">
        <v>837</v>
      </c>
      <c r="B322" t="s">
        <v>478</v>
      </c>
      <c r="C322" s="1">
        <v>45742.025000000001</v>
      </c>
      <c r="D322" t="s">
        <v>26</v>
      </c>
      <c r="E322" t="s">
        <v>166</v>
      </c>
      <c r="F322">
        <v>318</v>
      </c>
      <c r="G322">
        <v>231.34</v>
      </c>
      <c r="H322">
        <v>36.78</v>
      </c>
      <c r="I322" t="s">
        <v>118</v>
      </c>
      <c r="J322" t="s">
        <v>76</v>
      </c>
      <c r="L322" s="1">
        <v>45782</v>
      </c>
      <c r="M322" t="s">
        <v>166</v>
      </c>
      <c r="N322">
        <f>IF(Table1[[#This Row],[side]]="BUY", Table1[[#This Row],[quantity]],-Table1[[#This Row],[quantity]])</f>
        <v>318</v>
      </c>
      <c r="P322" t="str">
        <f>IF(Table1[[#This Row],[side]]="Sell",Table1[[#This Row],[price]],"0")</f>
        <v>0</v>
      </c>
      <c r="Q322">
        <f>SUMIFS(Table1[quantity],Table1[company_id],Table8[[#This Row],[COMPANY_ID]],Table1[side],"BUY")-SUMIFS(Table1[quantity],Table1[company_id],Table8[[#This Row],[COMPANY_ID]],Table1[side],"SELL")</f>
        <v>0</v>
      </c>
      <c r="R322">
        <f>Table1[[#This Row],[Column2]]-Table1[[#This Row],[Buy-sell]]</f>
        <v>0</v>
      </c>
      <c r="S322" t="str">
        <f>IF(Table1[[#This Row],[Sell-Buy]]&gt;0,"Profit","Loss")</f>
        <v>Loss</v>
      </c>
      <c r="T322" s="5" t="s">
        <v>643</v>
      </c>
      <c r="U322" s="8">
        <f>SUMIFS(Table1[price],Table1[order_id],Table15[[#This Row],[order_id]],Table1[side],"BUY")*Table15[[#This Row],[Buy_Quantity]]</f>
        <v>1449382.98</v>
      </c>
      <c r="V322" s="8">
        <f>SUMIFS(Table1[price],Table1[order_id],Table15[[#This Row],[order_id]],Table1[side],"SELL")</f>
        <v>0</v>
      </c>
      <c r="W322" s="8">
        <f>Table15[[#This Row],[sell]]-Table15[[#This Row],[Buy]]</f>
        <v>-726140872.98000002</v>
      </c>
      <c r="X322" s="8">
        <f>IF(Table15[[#This Row],[Profit]]&gt;0,1,0)</f>
        <v>0</v>
      </c>
      <c r="Y322" s="5" t="str">
        <f>IF(Table15[[#This Row],[is Profit]]=1,"Profit","Loss")</f>
        <v>Loss</v>
      </c>
      <c r="Z322" s="5">
        <f>SUMIFS(Table1[quantity],Table1[order_id],Table15[[#This Row],[order_id]],Table1[side],"SELL")</f>
        <v>0</v>
      </c>
      <c r="AA322" s="5">
        <f>Table15[[#This Row],[Buy_value]]*Table15[[#This Row],[Buy_Quantity]]</f>
        <v>726140872.98000002</v>
      </c>
      <c r="AB322" s="5">
        <f>Table15[[#This Row],[Sell_Value]]*Table15[[#This Row],[Sell_Quantity]]</f>
        <v>0</v>
      </c>
      <c r="AC322" s="5">
        <f>SUMIFS(Table1[quantity],Table1[order_id],Table15[[#This Row],[order_id]],Table1[side],"BUY")</f>
        <v>501</v>
      </c>
      <c r="AE322" s="9" t="s">
        <v>862</v>
      </c>
      <c r="AF322" s="10" t="str">
        <f>IF(Table1[[#This Row],[Sell-Buy]]&gt;0,"Profit","Loss")</f>
        <v>Loss</v>
      </c>
      <c r="AG322">
        <f>Table1[[#This Row],[Column2]]-Table1[[#This Row],[Buy-sell]]</f>
        <v>0</v>
      </c>
    </row>
    <row r="323" spans="1:33" x14ac:dyDescent="0.3">
      <c r="A323" t="s">
        <v>844</v>
      </c>
      <c r="B323" t="s">
        <v>606</v>
      </c>
      <c r="C323" s="1">
        <v>45735.017361111109</v>
      </c>
      <c r="D323" t="s">
        <v>26</v>
      </c>
      <c r="E323" t="s">
        <v>166</v>
      </c>
      <c r="F323">
        <v>717</v>
      </c>
      <c r="G323">
        <v>237.15</v>
      </c>
      <c r="H323">
        <v>85.02</v>
      </c>
      <c r="I323" t="s">
        <v>104</v>
      </c>
      <c r="J323" t="s">
        <v>64</v>
      </c>
      <c r="L323" s="1">
        <v>45818</v>
      </c>
      <c r="M323" t="s">
        <v>166</v>
      </c>
      <c r="N323">
        <f>IF(Table1[[#This Row],[side]]="BUY", Table1[[#This Row],[quantity]],-Table1[[#This Row],[quantity]])</f>
        <v>717</v>
      </c>
      <c r="P323" t="str">
        <f>IF(Table1[[#This Row],[side]]="Sell",Table1[[#This Row],[price]],"0")</f>
        <v>0</v>
      </c>
      <c r="Q323">
        <f>SUMIFS(Table1[quantity],Table1[company_id],Table8[[#This Row],[COMPANY_ID]],Table1[side],"BUY")-SUMIFS(Table1[quantity],Table1[company_id],Table8[[#This Row],[COMPANY_ID]],Table1[side],"SELL")</f>
        <v>0</v>
      </c>
      <c r="R323">
        <f>Table1[[#This Row],[Column2]]-Table1[[#This Row],[Buy-sell]]</f>
        <v>0</v>
      </c>
      <c r="S323" t="str">
        <f>IF(Table1[[#This Row],[Sell-Buy]]&gt;0,"Profit","Loss")</f>
        <v>Loss</v>
      </c>
      <c r="T323" s="5" t="s">
        <v>644</v>
      </c>
      <c r="U323" s="8">
        <f>SUMIFS(Table1[price],Table1[order_id],Table15[[#This Row],[order_id]],Table1[side],"BUY")*Table15[[#This Row],[Buy_Quantity]]</f>
        <v>1611738.6</v>
      </c>
      <c r="V323" s="8">
        <f>SUMIFS(Table1[price],Table1[order_id],Table15[[#This Row],[order_id]],Table1[side],"SELL")</f>
        <v>0</v>
      </c>
      <c r="W323" s="8">
        <f>Table15[[#This Row],[sell]]-Table15[[#This Row],[Buy]]</f>
        <v>-1295837834.4000001</v>
      </c>
      <c r="X323" s="8">
        <f>IF(Table15[[#This Row],[Profit]]&gt;0,1,0)</f>
        <v>0</v>
      </c>
      <c r="Y323" s="5" t="str">
        <f>IF(Table15[[#This Row],[is Profit]]=1,"Profit","Loss")</f>
        <v>Loss</v>
      </c>
      <c r="Z323" s="5">
        <f>SUMIFS(Table1[quantity],Table1[order_id],Table15[[#This Row],[order_id]],Table1[side],"SELL")</f>
        <v>0</v>
      </c>
      <c r="AA323" s="5">
        <f>Table15[[#This Row],[Buy_value]]*Table15[[#This Row],[Buy_Quantity]]</f>
        <v>1295837834.4000001</v>
      </c>
      <c r="AB323" s="5">
        <f>Table15[[#This Row],[Sell_Value]]*Table15[[#This Row],[Sell_Quantity]]</f>
        <v>0</v>
      </c>
      <c r="AC323" s="5">
        <f>SUMIFS(Table1[quantity],Table1[order_id],Table15[[#This Row],[order_id]],Table1[side],"BUY")</f>
        <v>804</v>
      </c>
      <c r="AE323" s="10" t="s">
        <v>759</v>
      </c>
      <c r="AF323" s="10" t="str">
        <f>IF(Table1[[#This Row],[Sell-Buy]]&gt;0,"Profit","Loss")</f>
        <v>Loss</v>
      </c>
      <c r="AG323">
        <f>Table1[[#This Row],[Column2]]-Table1[[#This Row],[Buy-sell]]</f>
        <v>0</v>
      </c>
    </row>
    <row r="324" spans="1:33" x14ac:dyDescent="0.3">
      <c r="A324" t="s">
        <v>887</v>
      </c>
      <c r="B324" t="s">
        <v>553</v>
      </c>
      <c r="C324" s="1">
        <v>45835.036111111112</v>
      </c>
      <c r="D324" t="s">
        <v>26</v>
      </c>
      <c r="E324" t="s">
        <v>166</v>
      </c>
      <c r="F324">
        <v>528</v>
      </c>
      <c r="G324">
        <v>224.41</v>
      </c>
      <c r="H324">
        <v>59.24</v>
      </c>
      <c r="I324" t="s">
        <v>126</v>
      </c>
      <c r="J324" t="s">
        <v>64</v>
      </c>
      <c r="L324" s="1">
        <v>45666</v>
      </c>
      <c r="M324" t="s">
        <v>166</v>
      </c>
      <c r="N324">
        <f>IF(Table1[[#This Row],[side]]="BUY", Table1[[#This Row],[quantity]],-Table1[[#This Row],[quantity]])</f>
        <v>528</v>
      </c>
      <c r="P324" t="str">
        <f>IF(Table1[[#This Row],[side]]="Sell",Table1[[#This Row],[price]],"0")</f>
        <v>0</v>
      </c>
      <c r="Q324">
        <f>SUMIFS(Table1[quantity],Table1[company_id],Table8[[#This Row],[COMPANY_ID]],Table1[side],"BUY")-SUMIFS(Table1[quantity],Table1[company_id],Table8[[#This Row],[COMPANY_ID]],Table1[side],"SELL")</f>
        <v>0</v>
      </c>
      <c r="R324">
        <f>Table1[[#This Row],[Column2]]-Table1[[#This Row],[Buy-sell]]</f>
        <v>0</v>
      </c>
      <c r="S324" t="str">
        <f>IF(Table1[[#This Row],[Sell-Buy]]&gt;0,"Profit","Loss")</f>
        <v>Loss</v>
      </c>
      <c r="T324" s="5" t="s">
        <v>645</v>
      </c>
      <c r="U324" s="8">
        <f>SUMIFS(Table1[price],Table1[order_id],Table15[[#This Row],[order_id]],Table1[side],"BUY")*Table15[[#This Row],[Buy_Quantity]]</f>
        <v>454593.42000000004</v>
      </c>
      <c r="V324" s="8">
        <f>SUMIFS(Table1[price],Table1[order_id],Table15[[#This Row],[order_id]],Table1[side],"SELL")</f>
        <v>0</v>
      </c>
      <c r="W324" s="8">
        <f>Table15[[#This Row],[sell]]-Table15[[#This Row],[Buy]]</f>
        <v>-351855307.08000004</v>
      </c>
      <c r="X324" s="8">
        <f>IF(Table15[[#This Row],[Profit]]&gt;0,1,0)</f>
        <v>0</v>
      </c>
      <c r="Y324" s="5" t="str">
        <f>IF(Table15[[#This Row],[is Profit]]=1,"Profit","Loss")</f>
        <v>Loss</v>
      </c>
      <c r="Z324" s="5">
        <f>SUMIFS(Table1[quantity],Table1[order_id],Table15[[#This Row],[order_id]],Table1[side],"SELL")</f>
        <v>0</v>
      </c>
      <c r="AA324" s="5">
        <f>Table15[[#This Row],[Buy_value]]*Table15[[#This Row],[Buy_Quantity]]</f>
        <v>351855307.08000004</v>
      </c>
      <c r="AB324" s="5">
        <f>Table15[[#This Row],[Sell_Value]]*Table15[[#This Row],[Sell_Quantity]]</f>
        <v>0</v>
      </c>
      <c r="AC324" s="5">
        <f>SUMIFS(Table1[quantity],Table1[order_id],Table15[[#This Row],[order_id]],Table1[side],"BUY")</f>
        <v>774</v>
      </c>
      <c r="AE324" s="9" t="s">
        <v>962</v>
      </c>
      <c r="AF324" s="10" t="str">
        <f>IF(Table1[[#This Row],[Sell-Buy]]&gt;0,"Profit","Loss")</f>
        <v>Loss</v>
      </c>
      <c r="AG324">
        <f>Table1[[#This Row],[Column2]]-Table1[[#This Row],[Buy-sell]]</f>
        <v>0</v>
      </c>
    </row>
    <row r="325" spans="1:33" x14ac:dyDescent="0.3">
      <c r="A325" t="s">
        <v>901</v>
      </c>
      <c r="B325" t="s">
        <v>626</v>
      </c>
      <c r="C325" s="1">
        <v>45757.001388888886</v>
      </c>
      <c r="D325" t="s">
        <v>26</v>
      </c>
      <c r="E325" t="s">
        <v>166</v>
      </c>
      <c r="F325">
        <v>736</v>
      </c>
      <c r="G325">
        <v>249.32</v>
      </c>
      <c r="H325">
        <v>91.75</v>
      </c>
      <c r="I325" t="s">
        <v>118</v>
      </c>
      <c r="J325" t="s">
        <v>67</v>
      </c>
      <c r="L325" s="1">
        <v>45714</v>
      </c>
      <c r="M325" t="s">
        <v>166</v>
      </c>
      <c r="N325">
        <f>IF(Table1[[#This Row],[side]]="BUY", Table1[[#This Row],[quantity]],-Table1[[#This Row],[quantity]])</f>
        <v>736</v>
      </c>
      <c r="P325" t="str">
        <f>IF(Table1[[#This Row],[side]]="Sell",Table1[[#This Row],[price]],"0")</f>
        <v>0</v>
      </c>
      <c r="Q325">
        <f>SUMIFS(Table1[quantity],Table1[company_id],Table8[[#This Row],[COMPANY_ID]],Table1[side],"BUY")-SUMIFS(Table1[quantity],Table1[company_id],Table8[[#This Row],[COMPANY_ID]],Table1[side],"SELL")</f>
        <v>0</v>
      </c>
      <c r="R325">
        <f>Table1[[#This Row],[Column2]]-Table1[[#This Row],[Buy-sell]]</f>
        <v>0</v>
      </c>
      <c r="S325" t="str">
        <f>IF(Table1[[#This Row],[Sell-Buy]]&gt;0,"Profit","Loss")</f>
        <v>Loss</v>
      </c>
      <c r="T325" s="4" t="s">
        <v>649</v>
      </c>
      <c r="U325" s="8">
        <f>SUMIFS(Table1[price],Table1[order_id],Table15[[#This Row],[order_id]],Table1[side],"BUY")*Table15[[#This Row],[Buy_Quantity]]</f>
        <v>0</v>
      </c>
      <c r="V325" s="8">
        <f>SUMIFS(Table1[price],Table1[order_id],Table15[[#This Row],[order_id]],Table1[side],"SELL")</f>
        <v>2218.42</v>
      </c>
      <c r="W325" s="8">
        <f>Table15[[#This Row],[sell]]-Table15[[#This Row],[Buy]]</f>
        <v>572352.36</v>
      </c>
      <c r="X325" s="8">
        <f>IF(Table15[[#This Row],[Profit]]&gt;0,1,0)</f>
        <v>1</v>
      </c>
      <c r="Y325" s="5" t="str">
        <f>IF(Table15[[#This Row],[is Profit]]=1,"Profit","Loss")</f>
        <v>Profit</v>
      </c>
      <c r="Z325" s="5">
        <f>SUMIFS(Table1[quantity],Table1[order_id],Table15[[#This Row],[order_id]],Table1[side],"SELL")</f>
        <v>258</v>
      </c>
      <c r="AA325" s="5">
        <f>Table15[[#This Row],[Buy_value]]*Table15[[#This Row],[Buy_Quantity]]</f>
        <v>0</v>
      </c>
      <c r="AB325" s="5">
        <f>Table15[[#This Row],[Sell_Value]]*Table15[[#This Row],[Sell_Quantity]]</f>
        <v>572352.36</v>
      </c>
      <c r="AC325" s="5">
        <f>SUMIFS(Table1[quantity],Table1[order_id],Table15[[#This Row],[order_id]],Table1[side],"BUY")</f>
        <v>0</v>
      </c>
      <c r="AE325" s="10" t="s">
        <v>1164</v>
      </c>
      <c r="AF325" s="10" t="str">
        <f>IF(Table1[[#This Row],[Sell-Buy]]&gt;0,"Profit","Loss")</f>
        <v>Loss</v>
      </c>
      <c r="AG325">
        <f>Table1[[#This Row],[Column2]]-Table1[[#This Row],[Buy-sell]]</f>
        <v>0</v>
      </c>
    </row>
    <row r="326" spans="1:33" x14ac:dyDescent="0.3">
      <c r="A326" t="s">
        <v>907</v>
      </c>
      <c r="B326" t="s">
        <v>325</v>
      </c>
      <c r="C326" s="1">
        <v>45706.040972222225</v>
      </c>
      <c r="D326" t="s">
        <v>26</v>
      </c>
      <c r="E326" t="s">
        <v>166</v>
      </c>
      <c r="F326">
        <v>545</v>
      </c>
      <c r="G326">
        <v>235.22</v>
      </c>
      <c r="H326">
        <v>64.099999999999994</v>
      </c>
      <c r="I326" t="s">
        <v>132</v>
      </c>
      <c r="J326" t="s">
        <v>49</v>
      </c>
      <c r="L326" s="1">
        <v>45700</v>
      </c>
      <c r="M326" t="s">
        <v>166</v>
      </c>
      <c r="N326">
        <f>IF(Table1[[#This Row],[side]]="BUY", Table1[[#This Row],[quantity]],-Table1[[#This Row],[quantity]])</f>
        <v>545</v>
      </c>
      <c r="P326" t="str">
        <f>IF(Table1[[#This Row],[side]]="Sell",Table1[[#This Row],[price]],"0")</f>
        <v>0</v>
      </c>
      <c r="Q326">
        <f>SUMIFS(Table1[quantity],Table1[company_id],Table8[[#This Row],[COMPANY_ID]],Table1[side],"BUY")-SUMIFS(Table1[quantity],Table1[company_id],Table8[[#This Row],[COMPANY_ID]],Table1[side],"SELL")</f>
        <v>0</v>
      </c>
      <c r="R326">
        <f>Table1[[#This Row],[Column2]]-Table1[[#This Row],[Buy-sell]]</f>
        <v>0</v>
      </c>
      <c r="S326" t="str">
        <f>IF(Table1[[#This Row],[Sell-Buy]]&gt;0,"Profit","Loss")</f>
        <v>Loss</v>
      </c>
      <c r="T326" s="5" t="s">
        <v>650</v>
      </c>
      <c r="U326" s="8">
        <f>SUMIFS(Table1[price],Table1[order_id],Table15[[#This Row],[order_id]],Table1[side],"BUY")*Table15[[#This Row],[Buy_Quantity]]</f>
        <v>9619.52</v>
      </c>
      <c r="V326" s="8">
        <f>SUMIFS(Table1[price],Table1[order_id],Table15[[#This Row],[order_id]],Table1[side],"SELL")</f>
        <v>0</v>
      </c>
      <c r="W326" s="8">
        <f>Table15[[#This Row],[sell]]-Table15[[#This Row],[Buy]]</f>
        <v>-153912.32000000001</v>
      </c>
      <c r="X326" s="8">
        <f>IF(Table15[[#This Row],[Profit]]&gt;0,1,0)</f>
        <v>0</v>
      </c>
      <c r="Y326" s="5" t="str">
        <f>IF(Table15[[#This Row],[is Profit]]=1,"Profit","Loss")</f>
        <v>Loss</v>
      </c>
      <c r="Z326" s="5">
        <f>SUMIFS(Table1[quantity],Table1[order_id],Table15[[#This Row],[order_id]],Table1[side],"SELL")</f>
        <v>0</v>
      </c>
      <c r="AA326" s="5">
        <f>Table15[[#This Row],[Buy_value]]*Table15[[#This Row],[Buy_Quantity]]</f>
        <v>153912.32000000001</v>
      </c>
      <c r="AB326" s="5">
        <f>Table15[[#This Row],[Sell_Value]]*Table15[[#This Row],[Sell_Quantity]]</f>
        <v>0</v>
      </c>
      <c r="AC326" s="5">
        <f>SUMIFS(Table1[quantity],Table1[order_id],Table15[[#This Row],[order_id]],Table1[side],"BUY")</f>
        <v>16</v>
      </c>
      <c r="AE326" s="9" t="s">
        <v>812</v>
      </c>
      <c r="AF326" s="10" t="str">
        <f>IF(Table1[[#This Row],[Sell-Buy]]&gt;0,"Profit","Loss")</f>
        <v>Loss</v>
      </c>
      <c r="AG326">
        <f>Table1[[#This Row],[Column2]]-Table1[[#This Row],[Buy-sell]]</f>
        <v>0</v>
      </c>
    </row>
    <row r="327" spans="1:33" x14ac:dyDescent="0.3">
      <c r="A327" t="s">
        <v>912</v>
      </c>
      <c r="B327" t="s">
        <v>593</v>
      </c>
      <c r="C327" s="1">
        <v>45699.031944444447</v>
      </c>
      <c r="D327" t="s">
        <v>26</v>
      </c>
      <c r="E327" t="s">
        <v>166</v>
      </c>
      <c r="F327">
        <v>319</v>
      </c>
      <c r="G327">
        <v>230.38</v>
      </c>
      <c r="H327">
        <v>36.75</v>
      </c>
      <c r="I327" t="s">
        <v>116</v>
      </c>
      <c r="J327" t="s">
        <v>52</v>
      </c>
      <c r="L327" s="1">
        <v>45835</v>
      </c>
      <c r="M327" t="s">
        <v>166</v>
      </c>
      <c r="N327">
        <f>IF(Table1[[#This Row],[side]]="BUY", Table1[[#This Row],[quantity]],-Table1[[#This Row],[quantity]])</f>
        <v>319</v>
      </c>
      <c r="P327" t="str">
        <f>IF(Table1[[#This Row],[side]]="Sell",Table1[[#This Row],[price]],"0")</f>
        <v>0</v>
      </c>
      <c r="Q327">
        <f>SUMIFS(Table1[quantity],Table1[company_id],Table8[[#This Row],[COMPANY_ID]],Table1[side],"BUY")-SUMIFS(Table1[quantity],Table1[company_id],Table8[[#This Row],[COMPANY_ID]],Table1[side],"SELL")</f>
        <v>0</v>
      </c>
      <c r="R327">
        <f>Table1[[#This Row],[Column2]]-Table1[[#This Row],[Buy-sell]]</f>
        <v>0</v>
      </c>
      <c r="S327" t="str">
        <f>IF(Table1[[#This Row],[Sell-Buy]]&gt;0,"Profit","Loss")</f>
        <v>Loss</v>
      </c>
      <c r="T327" s="5" t="s">
        <v>652</v>
      </c>
      <c r="U327" s="8">
        <f>SUMIFS(Table1[price],Table1[order_id],Table15[[#This Row],[order_id]],Table1[side],"BUY")*Table15[[#This Row],[Buy_Quantity]]</f>
        <v>862114.12</v>
      </c>
      <c r="V327" s="8">
        <f>SUMIFS(Table1[price],Table1[order_id],Table15[[#This Row],[order_id]],Table1[side],"SELL")</f>
        <v>0</v>
      </c>
      <c r="W327" s="8">
        <f>Table15[[#This Row],[sell]]-Table15[[#This Row],[Buy]]</f>
        <v>-575892232.15999997</v>
      </c>
      <c r="X327" s="8">
        <f>IF(Table15[[#This Row],[Profit]]&gt;0,1,0)</f>
        <v>0</v>
      </c>
      <c r="Y327" s="5" t="str">
        <f>IF(Table15[[#This Row],[is Profit]]=1,"Profit","Loss")</f>
        <v>Loss</v>
      </c>
      <c r="Z327" s="5">
        <f>SUMIFS(Table1[quantity],Table1[order_id],Table15[[#This Row],[order_id]],Table1[side],"SELL")</f>
        <v>0</v>
      </c>
      <c r="AA327" s="5">
        <f>Table15[[#This Row],[Buy_value]]*Table15[[#This Row],[Buy_Quantity]]</f>
        <v>575892232.15999997</v>
      </c>
      <c r="AB327" s="5">
        <f>Table15[[#This Row],[Sell_Value]]*Table15[[#This Row],[Sell_Quantity]]</f>
        <v>0</v>
      </c>
      <c r="AC327" s="5">
        <f>SUMIFS(Table1[quantity],Table1[order_id],Table15[[#This Row],[order_id]],Table1[side],"BUY")</f>
        <v>668</v>
      </c>
      <c r="AE327" s="10" t="s">
        <v>1114</v>
      </c>
      <c r="AF327" s="10" t="str">
        <f>IF(Table1[[#This Row],[Sell-Buy]]&gt;0,"Profit","Loss")</f>
        <v>Loss</v>
      </c>
      <c r="AG327">
        <f>Table1[[#This Row],[Column2]]-Table1[[#This Row],[Buy-sell]]</f>
        <v>0</v>
      </c>
    </row>
    <row r="328" spans="1:33" x14ac:dyDescent="0.3">
      <c r="A328" t="s">
        <v>933</v>
      </c>
      <c r="B328" t="s">
        <v>577</v>
      </c>
      <c r="C328" s="1">
        <v>45792.013194444444</v>
      </c>
      <c r="D328" t="s">
        <v>26</v>
      </c>
      <c r="E328" t="s">
        <v>166</v>
      </c>
      <c r="F328">
        <v>376</v>
      </c>
      <c r="G328">
        <v>231.88</v>
      </c>
      <c r="H328">
        <v>43.59</v>
      </c>
      <c r="I328" t="s">
        <v>106</v>
      </c>
      <c r="J328" t="s">
        <v>61</v>
      </c>
      <c r="L328" s="1">
        <v>45728</v>
      </c>
      <c r="M328" t="s">
        <v>166</v>
      </c>
      <c r="N328">
        <f>IF(Table1[[#This Row],[side]]="BUY", Table1[[#This Row],[quantity]],-Table1[[#This Row],[quantity]])</f>
        <v>376</v>
      </c>
      <c r="P328" t="str">
        <f>IF(Table1[[#This Row],[side]]="Sell",Table1[[#This Row],[price]],"0")</f>
        <v>0</v>
      </c>
      <c r="Q328">
        <f>SUMIFS(Table1[quantity],Table1[company_id],Table8[[#This Row],[COMPANY_ID]],Table1[side],"BUY")-SUMIFS(Table1[quantity],Table1[company_id],Table8[[#This Row],[COMPANY_ID]],Table1[side],"SELL")</f>
        <v>0</v>
      </c>
      <c r="R328">
        <f>Table1[[#This Row],[Column2]]-Table1[[#This Row],[Buy-sell]]</f>
        <v>0</v>
      </c>
      <c r="S328" t="str">
        <f>IF(Table1[[#This Row],[Sell-Buy]]&gt;0,"Profit","Loss")</f>
        <v>Loss</v>
      </c>
      <c r="T328" s="4" t="s">
        <v>657</v>
      </c>
      <c r="U328" s="8">
        <f>SUMIFS(Table1[price],Table1[order_id],Table15[[#This Row],[order_id]],Table1[side],"BUY")*Table15[[#This Row],[Buy_Quantity]]</f>
        <v>159815.17000000001</v>
      </c>
      <c r="V328" s="8">
        <f>SUMIFS(Table1[price],Table1[order_id],Table15[[#This Row],[order_id]],Table1[side],"SELL")</f>
        <v>0</v>
      </c>
      <c r="W328" s="8">
        <f>Table15[[#This Row],[sell]]-Table15[[#This Row],[Buy]]</f>
        <v>-109153761.11000001</v>
      </c>
      <c r="X328" s="8">
        <f>IF(Table15[[#This Row],[Profit]]&gt;0,1,0)</f>
        <v>0</v>
      </c>
      <c r="Y328" s="5" t="str">
        <f>IF(Table15[[#This Row],[is Profit]]=1,"Profit","Loss")</f>
        <v>Loss</v>
      </c>
      <c r="Z328" s="5">
        <f>SUMIFS(Table1[quantity],Table1[order_id],Table15[[#This Row],[order_id]],Table1[side],"SELL")</f>
        <v>0</v>
      </c>
      <c r="AA328" s="5">
        <f>Table15[[#This Row],[Buy_value]]*Table15[[#This Row],[Buy_Quantity]]</f>
        <v>109153761.11000001</v>
      </c>
      <c r="AB328" s="5">
        <f>Table15[[#This Row],[Sell_Value]]*Table15[[#This Row],[Sell_Quantity]]</f>
        <v>0</v>
      </c>
      <c r="AC328" s="5">
        <f>SUMIFS(Table1[quantity],Table1[order_id],Table15[[#This Row],[order_id]],Table1[side],"BUY")</f>
        <v>683</v>
      </c>
      <c r="AE328" s="9" t="s">
        <v>735</v>
      </c>
      <c r="AF328" s="10" t="str">
        <f>IF(Table1[[#This Row],[Sell-Buy]]&gt;0,"Profit","Loss")</f>
        <v>Loss</v>
      </c>
      <c r="AG328">
        <f>Table1[[#This Row],[Column2]]-Table1[[#This Row],[Buy-sell]]</f>
        <v>0</v>
      </c>
    </row>
    <row r="329" spans="1:33" x14ac:dyDescent="0.3">
      <c r="A329" t="s">
        <v>890</v>
      </c>
      <c r="B329" t="s">
        <v>238</v>
      </c>
      <c r="C329" s="1">
        <v>45686.022916666669</v>
      </c>
      <c r="D329" t="s">
        <v>26</v>
      </c>
      <c r="E329" t="s">
        <v>171</v>
      </c>
      <c r="F329">
        <v>560</v>
      </c>
      <c r="G329">
        <v>236.56</v>
      </c>
      <c r="H329">
        <v>66.239999999999995</v>
      </c>
      <c r="I329" t="s">
        <v>126</v>
      </c>
      <c r="J329" t="s">
        <v>55</v>
      </c>
      <c r="L329" s="1">
        <v>45692</v>
      </c>
      <c r="N329">
        <f>IF(Table1[[#This Row],[side]]="BUY", Table1[[#This Row],[quantity]],-Table1[[#This Row],[quantity]])</f>
        <v>-560</v>
      </c>
      <c r="O329" t="s">
        <v>171</v>
      </c>
      <c r="P329">
        <f>IF(Table1[[#This Row],[side]]="Sell",Table1[[#This Row],[price]],"0")</f>
        <v>236.56</v>
      </c>
      <c r="Q329">
        <f>SUMIFS(Table1[quantity],Table1[company_id],Table8[[#This Row],[COMPANY_ID]],Table1[side],"BUY")-SUMIFS(Table1[quantity],Table1[company_id],Table8[[#This Row],[COMPANY_ID]],Table1[side],"SELL")</f>
        <v>0</v>
      </c>
      <c r="R329">
        <f>Table1[[#This Row],[Column2]]-Table1[[#This Row],[Buy-sell]]</f>
        <v>236.56</v>
      </c>
      <c r="S329" t="str">
        <f>IF(Table1[[#This Row],[Sell-Buy]]&gt;0,"Profit","Loss")</f>
        <v>Profit</v>
      </c>
      <c r="T329" s="4" t="s">
        <v>658</v>
      </c>
      <c r="U329" s="8">
        <f>SUMIFS(Table1[price],Table1[order_id],Table15[[#This Row],[order_id]],Table1[side],"BUY")*Table15[[#This Row],[Buy_Quantity]]</f>
        <v>174919.5</v>
      </c>
      <c r="V329" s="8">
        <f>SUMIFS(Table1[price],Table1[order_id],Table15[[#This Row],[order_id]],Table1[side],"SELL")</f>
        <v>0</v>
      </c>
      <c r="W329" s="8">
        <f>Table15[[#This Row],[sell]]-Table15[[#This Row],[Buy]]</f>
        <v>-14168479.5</v>
      </c>
      <c r="X329" s="8">
        <f>IF(Table15[[#This Row],[Profit]]&gt;0,1,0)</f>
        <v>0</v>
      </c>
      <c r="Y329" s="5" t="str">
        <f>IF(Table15[[#This Row],[is Profit]]=1,"Profit","Loss")</f>
        <v>Loss</v>
      </c>
      <c r="Z329" s="5">
        <f>SUMIFS(Table1[quantity],Table1[order_id],Table15[[#This Row],[order_id]],Table1[side],"SELL")</f>
        <v>0</v>
      </c>
      <c r="AA329" s="5">
        <f>Table15[[#This Row],[Buy_value]]*Table15[[#This Row],[Buy_Quantity]]</f>
        <v>14168479.5</v>
      </c>
      <c r="AB329" s="5">
        <f>Table15[[#This Row],[Sell_Value]]*Table15[[#This Row],[Sell_Quantity]]</f>
        <v>0</v>
      </c>
      <c r="AC329" s="5">
        <f>SUMIFS(Table1[quantity],Table1[order_id],Table15[[#This Row],[order_id]],Table1[side],"BUY")</f>
        <v>81</v>
      </c>
      <c r="AE329" s="10" t="s">
        <v>813</v>
      </c>
      <c r="AF329" s="10" t="str">
        <f>IF(Table1[[#This Row],[Sell-Buy]]&gt;0,"Profit","Loss")</f>
        <v>Profit</v>
      </c>
      <c r="AG329">
        <f>Table1[[#This Row],[Column2]]-Table1[[#This Row],[Buy-sell]]</f>
        <v>236.56</v>
      </c>
    </row>
    <row r="330" spans="1:33" x14ac:dyDescent="0.3">
      <c r="A330" t="s">
        <v>891</v>
      </c>
      <c r="B330" t="s">
        <v>435</v>
      </c>
      <c r="C330" s="1">
        <v>45775.01458333333</v>
      </c>
      <c r="D330" t="s">
        <v>26</v>
      </c>
      <c r="E330" t="s">
        <v>171</v>
      </c>
      <c r="F330">
        <v>972</v>
      </c>
      <c r="G330">
        <v>244.94</v>
      </c>
      <c r="H330">
        <v>119.04</v>
      </c>
      <c r="I330" t="s">
        <v>106</v>
      </c>
      <c r="J330" t="s">
        <v>73</v>
      </c>
      <c r="L330" s="1">
        <v>45770</v>
      </c>
      <c r="N330">
        <f>IF(Table1[[#This Row],[side]]="BUY", Table1[[#This Row],[quantity]],-Table1[[#This Row],[quantity]])</f>
        <v>-972</v>
      </c>
      <c r="O330" t="s">
        <v>171</v>
      </c>
      <c r="P330">
        <f>IF(Table1[[#This Row],[side]]="Sell",Table1[[#This Row],[price]],"0")</f>
        <v>244.94</v>
      </c>
      <c r="Q330">
        <f>SUMIFS(Table1[quantity],Table1[company_id],Table8[[#This Row],[COMPANY_ID]],Table1[side],"BUY")-SUMIFS(Table1[quantity],Table1[company_id],Table8[[#This Row],[COMPANY_ID]],Table1[side],"SELL")</f>
        <v>0</v>
      </c>
      <c r="R330">
        <f>Table1[[#This Row],[Column2]]-Table1[[#This Row],[Buy-sell]]</f>
        <v>244.94</v>
      </c>
      <c r="S330" t="str">
        <f>IF(Table1[[#This Row],[Sell-Buy]]&gt;0,"Profit","Loss")</f>
        <v>Profit</v>
      </c>
      <c r="T330" s="4" t="s">
        <v>660</v>
      </c>
      <c r="U330" s="8">
        <f>SUMIFS(Table1[price],Table1[order_id],Table15[[#This Row],[order_id]],Table1[side],"BUY")*Table15[[#This Row],[Buy_Quantity]]</f>
        <v>3106565.4</v>
      </c>
      <c r="V330" s="8">
        <f>SUMIFS(Table1[price],Table1[order_id],Table15[[#This Row],[order_id]],Table1[side],"SELL")</f>
        <v>0</v>
      </c>
      <c r="W330" s="8">
        <f>Table15[[#This Row],[sell]]-Table15[[#This Row],[Buy]]</f>
        <v>-5079234429</v>
      </c>
      <c r="X330" s="8">
        <f>IF(Table15[[#This Row],[Profit]]&gt;0,1,0)</f>
        <v>0</v>
      </c>
      <c r="Y330" s="5" t="str">
        <f>IF(Table15[[#This Row],[is Profit]]=1,"Profit","Loss")</f>
        <v>Loss</v>
      </c>
      <c r="Z330" s="5">
        <f>SUMIFS(Table1[quantity],Table1[order_id],Table15[[#This Row],[order_id]],Table1[side],"SELL")</f>
        <v>0</v>
      </c>
      <c r="AA330" s="5">
        <f>Table15[[#This Row],[Buy_value]]*Table15[[#This Row],[Buy_Quantity]]</f>
        <v>5079234429</v>
      </c>
      <c r="AB330" s="5">
        <f>Table15[[#This Row],[Sell_Value]]*Table15[[#This Row],[Sell_Quantity]]</f>
        <v>0</v>
      </c>
      <c r="AC330" s="5">
        <f>SUMIFS(Table1[quantity],Table1[order_id],Table15[[#This Row],[order_id]],Table1[side],"BUY")</f>
        <v>1635</v>
      </c>
      <c r="AE330" s="9" t="s">
        <v>1159</v>
      </c>
      <c r="AF330" s="10" t="str">
        <f>IF(Table1[[#This Row],[Sell-Buy]]&gt;0,"Profit","Loss")</f>
        <v>Profit</v>
      </c>
      <c r="AG330">
        <f>Table1[[#This Row],[Column2]]-Table1[[#This Row],[Buy-sell]]</f>
        <v>244.94</v>
      </c>
    </row>
    <row r="331" spans="1:33" x14ac:dyDescent="0.3">
      <c r="A331" t="s">
        <v>896</v>
      </c>
      <c r="B331" t="s">
        <v>251</v>
      </c>
      <c r="C331" s="1">
        <v>45783.009027777778</v>
      </c>
      <c r="D331" t="s">
        <v>26</v>
      </c>
      <c r="E331" t="s">
        <v>171</v>
      </c>
      <c r="F331">
        <v>707</v>
      </c>
      <c r="G331">
        <v>227.67</v>
      </c>
      <c r="H331">
        <v>80.48</v>
      </c>
      <c r="I331" t="s">
        <v>108</v>
      </c>
      <c r="J331" t="s">
        <v>76</v>
      </c>
      <c r="L331" s="1">
        <v>45679</v>
      </c>
      <c r="N331">
        <f>IF(Table1[[#This Row],[side]]="BUY", Table1[[#This Row],[quantity]],-Table1[[#This Row],[quantity]])</f>
        <v>-707</v>
      </c>
      <c r="O331" t="s">
        <v>171</v>
      </c>
      <c r="P331">
        <f>IF(Table1[[#This Row],[side]]="Sell",Table1[[#This Row],[price]],"0")</f>
        <v>227.67</v>
      </c>
      <c r="Q331">
        <f>SUMIFS(Table1[quantity],Table1[company_id],Table8[[#This Row],[COMPANY_ID]],Table1[side],"BUY")-SUMIFS(Table1[quantity],Table1[company_id],Table8[[#This Row],[COMPANY_ID]],Table1[side],"SELL")</f>
        <v>0</v>
      </c>
      <c r="R331">
        <f>Table1[[#This Row],[Column2]]-Table1[[#This Row],[Buy-sell]]</f>
        <v>227.67</v>
      </c>
      <c r="S331" t="str">
        <f>IF(Table1[[#This Row],[Sell-Buy]]&gt;0,"Profit","Loss")</f>
        <v>Profit</v>
      </c>
      <c r="T331" s="5" t="s">
        <v>663</v>
      </c>
      <c r="U331" s="8">
        <f>SUMIFS(Table1[price],Table1[order_id],Table15[[#This Row],[order_id]],Table1[side],"BUY")*Table15[[#This Row],[Buy_Quantity]]</f>
        <v>0</v>
      </c>
      <c r="V331" s="8">
        <f>SUMIFS(Table1[price],Table1[order_id],Table15[[#This Row],[order_id]],Table1[side],"SELL")</f>
        <v>1382.74</v>
      </c>
      <c r="W331" s="8">
        <f>Table15[[#This Row],[sell]]-Table15[[#This Row],[Buy]]</f>
        <v>105088.24</v>
      </c>
      <c r="X331" s="8">
        <f>IF(Table15[[#This Row],[Profit]]&gt;0,1,0)</f>
        <v>1</v>
      </c>
      <c r="Y331" s="5" t="str">
        <f>IF(Table15[[#This Row],[is Profit]]=1,"Profit","Loss")</f>
        <v>Profit</v>
      </c>
      <c r="Z331" s="5">
        <f>SUMIFS(Table1[quantity],Table1[order_id],Table15[[#This Row],[order_id]],Table1[side],"SELL")</f>
        <v>76</v>
      </c>
      <c r="AA331" s="5">
        <f>Table15[[#This Row],[Buy_value]]*Table15[[#This Row],[Buy_Quantity]]</f>
        <v>0</v>
      </c>
      <c r="AB331" s="5">
        <f>Table15[[#This Row],[Sell_Value]]*Table15[[#This Row],[Sell_Quantity]]</f>
        <v>105088.24</v>
      </c>
      <c r="AC331" s="5">
        <f>SUMIFS(Table1[quantity],Table1[order_id],Table15[[#This Row],[order_id]],Table1[side],"BUY")</f>
        <v>0</v>
      </c>
      <c r="AE331" s="10" t="s">
        <v>793</v>
      </c>
      <c r="AF331" s="10" t="str">
        <f>IF(Table1[[#This Row],[Sell-Buy]]&gt;0,"Profit","Loss")</f>
        <v>Profit</v>
      </c>
      <c r="AG331">
        <f>Table1[[#This Row],[Column2]]-Table1[[#This Row],[Buy-sell]]</f>
        <v>227.67</v>
      </c>
    </row>
    <row r="332" spans="1:33" x14ac:dyDescent="0.3">
      <c r="A332" t="s">
        <v>911</v>
      </c>
      <c r="B332" t="s">
        <v>425</v>
      </c>
      <c r="C332" s="1">
        <v>45685.03402777778</v>
      </c>
      <c r="D332" t="s">
        <v>26</v>
      </c>
      <c r="E332" t="s">
        <v>171</v>
      </c>
      <c r="F332">
        <v>507</v>
      </c>
      <c r="G332">
        <v>238.22</v>
      </c>
      <c r="H332">
        <v>60.39</v>
      </c>
      <c r="I332" t="s">
        <v>112</v>
      </c>
      <c r="J332" t="s">
        <v>49</v>
      </c>
      <c r="L332" s="1">
        <v>45702</v>
      </c>
      <c r="N332">
        <f>IF(Table1[[#This Row],[side]]="BUY", Table1[[#This Row],[quantity]],-Table1[[#This Row],[quantity]])</f>
        <v>-507</v>
      </c>
      <c r="O332" t="s">
        <v>171</v>
      </c>
      <c r="P332">
        <f>IF(Table1[[#This Row],[side]]="Sell",Table1[[#This Row],[price]],"0")</f>
        <v>238.22</v>
      </c>
      <c r="Q332">
        <f>SUMIFS(Table1[quantity],Table1[company_id],Table8[[#This Row],[COMPANY_ID]],Table1[side],"BUY")-SUMIFS(Table1[quantity],Table1[company_id],Table8[[#This Row],[COMPANY_ID]],Table1[side],"SELL")</f>
        <v>0</v>
      </c>
      <c r="R332">
        <f>Table1[[#This Row],[Column2]]-Table1[[#This Row],[Buy-sell]]</f>
        <v>238.22</v>
      </c>
      <c r="S332" t="str">
        <f>IF(Table1[[#This Row],[Sell-Buy]]&gt;0,"Profit","Loss")</f>
        <v>Profit</v>
      </c>
      <c r="T332" s="5" t="s">
        <v>664</v>
      </c>
      <c r="U332" s="8">
        <f>SUMIFS(Table1[price],Table1[order_id],Table15[[#This Row],[order_id]],Table1[side],"BUY")*Table15[[#This Row],[Buy_Quantity]]</f>
        <v>965751.48</v>
      </c>
      <c r="V332" s="8">
        <f>SUMIFS(Table1[price],Table1[order_id],Table15[[#This Row],[order_id]],Table1[side],"SELL")</f>
        <v>0</v>
      </c>
      <c r="W332" s="8">
        <f>Table15[[#This Row],[sell]]-Table15[[#This Row],[Buy]]</f>
        <v>-721416355.55999994</v>
      </c>
      <c r="X332" s="8">
        <f>IF(Table15[[#This Row],[Profit]]&gt;0,1,0)</f>
        <v>0</v>
      </c>
      <c r="Y332" s="5" t="str">
        <f>IF(Table15[[#This Row],[is Profit]]=1,"Profit","Loss")</f>
        <v>Loss</v>
      </c>
      <c r="Z332" s="5">
        <f>SUMIFS(Table1[quantity],Table1[order_id],Table15[[#This Row],[order_id]],Table1[side],"SELL")</f>
        <v>0</v>
      </c>
      <c r="AA332" s="5">
        <f>Table15[[#This Row],[Buy_value]]*Table15[[#This Row],[Buy_Quantity]]</f>
        <v>721416355.55999994</v>
      </c>
      <c r="AB332" s="5">
        <f>Table15[[#This Row],[Sell_Value]]*Table15[[#This Row],[Sell_Quantity]]</f>
        <v>0</v>
      </c>
      <c r="AC332" s="5">
        <f>SUMIFS(Table1[quantity],Table1[order_id],Table15[[#This Row],[order_id]],Table1[side],"BUY")</f>
        <v>747</v>
      </c>
      <c r="AE332" s="9" t="s">
        <v>1149</v>
      </c>
      <c r="AF332" s="10" t="str">
        <f>IF(Table1[[#This Row],[Sell-Buy]]&gt;0,"Profit","Loss")</f>
        <v>Profit</v>
      </c>
      <c r="AG332">
        <f>Table1[[#This Row],[Column2]]-Table1[[#This Row],[Buy-sell]]</f>
        <v>238.22</v>
      </c>
    </row>
    <row r="333" spans="1:33" x14ac:dyDescent="0.3">
      <c r="A333" t="s">
        <v>937</v>
      </c>
      <c r="B333" t="s">
        <v>187</v>
      </c>
      <c r="C333" s="1">
        <v>45755.031944444447</v>
      </c>
      <c r="D333" t="s">
        <v>26</v>
      </c>
      <c r="E333" t="s">
        <v>166</v>
      </c>
      <c r="F333">
        <v>983</v>
      </c>
      <c r="G333">
        <v>237.82</v>
      </c>
      <c r="H333">
        <v>116.89</v>
      </c>
      <c r="I333" t="s">
        <v>142</v>
      </c>
      <c r="J333" t="s">
        <v>52</v>
      </c>
      <c r="L333" s="1">
        <v>45812</v>
      </c>
      <c r="M333" t="s">
        <v>166</v>
      </c>
      <c r="N333">
        <f>IF(Table1[[#This Row],[side]]="BUY", Table1[[#This Row],[quantity]],-Table1[[#This Row],[quantity]])</f>
        <v>983</v>
      </c>
      <c r="P333" t="str">
        <f>IF(Table1[[#This Row],[side]]="Sell",Table1[[#This Row],[price]],"0")</f>
        <v>0</v>
      </c>
      <c r="Q333">
        <f>SUMIFS(Table1[quantity],Table1[company_id],Table8[[#This Row],[COMPANY_ID]],Table1[side],"BUY")-SUMIFS(Table1[quantity],Table1[company_id],Table8[[#This Row],[COMPANY_ID]],Table1[side],"SELL")</f>
        <v>0</v>
      </c>
      <c r="R333">
        <f>Table1[[#This Row],[Column2]]-Table1[[#This Row],[Buy-sell]]</f>
        <v>0</v>
      </c>
      <c r="S333" t="str">
        <f>IF(Table1[[#This Row],[Sell-Buy]]&gt;0,"Profit","Loss")</f>
        <v>Loss</v>
      </c>
      <c r="T333" s="5" t="s">
        <v>665</v>
      </c>
      <c r="U333" s="8">
        <f>SUMIFS(Table1[price],Table1[order_id],Table15[[#This Row],[order_id]],Table1[side],"BUY")*Table15[[#This Row],[Buy_Quantity]]</f>
        <v>0</v>
      </c>
      <c r="V333" s="8">
        <f>SUMIFS(Table1[price],Table1[order_id],Table15[[#This Row],[order_id]],Table1[side],"SELL")</f>
        <v>567.98</v>
      </c>
      <c r="W333" s="8">
        <f>Table15[[#This Row],[sell]]-Table15[[#This Row],[Buy]]</f>
        <v>358395.38</v>
      </c>
      <c r="X333" s="8">
        <f>IF(Table15[[#This Row],[Profit]]&gt;0,1,0)</f>
        <v>1</v>
      </c>
      <c r="Y333" s="5" t="str">
        <f>IF(Table15[[#This Row],[is Profit]]=1,"Profit","Loss")</f>
        <v>Profit</v>
      </c>
      <c r="Z333" s="5">
        <f>SUMIFS(Table1[quantity],Table1[order_id],Table15[[#This Row],[order_id]],Table1[side],"SELL")</f>
        <v>631</v>
      </c>
      <c r="AA333" s="5">
        <f>Table15[[#This Row],[Buy_value]]*Table15[[#This Row],[Buy_Quantity]]</f>
        <v>0</v>
      </c>
      <c r="AB333" s="5">
        <f>Table15[[#This Row],[Sell_Value]]*Table15[[#This Row],[Sell_Quantity]]</f>
        <v>358395.38</v>
      </c>
      <c r="AC333" s="5">
        <f>SUMIFS(Table1[quantity],Table1[order_id],Table15[[#This Row],[order_id]],Table1[side],"BUY")</f>
        <v>0</v>
      </c>
      <c r="AE333" s="10" t="s">
        <v>1167</v>
      </c>
      <c r="AF333" s="10" t="str">
        <f>IF(Table1[[#This Row],[Sell-Buy]]&gt;0,"Profit","Loss")</f>
        <v>Loss</v>
      </c>
      <c r="AG333">
        <f>Table1[[#This Row],[Column2]]-Table1[[#This Row],[Buy-sell]]</f>
        <v>0</v>
      </c>
    </row>
    <row r="334" spans="1:33" x14ac:dyDescent="0.3">
      <c r="A334" t="s">
        <v>940</v>
      </c>
      <c r="B334" t="s">
        <v>319</v>
      </c>
      <c r="C334" s="1">
        <v>45705.03125</v>
      </c>
      <c r="D334" t="s">
        <v>26</v>
      </c>
      <c r="E334" t="s">
        <v>171</v>
      </c>
      <c r="F334">
        <v>812</v>
      </c>
      <c r="G334">
        <v>232.48</v>
      </c>
      <c r="H334">
        <v>94.39</v>
      </c>
      <c r="I334" t="s">
        <v>146</v>
      </c>
      <c r="J334" t="s">
        <v>76</v>
      </c>
      <c r="L334" s="1">
        <v>45723</v>
      </c>
      <c r="N334">
        <f>IF(Table1[[#This Row],[side]]="BUY", Table1[[#This Row],[quantity]],-Table1[[#This Row],[quantity]])</f>
        <v>-812</v>
      </c>
      <c r="O334" t="s">
        <v>171</v>
      </c>
      <c r="P334">
        <f>IF(Table1[[#This Row],[side]]="Sell",Table1[[#This Row],[price]],"0")</f>
        <v>232.48</v>
      </c>
      <c r="Q334">
        <f>SUMIFS(Table1[quantity],Table1[company_id],Table8[[#This Row],[COMPANY_ID]],Table1[side],"BUY")-SUMIFS(Table1[quantity],Table1[company_id],Table8[[#This Row],[COMPANY_ID]],Table1[side],"SELL")</f>
        <v>0</v>
      </c>
      <c r="R334">
        <f>Table1[[#This Row],[Column2]]-Table1[[#This Row],[Buy-sell]]</f>
        <v>232.48</v>
      </c>
      <c r="S334" t="str">
        <f>IF(Table1[[#This Row],[Sell-Buy]]&gt;0,"Profit","Loss")</f>
        <v>Profit</v>
      </c>
      <c r="T334" s="4" t="s">
        <v>667</v>
      </c>
      <c r="U334" s="8">
        <f>SUMIFS(Table1[price],Table1[order_id],Table15[[#This Row],[order_id]],Table1[side],"BUY")*Table15[[#This Row],[Buy_Quantity]]</f>
        <v>0</v>
      </c>
      <c r="V334" s="8">
        <f>SUMIFS(Table1[price],Table1[order_id],Table15[[#This Row],[order_id]],Table1[side],"SELL")</f>
        <v>1524.28</v>
      </c>
      <c r="W334" s="8">
        <f>Table15[[#This Row],[sell]]-Table15[[#This Row],[Buy]]</f>
        <v>472526.8</v>
      </c>
      <c r="X334" s="8">
        <f>IF(Table15[[#This Row],[Profit]]&gt;0,1,0)</f>
        <v>1</v>
      </c>
      <c r="Y334" s="7" t="str">
        <f>IF(Table15[[#This Row],[is Profit]]=1,"Profit","Loss")</f>
        <v>Profit</v>
      </c>
      <c r="Z334" s="7">
        <f>SUMIFS(Table1[quantity],Table1[order_id],Table15[[#This Row],[order_id]],Table1[side],"SELL")</f>
        <v>310</v>
      </c>
      <c r="AA334" s="7">
        <f>Table15[[#This Row],[Buy_value]]*Table15[[#This Row],[Buy_Quantity]]</f>
        <v>0</v>
      </c>
      <c r="AB334" s="7">
        <f>Table15[[#This Row],[Sell_Value]]*Table15[[#This Row],[Sell_Quantity]]</f>
        <v>472526.8</v>
      </c>
      <c r="AC334" s="7">
        <f>SUMIFS(Table1[quantity],Table1[order_id],Table15[[#This Row],[order_id]],Table1[side],"BUY")</f>
        <v>0</v>
      </c>
      <c r="AE334" s="9" t="s">
        <v>1072</v>
      </c>
      <c r="AF334" s="10" t="str">
        <f>IF(Table1[[#This Row],[Sell-Buy]]&gt;0,"Profit","Loss")</f>
        <v>Profit</v>
      </c>
      <c r="AG334">
        <f>Table1[[#This Row],[Column2]]-Table1[[#This Row],[Buy-sell]]</f>
        <v>232.48</v>
      </c>
    </row>
    <row r="335" spans="1:33" x14ac:dyDescent="0.3">
      <c r="A335" t="s">
        <v>957</v>
      </c>
      <c r="B335" t="s">
        <v>476</v>
      </c>
      <c r="C335" s="1">
        <v>45761.027777777781</v>
      </c>
      <c r="D335" t="s">
        <v>26</v>
      </c>
      <c r="E335" t="s">
        <v>171</v>
      </c>
      <c r="F335">
        <v>289</v>
      </c>
      <c r="G335">
        <v>246.71</v>
      </c>
      <c r="H335">
        <v>35.65</v>
      </c>
      <c r="I335" t="s">
        <v>124</v>
      </c>
      <c r="J335" t="s">
        <v>49</v>
      </c>
      <c r="L335" s="1">
        <v>45776</v>
      </c>
      <c r="N335">
        <f>IF(Table1[[#This Row],[side]]="BUY", Table1[[#This Row],[quantity]],-Table1[[#This Row],[quantity]])</f>
        <v>-289</v>
      </c>
      <c r="O335" t="s">
        <v>171</v>
      </c>
      <c r="P335">
        <f>IF(Table1[[#This Row],[side]]="Sell",Table1[[#This Row],[price]],"0")</f>
        <v>246.71</v>
      </c>
      <c r="Q335">
        <f>SUMIFS(Table1[quantity],Table1[company_id],Table8[[#This Row],[COMPANY_ID]],Table1[side],"BUY")-SUMIFS(Table1[quantity],Table1[company_id],Table8[[#This Row],[COMPANY_ID]],Table1[side],"SELL")</f>
        <v>0</v>
      </c>
      <c r="R335">
        <f>Table1[[#This Row],[Column2]]-Table1[[#This Row],[Buy-sell]]</f>
        <v>246.71</v>
      </c>
      <c r="S335" t="str">
        <f>IF(Table1[[#This Row],[Sell-Buy]]&gt;0,"Profit","Loss")</f>
        <v>Profit</v>
      </c>
      <c r="AE335" s="10" t="s">
        <v>993</v>
      </c>
      <c r="AF335" s="10" t="str">
        <f>IF(Table1[[#This Row],[Sell-Buy]]&gt;0,"Profit","Loss")</f>
        <v>Profit</v>
      </c>
      <c r="AG335">
        <f>Table1[[#This Row],[Column2]]-Table1[[#This Row],[Buy-sell]]</f>
        <v>246.71</v>
      </c>
    </row>
    <row r="336" spans="1:33" x14ac:dyDescent="0.3">
      <c r="A336" t="s">
        <v>964</v>
      </c>
      <c r="B336" t="s">
        <v>547</v>
      </c>
      <c r="C336" s="1">
        <v>45680.000694444447</v>
      </c>
      <c r="D336" t="s">
        <v>26</v>
      </c>
      <c r="E336" t="s">
        <v>166</v>
      </c>
      <c r="F336">
        <v>297</v>
      </c>
      <c r="G336">
        <v>241.14</v>
      </c>
      <c r="H336">
        <v>35.81</v>
      </c>
      <c r="I336" t="s">
        <v>118</v>
      </c>
      <c r="J336" t="s">
        <v>76</v>
      </c>
      <c r="L336" s="1">
        <v>45812</v>
      </c>
      <c r="M336" t="s">
        <v>166</v>
      </c>
      <c r="N336">
        <f>IF(Table1[[#This Row],[side]]="BUY", Table1[[#This Row],[quantity]],-Table1[[#This Row],[quantity]])</f>
        <v>297</v>
      </c>
      <c r="P336" t="str">
        <f>IF(Table1[[#This Row],[side]]="Sell",Table1[[#This Row],[price]],"0")</f>
        <v>0</v>
      </c>
      <c r="Q336">
        <f>SUMIFS(Table1[quantity],Table1[company_id],Table8[[#This Row],[COMPANY_ID]],Table1[side],"BUY")-SUMIFS(Table1[quantity],Table1[company_id],Table8[[#This Row],[COMPANY_ID]],Table1[side],"SELL")</f>
        <v>0</v>
      </c>
      <c r="R336">
        <f>Table1[[#This Row],[Column2]]-Table1[[#This Row],[Buy-sell]]</f>
        <v>0</v>
      </c>
      <c r="S336" t="str">
        <f>IF(Table1[[#This Row],[Sell-Buy]]&gt;0,"Profit","Loss")</f>
        <v>Loss</v>
      </c>
      <c r="AE336" s="9" t="s">
        <v>819</v>
      </c>
      <c r="AF336" s="10" t="str">
        <f>IF(Table1[[#This Row],[Sell-Buy]]&gt;0,"Profit","Loss")</f>
        <v>Loss</v>
      </c>
      <c r="AG336">
        <f>Table1[[#This Row],[Column2]]-Table1[[#This Row],[Buy-sell]]</f>
        <v>0</v>
      </c>
    </row>
    <row r="337" spans="1:33" x14ac:dyDescent="0.3">
      <c r="A337" t="s">
        <v>965</v>
      </c>
      <c r="B337" t="s">
        <v>633</v>
      </c>
      <c r="C337" s="1">
        <v>45660.039583333331</v>
      </c>
      <c r="D337" t="s">
        <v>26</v>
      </c>
      <c r="E337" t="s">
        <v>166</v>
      </c>
      <c r="F337">
        <v>989</v>
      </c>
      <c r="G337">
        <v>241.25</v>
      </c>
      <c r="H337">
        <v>119.3</v>
      </c>
      <c r="I337" t="s">
        <v>114</v>
      </c>
      <c r="J337" t="s">
        <v>55</v>
      </c>
      <c r="L337" s="1">
        <v>45749</v>
      </c>
      <c r="M337" t="s">
        <v>166</v>
      </c>
      <c r="N337">
        <f>IF(Table1[[#This Row],[side]]="BUY", Table1[[#This Row],[quantity]],-Table1[[#This Row],[quantity]])</f>
        <v>989</v>
      </c>
      <c r="P337" t="str">
        <f>IF(Table1[[#This Row],[side]]="Sell",Table1[[#This Row],[price]],"0")</f>
        <v>0</v>
      </c>
      <c r="Q337">
        <f>SUMIFS(Table1[quantity],Table1[company_id],Table8[[#This Row],[COMPANY_ID]],Table1[side],"BUY")-SUMIFS(Table1[quantity],Table1[company_id],Table8[[#This Row],[COMPANY_ID]],Table1[side],"SELL")</f>
        <v>0</v>
      </c>
      <c r="R337">
        <f>Table1[[#This Row],[Column2]]-Table1[[#This Row],[Buy-sell]]</f>
        <v>0</v>
      </c>
      <c r="S337" t="str">
        <f>IF(Table1[[#This Row],[Sell-Buy]]&gt;0,"Profit","Loss")</f>
        <v>Loss</v>
      </c>
      <c r="AE337" s="10" t="s">
        <v>866</v>
      </c>
      <c r="AF337" s="10" t="str">
        <f>IF(Table1[[#This Row],[Sell-Buy]]&gt;0,"Profit","Loss")</f>
        <v>Loss</v>
      </c>
      <c r="AG337">
        <f>Table1[[#This Row],[Column2]]-Table1[[#This Row],[Buy-sell]]</f>
        <v>0</v>
      </c>
    </row>
    <row r="338" spans="1:33" x14ac:dyDescent="0.3">
      <c r="A338" t="s">
        <v>973</v>
      </c>
      <c r="B338" t="s">
        <v>354</v>
      </c>
      <c r="C338" s="1">
        <v>45681.013888888891</v>
      </c>
      <c r="D338" t="s">
        <v>26</v>
      </c>
      <c r="E338" t="s">
        <v>166</v>
      </c>
      <c r="F338">
        <v>448</v>
      </c>
      <c r="G338">
        <v>238.27</v>
      </c>
      <c r="H338">
        <v>53.37</v>
      </c>
      <c r="I338" t="s">
        <v>108</v>
      </c>
      <c r="J338" t="s">
        <v>49</v>
      </c>
      <c r="L338" s="1">
        <v>45818</v>
      </c>
      <c r="M338" t="s">
        <v>166</v>
      </c>
      <c r="N338">
        <f>IF(Table1[[#This Row],[side]]="BUY", Table1[[#This Row],[quantity]],-Table1[[#This Row],[quantity]])</f>
        <v>448</v>
      </c>
      <c r="P338" t="str">
        <f>IF(Table1[[#This Row],[side]]="Sell",Table1[[#This Row],[price]],"0")</f>
        <v>0</v>
      </c>
      <c r="Q338">
        <f>SUMIFS(Table1[quantity],Table1[company_id],Table8[[#This Row],[COMPANY_ID]],Table1[side],"BUY")-SUMIFS(Table1[quantity],Table1[company_id],Table8[[#This Row],[COMPANY_ID]],Table1[side],"SELL")</f>
        <v>0</v>
      </c>
      <c r="R338">
        <f>Table1[[#This Row],[Column2]]-Table1[[#This Row],[Buy-sell]]</f>
        <v>0</v>
      </c>
      <c r="S338" t="str">
        <f>IF(Table1[[#This Row],[Sell-Buy]]&gt;0,"Profit","Loss")</f>
        <v>Loss</v>
      </c>
      <c r="AE338" s="9" t="s">
        <v>883</v>
      </c>
      <c r="AF338" s="10" t="str">
        <f>IF(Table1[[#This Row],[Sell-Buy]]&gt;0,"Profit","Loss")</f>
        <v>Loss</v>
      </c>
      <c r="AG338">
        <f>Table1[[#This Row],[Column2]]-Table1[[#This Row],[Buy-sell]]</f>
        <v>0</v>
      </c>
    </row>
    <row r="339" spans="1:33" x14ac:dyDescent="0.3">
      <c r="A339" t="s">
        <v>975</v>
      </c>
      <c r="B339" t="s">
        <v>270</v>
      </c>
      <c r="C339" s="1">
        <v>45678.009027777778</v>
      </c>
      <c r="D339" t="s">
        <v>26</v>
      </c>
      <c r="E339" t="s">
        <v>166</v>
      </c>
      <c r="F339">
        <v>220</v>
      </c>
      <c r="G339">
        <v>242.98</v>
      </c>
      <c r="H339">
        <v>26.73</v>
      </c>
      <c r="I339" t="s">
        <v>150</v>
      </c>
      <c r="J339" t="s">
        <v>61</v>
      </c>
      <c r="L339" s="1">
        <v>45733</v>
      </c>
      <c r="M339" t="s">
        <v>166</v>
      </c>
      <c r="N339">
        <f>IF(Table1[[#This Row],[side]]="BUY", Table1[[#This Row],[quantity]],-Table1[[#This Row],[quantity]])</f>
        <v>220</v>
      </c>
      <c r="P339" t="str">
        <f>IF(Table1[[#This Row],[side]]="Sell",Table1[[#This Row],[price]],"0")</f>
        <v>0</v>
      </c>
      <c r="Q339">
        <f>SUMIFS(Table1[quantity],Table1[company_id],Table8[[#This Row],[COMPANY_ID]],Table1[side],"BUY")-SUMIFS(Table1[quantity],Table1[company_id],Table8[[#This Row],[COMPANY_ID]],Table1[side],"SELL")</f>
        <v>0</v>
      </c>
      <c r="R339">
        <f>Table1[[#This Row],[Column2]]-Table1[[#This Row],[Buy-sell]]</f>
        <v>0</v>
      </c>
      <c r="S339" t="str">
        <f>IF(Table1[[#This Row],[Sell-Buy]]&gt;0,"Profit","Loss")</f>
        <v>Loss</v>
      </c>
      <c r="AE339" s="10" t="s">
        <v>686</v>
      </c>
      <c r="AF339" s="10" t="str">
        <f>IF(Table1[[#This Row],[Sell-Buy]]&gt;0,"Profit","Loss")</f>
        <v>Loss</v>
      </c>
      <c r="AG339">
        <f>Table1[[#This Row],[Column2]]-Table1[[#This Row],[Buy-sell]]</f>
        <v>0</v>
      </c>
    </row>
    <row r="340" spans="1:33" x14ac:dyDescent="0.3">
      <c r="A340" t="s">
        <v>978</v>
      </c>
      <c r="B340" t="s">
        <v>228</v>
      </c>
      <c r="C340" s="1">
        <v>45750.029861111114</v>
      </c>
      <c r="D340" t="s">
        <v>26</v>
      </c>
      <c r="E340" t="s">
        <v>166</v>
      </c>
      <c r="F340">
        <v>405</v>
      </c>
      <c r="G340">
        <v>235.81</v>
      </c>
      <c r="H340">
        <v>47.75</v>
      </c>
      <c r="I340" t="s">
        <v>112</v>
      </c>
      <c r="J340" t="s">
        <v>52</v>
      </c>
      <c r="L340" s="1">
        <v>45726</v>
      </c>
      <c r="M340" t="s">
        <v>166</v>
      </c>
      <c r="N340">
        <f>IF(Table1[[#This Row],[side]]="BUY", Table1[[#This Row],[quantity]],-Table1[[#This Row],[quantity]])</f>
        <v>405</v>
      </c>
      <c r="P340" t="str">
        <f>IF(Table1[[#This Row],[side]]="Sell",Table1[[#This Row],[price]],"0")</f>
        <v>0</v>
      </c>
      <c r="Q340">
        <f>SUMIFS(Table1[quantity],Table1[company_id],Table8[[#This Row],[COMPANY_ID]],Table1[side],"BUY")-SUMIFS(Table1[quantity],Table1[company_id],Table8[[#This Row],[COMPANY_ID]],Table1[side],"SELL")</f>
        <v>0</v>
      </c>
      <c r="R340">
        <f>Table1[[#This Row],[Column2]]-Table1[[#This Row],[Buy-sell]]</f>
        <v>0</v>
      </c>
      <c r="S340" t="str">
        <f>IF(Table1[[#This Row],[Sell-Buy]]&gt;0,"Profit","Loss")</f>
        <v>Loss</v>
      </c>
      <c r="AE340" s="9" t="s">
        <v>877</v>
      </c>
      <c r="AF340" s="10" t="str">
        <f>IF(Table1[[#This Row],[Sell-Buy]]&gt;0,"Profit","Loss")</f>
        <v>Loss</v>
      </c>
      <c r="AG340">
        <f>Table1[[#This Row],[Column2]]-Table1[[#This Row],[Buy-sell]]</f>
        <v>0</v>
      </c>
    </row>
    <row r="341" spans="1:33" x14ac:dyDescent="0.3">
      <c r="A341" t="s">
        <v>979</v>
      </c>
      <c r="B341" t="s">
        <v>386</v>
      </c>
      <c r="C341" s="1">
        <v>45755.018750000003</v>
      </c>
      <c r="D341" t="s">
        <v>26</v>
      </c>
      <c r="E341" t="s">
        <v>171</v>
      </c>
      <c r="F341">
        <v>380</v>
      </c>
      <c r="G341">
        <v>238.43</v>
      </c>
      <c r="H341">
        <v>45.3</v>
      </c>
      <c r="I341" t="s">
        <v>88</v>
      </c>
      <c r="J341" t="s">
        <v>49</v>
      </c>
      <c r="L341" s="1">
        <v>45805</v>
      </c>
      <c r="N341">
        <f>IF(Table1[[#This Row],[side]]="BUY", Table1[[#This Row],[quantity]],-Table1[[#This Row],[quantity]])</f>
        <v>-380</v>
      </c>
      <c r="O341" t="s">
        <v>171</v>
      </c>
      <c r="P341">
        <f>IF(Table1[[#This Row],[side]]="Sell",Table1[[#This Row],[price]],"0")</f>
        <v>238.43</v>
      </c>
      <c r="Q341">
        <f>SUMIFS(Table1[quantity],Table1[company_id],Table8[[#This Row],[COMPANY_ID]],Table1[side],"BUY")-SUMIFS(Table1[quantity],Table1[company_id],Table8[[#This Row],[COMPANY_ID]],Table1[side],"SELL")</f>
        <v>0</v>
      </c>
      <c r="R341">
        <f>Table1[[#This Row],[Column2]]-Table1[[#This Row],[Buy-sell]]</f>
        <v>238.43</v>
      </c>
      <c r="S341" t="str">
        <f>IF(Table1[[#This Row],[Sell-Buy]]&gt;0,"Profit","Loss")</f>
        <v>Profit</v>
      </c>
      <c r="AE341" s="10" t="s">
        <v>1093</v>
      </c>
      <c r="AF341" s="10" t="str">
        <f>IF(Table1[[#This Row],[Sell-Buy]]&gt;0,"Profit","Loss")</f>
        <v>Profit</v>
      </c>
      <c r="AG341">
        <f>Table1[[#This Row],[Column2]]-Table1[[#This Row],[Buy-sell]]</f>
        <v>238.43</v>
      </c>
    </row>
    <row r="342" spans="1:33" x14ac:dyDescent="0.3">
      <c r="A342" t="s">
        <v>989</v>
      </c>
      <c r="B342" t="s">
        <v>570</v>
      </c>
      <c r="C342" s="1">
        <v>45695.015277777777</v>
      </c>
      <c r="D342" t="s">
        <v>26</v>
      </c>
      <c r="E342" t="s">
        <v>171</v>
      </c>
      <c r="F342">
        <v>222</v>
      </c>
      <c r="G342">
        <v>235.05</v>
      </c>
      <c r="H342">
        <v>26.09</v>
      </c>
      <c r="I342" t="s">
        <v>108</v>
      </c>
      <c r="J342" t="s">
        <v>73</v>
      </c>
      <c r="L342" s="1">
        <v>45775</v>
      </c>
      <c r="N342">
        <f>IF(Table1[[#This Row],[side]]="BUY", Table1[[#This Row],[quantity]],-Table1[[#This Row],[quantity]])</f>
        <v>-222</v>
      </c>
      <c r="O342" t="s">
        <v>171</v>
      </c>
      <c r="P342">
        <f>IF(Table1[[#This Row],[side]]="Sell",Table1[[#This Row],[price]],"0")</f>
        <v>235.05</v>
      </c>
      <c r="Q342">
        <f>SUMIFS(Table1[quantity],Table1[company_id],Table8[[#This Row],[COMPANY_ID]],Table1[side],"BUY")-SUMIFS(Table1[quantity],Table1[company_id],Table8[[#This Row],[COMPANY_ID]],Table1[side],"SELL")</f>
        <v>0</v>
      </c>
      <c r="R342">
        <f>Table1[[#This Row],[Column2]]-Table1[[#This Row],[Buy-sell]]</f>
        <v>235.05</v>
      </c>
      <c r="S342" t="str">
        <f>IF(Table1[[#This Row],[Sell-Buy]]&gt;0,"Profit","Loss")</f>
        <v>Profit</v>
      </c>
      <c r="AE342" s="9" t="s">
        <v>976</v>
      </c>
      <c r="AF342" s="10" t="str">
        <f>IF(Table1[[#This Row],[Sell-Buy]]&gt;0,"Profit","Loss")</f>
        <v>Profit</v>
      </c>
      <c r="AG342">
        <f>Table1[[#This Row],[Column2]]-Table1[[#This Row],[Buy-sell]]</f>
        <v>235.05</v>
      </c>
    </row>
    <row r="343" spans="1:33" x14ac:dyDescent="0.3">
      <c r="A343" t="s">
        <v>992</v>
      </c>
      <c r="B343" t="s">
        <v>215</v>
      </c>
      <c r="C343" s="1">
        <v>45798.022222222222</v>
      </c>
      <c r="D343" t="s">
        <v>26</v>
      </c>
      <c r="E343" t="s">
        <v>166</v>
      </c>
      <c r="F343">
        <v>767</v>
      </c>
      <c r="G343">
        <v>239.91</v>
      </c>
      <c r="H343">
        <v>92.01</v>
      </c>
      <c r="I343" t="s">
        <v>91</v>
      </c>
      <c r="J343" t="s">
        <v>58</v>
      </c>
      <c r="L343" s="1">
        <v>45694</v>
      </c>
      <c r="M343" t="s">
        <v>166</v>
      </c>
      <c r="N343">
        <f>IF(Table1[[#This Row],[side]]="BUY", Table1[[#This Row],[quantity]],-Table1[[#This Row],[quantity]])</f>
        <v>767</v>
      </c>
      <c r="P343" t="str">
        <f>IF(Table1[[#This Row],[side]]="Sell",Table1[[#This Row],[price]],"0")</f>
        <v>0</v>
      </c>
      <c r="Q343">
        <f>SUMIFS(Table1[quantity],Table1[company_id],Table8[[#This Row],[COMPANY_ID]],Table1[side],"BUY")-SUMIFS(Table1[quantity],Table1[company_id],Table8[[#This Row],[COMPANY_ID]],Table1[side],"SELL")</f>
        <v>0</v>
      </c>
      <c r="R343">
        <f>Table1[[#This Row],[Column2]]-Table1[[#This Row],[Buy-sell]]</f>
        <v>0</v>
      </c>
      <c r="S343" t="str">
        <f>IF(Table1[[#This Row],[Sell-Buy]]&gt;0,"Profit","Loss")</f>
        <v>Loss</v>
      </c>
      <c r="AE343" s="10" t="s">
        <v>746</v>
      </c>
      <c r="AF343" s="10" t="str">
        <f>IF(Table1[[#This Row],[Sell-Buy]]&gt;0,"Profit","Loss")</f>
        <v>Loss</v>
      </c>
      <c r="AG343">
        <f>Table1[[#This Row],[Column2]]-Table1[[#This Row],[Buy-sell]]</f>
        <v>0</v>
      </c>
    </row>
    <row r="344" spans="1:33" x14ac:dyDescent="0.3">
      <c r="A344" t="s">
        <v>997</v>
      </c>
      <c r="B344" t="s">
        <v>295</v>
      </c>
      <c r="C344" s="1">
        <v>45729.021527777775</v>
      </c>
      <c r="D344" t="s">
        <v>26</v>
      </c>
      <c r="E344" t="s">
        <v>166</v>
      </c>
      <c r="F344">
        <v>383</v>
      </c>
      <c r="G344">
        <v>238.38</v>
      </c>
      <c r="H344">
        <v>45.65</v>
      </c>
      <c r="I344" t="s">
        <v>110</v>
      </c>
      <c r="J344" t="s">
        <v>52</v>
      </c>
      <c r="L344" s="1">
        <v>45831</v>
      </c>
      <c r="M344" t="s">
        <v>166</v>
      </c>
      <c r="N344">
        <f>IF(Table1[[#This Row],[side]]="BUY", Table1[[#This Row],[quantity]],-Table1[[#This Row],[quantity]])</f>
        <v>383</v>
      </c>
      <c r="P344" t="str">
        <f>IF(Table1[[#This Row],[side]]="Sell",Table1[[#This Row],[price]],"0")</f>
        <v>0</v>
      </c>
      <c r="Q344">
        <f>SUMIFS(Table1[quantity],Table1[company_id],Table8[[#This Row],[COMPANY_ID]],Table1[side],"BUY")-SUMIFS(Table1[quantity],Table1[company_id],Table8[[#This Row],[COMPANY_ID]],Table1[side],"SELL")</f>
        <v>0</v>
      </c>
      <c r="R344">
        <f>Table1[[#This Row],[Column2]]-Table1[[#This Row],[Buy-sell]]</f>
        <v>0</v>
      </c>
      <c r="S344" t="str">
        <f>IF(Table1[[#This Row],[Sell-Buy]]&gt;0,"Profit","Loss")</f>
        <v>Loss</v>
      </c>
      <c r="AE344" s="9" t="s">
        <v>790</v>
      </c>
      <c r="AF344" s="10" t="str">
        <f>IF(Table1[[#This Row],[Sell-Buy]]&gt;0,"Profit","Loss")</f>
        <v>Loss</v>
      </c>
      <c r="AG344">
        <f>Table1[[#This Row],[Column2]]-Table1[[#This Row],[Buy-sell]]</f>
        <v>0</v>
      </c>
    </row>
    <row r="345" spans="1:33" x14ac:dyDescent="0.3">
      <c r="A345" t="s">
        <v>1009</v>
      </c>
      <c r="B345" t="s">
        <v>270</v>
      </c>
      <c r="C345" s="1">
        <v>45813.034722222219</v>
      </c>
      <c r="D345" t="s">
        <v>26</v>
      </c>
      <c r="E345" t="s">
        <v>171</v>
      </c>
      <c r="F345">
        <v>247</v>
      </c>
      <c r="G345">
        <v>242.5</v>
      </c>
      <c r="H345">
        <v>29.95</v>
      </c>
      <c r="I345" t="s">
        <v>130</v>
      </c>
      <c r="J345" t="s">
        <v>76</v>
      </c>
      <c r="L345" s="1">
        <v>45705</v>
      </c>
      <c r="N345">
        <f>IF(Table1[[#This Row],[side]]="BUY", Table1[[#This Row],[quantity]],-Table1[[#This Row],[quantity]])</f>
        <v>-247</v>
      </c>
      <c r="O345" t="s">
        <v>171</v>
      </c>
      <c r="P345">
        <f>IF(Table1[[#This Row],[side]]="Sell",Table1[[#This Row],[price]],"0")</f>
        <v>242.5</v>
      </c>
      <c r="Q345">
        <f>SUMIFS(Table1[quantity],Table1[company_id],Table8[[#This Row],[COMPANY_ID]],Table1[side],"BUY")-SUMIFS(Table1[quantity],Table1[company_id],Table8[[#This Row],[COMPANY_ID]],Table1[side],"SELL")</f>
        <v>0</v>
      </c>
      <c r="R345">
        <f>Table1[[#This Row],[Column2]]-Table1[[#This Row],[Buy-sell]]</f>
        <v>242.5</v>
      </c>
      <c r="S345" t="str">
        <f>IF(Table1[[#This Row],[Sell-Buy]]&gt;0,"Profit","Loss")</f>
        <v>Profit</v>
      </c>
      <c r="AE345" s="10" t="s">
        <v>818</v>
      </c>
      <c r="AF345" s="10" t="str">
        <f>IF(Table1[[#This Row],[Sell-Buy]]&gt;0,"Profit","Loss")</f>
        <v>Profit</v>
      </c>
      <c r="AG345">
        <f>Table1[[#This Row],[Column2]]-Table1[[#This Row],[Buy-sell]]</f>
        <v>242.5</v>
      </c>
    </row>
    <row r="346" spans="1:33" x14ac:dyDescent="0.3">
      <c r="A346" t="s">
        <v>1016</v>
      </c>
      <c r="B346" t="s">
        <v>555</v>
      </c>
      <c r="C346" s="1">
        <v>45762.031944444447</v>
      </c>
      <c r="D346" t="s">
        <v>26</v>
      </c>
      <c r="E346" t="s">
        <v>171</v>
      </c>
      <c r="F346">
        <v>895</v>
      </c>
      <c r="G346">
        <v>243.78</v>
      </c>
      <c r="H346">
        <v>109.09</v>
      </c>
      <c r="I346" t="s">
        <v>114</v>
      </c>
      <c r="J346" t="s">
        <v>58</v>
      </c>
      <c r="L346" s="1">
        <v>45693</v>
      </c>
      <c r="N346">
        <f>IF(Table1[[#This Row],[side]]="BUY", Table1[[#This Row],[quantity]],-Table1[[#This Row],[quantity]])</f>
        <v>-895</v>
      </c>
      <c r="O346" t="s">
        <v>171</v>
      </c>
      <c r="P346">
        <f>IF(Table1[[#This Row],[side]]="Sell",Table1[[#This Row],[price]],"0")</f>
        <v>243.78</v>
      </c>
      <c r="Q346">
        <f>SUMIFS(Table1[quantity],Table1[company_id],Table8[[#This Row],[COMPANY_ID]],Table1[side],"BUY")-SUMIFS(Table1[quantity],Table1[company_id],Table8[[#This Row],[COMPANY_ID]],Table1[side],"SELL")</f>
        <v>0</v>
      </c>
      <c r="R346">
        <f>Table1[[#This Row],[Column2]]-Table1[[#This Row],[Buy-sell]]</f>
        <v>243.78</v>
      </c>
      <c r="S346" t="str">
        <f>IF(Table1[[#This Row],[Sell-Buy]]&gt;0,"Profit","Loss")</f>
        <v>Profit</v>
      </c>
      <c r="AE346" s="9" t="s">
        <v>893</v>
      </c>
      <c r="AF346" s="10" t="str">
        <f>IF(Table1[[#This Row],[Sell-Buy]]&gt;0,"Profit","Loss")</f>
        <v>Profit</v>
      </c>
      <c r="AG346">
        <f>Table1[[#This Row],[Column2]]-Table1[[#This Row],[Buy-sell]]</f>
        <v>243.78</v>
      </c>
    </row>
    <row r="347" spans="1:33" x14ac:dyDescent="0.3">
      <c r="A347" t="s">
        <v>1019</v>
      </c>
      <c r="B347" t="s">
        <v>579</v>
      </c>
      <c r="C347" s="1">
        <v>45807.029861111114</v>
      </c>
      <c r="D347" t="s">
        <v>26</v>
      </c>
      <c r="E347" t="s">
        <v>166</v>
      </c>
      <c r="F347">
        <v>228</v>
      </c>
      <c r="G347">
        <v>247.07</v>
      </c>
      <c r="H347">
        <v>28.17</v>
      </c>
      <c r="I347" t="s">
        <v>120</v>
      </c>
      <c r="J347" t="s">
        <v>76</v>
      </c>
      <c r="L347" s="1">
        <v>45792</v>
      </c>
      <c r="M347" t="s">
        <v>166</v>
      </c>
      <c r="N347">
        <f>IF(Table1[[#This Row],[side]]="BUY", Table1[[#This Row],[quantity]],-Table1[[#This Row],[quantity]])</f>
        <v>228</v>
      </c>
      <c r="P347" t="str">
        <f>IF(Table1[[#This Row],[side]]="Sell",Table1[[#This Row],[price]],"0")</f>
        <v>0</v>
      </c>
      <c r="Q347">
        <f>SUMIFS(Table1[quantity],Table1[company_id],Table8[[#This Row],[COMPANY_ID]],Table1[side],"BUY")-SUMIFS(Table1[quantity],Table1[company_id],Table8[[#This Row],[COMPANY_ID]],Table1[side],"SELL")</f>
        <v>0</v>
      </c>
      <c r="R347">
        <f>Table1[[#This Row],[Column2]]-Table1[[#This Row],[Buy-sell]]</f>
        <v>0</v>
      </c>
      <c r="S347" t="str">
        <f>IF(Table1[[#This Row],[Sell-Buy]]&gt;0,"Profit","Loss")</f>
        <v>Loss</v>
      </c>
      <c r="AE347" s="10" t="s">
        <v>811</v>
      </c>
      <c r="AF347" s="10" t="str">
        <f>IF(Table1[[#This Row],[Sell-Buy]]&gt;0,"Profit","Loss")</f>
        <v>Loss</v>
      </c>
      <c r="AG347">
        <f>Table1[[#This Row],[Column2]]-Table1[[#This Row],[Buy-sell]]</f>
        <v>0</v>
      </c>
    </row>
    <row r="348" spans="1:33" x14ac:dyDescent="0.3">
      <c r="A348" t="s">
        <v>1021</v>
      </c>
      <c r="B348" t="s">
        <v>183</v>
      </c>
      <c r="C348" s="1">
        <v>45713.008333333331</v>
      </c>
      <c r="D348" t="s">
        <v>26</v>
      </c>
      <c r="E348" t="s">
        <v>171</v>
      </c>
      <c r="F348">
        <v>796</v>
      </c>
      <c r="G348">
        <v>233.49</v>
      </c>
      <c r="H348">
        <v>92.93</v>
      </c>
      <c r="I348" t="s">
        <v>142</v>
      </c>
      <c r="J348" t="s">
        <v>52</v>
      </c>
      <c r="L348" s="1">
        <v>45736</v>
      </c>
      <c r="N348">
        <f>IF(Table1[[#This Row],[side]]="BUY", Table1[[#This Row],[quantity]],-Table1[[#This Row],[quantity]])</f>
        <v>-796</v>
      </c>
      <c r="O348" t="s">
        <v>171</v>
      </c>
      <c r="P348">
        <f>IF(Table1[[#This Row],[side]]="Sell",Table1[[#This Row],[price]],"0")</f>
        <v>233.49</v>
      </c>
      <c r="Q348">
        <f>SUMIFS(Table1[quantity],Table1[company_id],Table8[[#This Row],[COMPANY_ID]],Table1[side],"BUY")-SUMIFS(Table1[quantity],Table1[company_id],Table8[[#This Row],[COMPANY_ID]],Table1[side],"SELL")</f>
        <v>0</v>
      </c>
      <c r="R348">
        <f>Table1[[#This Row],[Column2]]-Table1[[#This Row],[Buy-sell]]</f>
        <v>233.49</v>
      </c>
      <c r="S348" t="str">
        <f>IF(Table1[[#This Row],[Sell-Buy]]&gt;0,"Profit","Loss")</f>
        <v>Profit</v>
      </c>
      <c r="AE348" s="9" t="s">
        <v>854</v>
      </c>
      <c r="AF348" s="10" t="str">
        <f>IF(Table1[[#This Row],[Sell-Buy]]&gt;0,"Profit","Loss")</f>
        <v>Profit</v>
      </c>
      <c r="AG348">
        <f>Table1[[#This Row],[Column2]]-Table1[[#This Row],[Buy-sell]]</f>
        <v>233.49</v>
      </c>
    </row>
    <row r="349" spans="1:33" x14ac:dyDescent="0.3">
      <c r="A349" t="s">
        <v>1025</v>
      </c>
      <c r="B349" t="s">
        <v>319</v>
      </c>
      <c r="C349" s="1">
        <v>45688.003472222219</v>
      </c>
      <c r="D349" t="s">
        <v>26</v>
      </c>
      <c r="E349" t="s">
        <v>166</v>
      </c>
      <c r="F349">
        <v>604</v>
      </c>
      <c r="G349">
        <v>238.02</v>
      </c>
      <c r="H349">
        <v>71.88</v>
      </c>
      <c r="I349" t="s">
        <v>146</v>
      </c>
      <c r="J349" t="s">
        <v>67</v>
      </c>
      <c r="L349" s="1">
        <v>45677</v>
      </c>
      <c r="M349" t="s">
        <v>166</v>
      </c>
      <c r="N349">
        <f>IF(Table1[[#This Row],[side]]="BUY", Table1[[#This Row],[quantity]],-Table1[[#This Row],[quantity]])</f>
        <v>604</v>
      </c>
      <c r="P349" t="str">
        <f>IF(Table1[[#This Row],[side]]="Sell",Table1[[#This Row],[price]],"0")</f>
        <v>0</v>
      </c>
      <c r="Q349">
        <f>SUMIFS(Table1[quantity],Table1[company_id],Table8[[#This Row],[COMPANY_ID]],Table1[side],"BUY")-SUMIFS(Table1[quantity],Table1[company_id],Table8[[#This Row],[COMPANY_ID]],Table1[side],"SELL")</f>
        <v>0</v>
      </c>
      <c r="R349">
        <f>Table1[[#This Row],[Column2]]-Table1[[#This Row],[Buy-sell]]</f>
        <v>0</v>
      </c>
      <c r="S349" t="str">
        <f>IF(Table1[[#This Row],[Sell-Buy]]&gt;0,"Profit","Loss")</f>
        <v>Loss</v>
      </c>
      <c r="AE349" s="10" t="s">
        <v>1158</v>
      </c>
      <c r="AF349" s="10" t="str">
        <f>IF(Table1[[#This Row],[Sell-Buy]]&gt;0,"Profit","Loss")</f>
        <v>Loss</v>
      </c>
      <c r="AG349">
        <f>Table1[[#This Row],[Column2]]-Table1[[#This Row],[Buy-sell]]</f>
        <v>0</v>
      </c>
    </row>
    <row r="350" spans="1:33" x14ac:dyDescent="0.3">
      <c r="A350" t="s">
        <v>1047</v>
      </c>
      <c r="B350" t="s">
        <v>533</v>
      </c>
      <c r="C350" s="1">
        <v>45789.002083333333</v>
      </c>
      <c r="D350" t="s">
        <v>26</v>
      </c>
      <c r="E350" t="s">
        <v>171</v>
      </c>
      <c r="F350">
        <v>819</v>
      </c>
      <c r="G350">
        <v>225.61</v>
      </c>
      <c r="H350">
        <v>92.39</v>
      </c>
      <c r="I350" t="s">
        <v>126</v>
      </c>
      <c r="J350" t="s">
        <v>49</v>
      </c>
      <c r="L350" s="1">
        <v>45730</v>
      </c>
      <c r="N350">
        <f>IF(Table1[[#This Row],[side]]="BUY", Table1[[#This Row],[quantity]],-Table1[[#This Row],[quantity]])</f>
        <v>-819</v>
      </c>
      <c r="O350" t="s">
        <v>171</v>
      </c>
      <c r="P350">
        <f>IF(Table1[[#This Row],[side]]="Sell",Table1[[#This Row],[price]],"0")</f>
        <v>225.61</v>
      </c>
      <c r="Q350">
        <f>SUMIFS(Table1[quantity],Table1[company_id],Table8[[#This Row],[COMPANY_ID]],Table1[side],"BUY")-SUMIFS(Table1[quantity],Table1[company_id],Table8[[#This Row],[COMPANY_ID]],Table1[side],"SELL")</f>
        <v>0</v>
      </c>
      <c r="R350">
        <f>Table1[[#This Row],[Column2]]-Table1[[#This Row],[Buy-sell]]</f>
        <v>225.61</v>
      </c>
      <c r="S350" t="str">
        <f>IF(Table1[[#This Row],[Sell-Buy]]&gt;0,"Profit","Loss")</f>
        <v>Profit</v>
      </c>
      <c r="AE350" s="9" t="s">
        <v>814</v>
      </c>
      <c r="AF350" s="10" t="str">
        <f>IF(Table1[[#This Row],[Sell-Buy]]&gt;0,"Profit","Loss")</f>
        <v>Profit</v>
      </c>
      <c r="AG350">
        <f>Table1[[#This Row],[Column2]]-Table1[[#This Row],[Buy-sell]]</f>
        <v>225.61</v>
      </c>
    </row>
    <row r="351" spans="1:33" x14ac:dyDescent="0.3">
      <c r="A351" t="s">
        <v>1053</v>
      </c>
      <c r="B351" t="s">
        <v>618</v>
      </c>
      <c r="C351" s="1">
        <v>45770.040972222225</v>
      </c>
      <c r="D351" t="s">
        <v>26</v>
      </c>
      <c r="E351" t="s">
        <v>171</v>
      </c>
      <c r="F351">
        <v>679</v>
      </c>
      <c r="G351">
        <v>244.76</v>
      </c>
      <c r="H351">
        <v>83.1</v>
      </c>
      <c r="I351" t="s">
        <v>144</v>
      </c>
      <c r="J351" t="s">
        <v>76</v>
      </c>
      <c r="L351" s="1">
        <v>45678</v>
      </c>
      <c r="N351">
        <f>IF(Table1[[#This Row],[side]]="BUY", Table1[[#This Row],[quantity]],-Table1[[#This Row],[quantity]])</f>
        <v>-679</v>
      </c>
      <c r="O351" t="s">
        <v>171</v>
      </c>
      <c r="P351">
        <f>IF(Table1[[#This Row],[side]]="Sell",Table1[[#This Row],[price]],"0")</f>
        <v>244.76</v>
      </c>
      <c r="Q351">
        <f>SUMIFS(Table1[quantity],Table1[company_id],Table8[[#This Row],[COMPANY_ID]],Table1[side],"BUY")-SUMIFS(Table1[quantity],Table1[company_id],Table8[[#This Row],[COMPANY_ID]],Table1[side],"SELL")</f>
        <v>0</v>
      </c>
      <c r="R351">
        <f>Table1[[#This Row],[Column2]]-Table1[[#This Row],[Buy-sell]]</f>
        <v>244.76</v>
      </c>
      <c r="S351" t="str">
        <f>IF(Table1[[#This Row],[Sell-Buy]]&gt;0,"Profit","Loss")</f>
        <v>Profit</v>
      </c>
      <c r="AE351" s="10" t="s">
        <v>718</v>
      </c>
      <c r="AF351" s="10" t="str">
        <f>IF(Table1[[#This Row],[Sell-Buy]]&gt;0,"Profit","Loss")</f>
        <v>Profit</v>
      </c>
      <c r="AG351">
        <f>Table1[[#This Row],[Column2]]-Table1[[#This Row],[Buy-sell]]</f>
        <v>244.76</v>
      </c>
    </row>
    <row r="352" spans="1:33" x14ac:dyDescent="0.3">
      <c r="A352" t="s">
        <v>1054</v>
      </c>
      <c r="B352" t="s">
        <v>288</v>
      </c>
      <c r="C352" s="1">
        <v>45811.007638888892</v>
      </c>
      <c r="D352" t="s">
        <v>26</v>
      </c>
      <c r="E352" t="s">
        <v>171</v>
      </c>
      <c r="F352">
        <v>570</v>
      </c>
      <c r="G352">
        <v>244.75</v>
      </c>
      <c r="H352">
        <v>69.75</v>
      </c>
      <c r="I352" t="s">
        <v>88</v>
      </c>
      <c r="J352" t="s">
        <v>49</v>
      </c>
      <c r="L352" s="1">
        <v>45790</v>
      </c>
      <c r="N352">
        <f>IF(Table1[[#This Row],[side]]="BUY", Table1[[#This Row],[quantity]],-Table1[[#This Row],[quantity]])</f>
        <v>-570</v>
      </c>
      <c r="O352" t="s">
        <v>171</v>
      </c>
      <c r="P352">
        <f>IF(Table1[[#This Row],[side]]="Sell",Table1[[#This Row],[price]],"0")</f>
        <v>244.75</v>
      </c>
      <c r="Q352">
        <f>SUMIFS(Table1[quantity],Table1[company_id],Table8[[#This Row],[COMPANY_ID]],Table1[side],"BUY")-SUMIFS(Table1[quantity],Table1[company_id],Table8[[#This Row],[COMPANY_ID]],Table1[side],"SELL")</f>
        <v>0</v>
      </c>
      <c r="R352">
        <f>Table1[[#This Row],[Column2]]-Table1[[#This Row],[Buy-sell]]</f>
        <v>244.75</v>
      </c>
      <c r="S352" t="str">
        <f>IF(Table1[[#This Row],[Sell-Buy]]&gt;0,"Profit","Loss")</f>
        <v>Profit</v>
      </c>
      <c r="AE352" s="9" t="s">
        <v>770</v>
      </c>
      <c r="AF352" s="10" t="str">
        <f>IF(Table1[[#This Row],[Sell-Buy]]&gt;0,"Profit","Loss")</f>
        <v>Profit</v>
      </c>
      <c r="AG352">
        <f>Table1[[#This Row],[Column2]]-Table1[[#This Row],[Buy-sell]]</f>
        <v>244.75</v>
      </c>
    </row>
    <row r="353" spans="1:33" x14ac:dyDescent="0.3">
      <c r="A353" t="s">
        <v>1057</v>
      </c>
      <c r="B353" t="s">
        <v>483</v>
      </c>
      <c r="C353" s="1">
        <v>45743.019444444442</v>
      </c>
      <c r="D353" t="s">
        <v>26</v>
      </c>
      <c r="E353" t="s">
        <v>171</v>
      </c>
      <c r="F353">
        <v>337</v>
      </c>
      <c r="G353">
        <v>234.32</v>
      </c>
      <c r="H353">
        <v>39.479999999999997</v>
      </c>
      <c r="I353" t="s">
        <v>106</v>
      </c>
      <c r="J353" t="s">
        <v>58</v>
      </c>
      <c r="L353" s="1">
        <v>45755</v>
      </c>
      <c r="N353">
        <f>IF(Table1[[#This Row],[side]]="BUY", Table1[[#This Row],[quantity]],-Table1[[#This Row],[quantity]])</f>
        <v>-337</v>
      </c>
      <c r="O353" t="s">
        <v>171</v>
      </c>
      <c r="P353">
        <f>IF(Table1[[#This Row],[side]]="Sell",Table1[[#This Row],[price]],"0")</f>
        <v>234.32</v>
      </c>
      <c r="Q353">
        <f>SUMIFS(Table1[quantity],Table1[company_id],Table8[[#This Row],[COMPANY_ID]],Table1[side],"BUY")-SUMIFS(Table1[quantity],Table1[company_id],Table8[[#This Row],[COMPANY_ID]],Table1[side],"SELL")</f>
        <v>0</v>
      </c>
      <c r="R353">
        <f>Table1[[#This Row],[Column2]]-Table1[[#This Row],[Buy-sell]]</f>
        <v>234.32</v>
      </c>
      <c r="S353" t="str">
        <f>IF(Table1[[#This Row],[Sell-Buy]]&gt;0,"Profit","Loss")</f>
        <v>Profit</v>
      </c>
      <c r="AE353" s="10" t="s">
        <v>898</v>
      </c>
      <c r="AF353" s="10" t="str">
        <f>IF(Table1[[#This Row],[Sell-Buy]]&gt;0,"Profit","Loss")</f>
        <v>Profit</v>
      </c>
      <c r="AG353">
        <f>Table1[[#This Row],[Column2]]-Table1[[#This Row],[Buy-sell]]</f>
        <v>234.32</v>
      </c>
    </row>
    <row r="354" spans="1:33" x14ac:dyDescent="0.3">
      <c r="A354" t="s">
        <v>1058</v>
      </c>
      <c r="B354" t="s">
        <v>596</v>
      </c>
      <c r="C354" s="1">
        <v>45771.004166666666</v>
      </c>
      <c r="D354" t="s">
        <v>26</v>
      </c>
      <c r="E354" t="s">
        <v>171</v>
      </c>
      <c r="F354">
        <v>372</v>
      </c>
      <c r="G354">
        <v>243.86</v>
      </c>
      <c r="H354">
        <v>45.36</v>
      </c>
      <c r="I354" t="s">
        <v>146</v>
      </c>
      <c r="J354" t="s">
        <v>67</v>
      </c>
      <c r="L354" s="1">
        <v>45806</v>
      </c>
      <c r="N354">
        <f>IF(Table1[[#This Row],[side]]="BUY", Table1[[#This Row],[quantity]],-Table1[[#This Row],[quantity]])</f>
        <v>-372</v>
      </c>
      <c r="O354" t="s">
        <v>171</v>
      </c>
      <c r="P354">
        <f>IF(Table1[[#This Row],[side]]="Sell",Table1[[#This Row],[price]],"0")</f>
        <v>243.86</v>
      </c>
      <c r="Q354">
        <f>SUMIFS(Table1[quantity],Table1[company_id],Table8[[#This Row],[COMPANY_ID]],Table1[side],"BUY")-SUMIFS(Table1[quantity],Table1[company_id],Table8[[#This Row],[COMPANY_ID]],Table1[side],"SELL")</f>
        <v>0</v>
      </c>
      <c r="R354">
        <f>Table1[[#This Row],[Column2]]-Table1[[#This Row],[Buy-sell]]</f>
        <v>243.86</v>
      </c>
      <c r="S354" t="str">
        <f>IF(Table1[[#This Row],[Sell-Buy]]&gt;0,"Profit","Loss")</f>
        <v>Profit</v>
      </c>
      <c r="AE354" s="9" t="s">
        <v>1151</v>
      </c>
      <c r="AF354" s="10" t="str">
        <f>IF(Table1[[#This Row],[Sell-Buy]]&gt;0,"Profit","Loss")</f>
        <v>Profit</v>
      </c>
      <c r="AG354">
        <f>Table1[[#This Row],[Column2]]-Table1[[#This Row],[Buy-sell]]</f>
        <v>243.86</v>
      </c>
    </row>
    <row r="355" spans="1:33" x14ac:dyDescent="0.3">
      <c r="A355" t="s">
        <v>1060</v>
      </c>
      <c r="B355" t="s">
        <v>533</v>
      </c>
      <c r="C355" s="1">
        <v>45832.013888888891</v>
      </c>
      <c r="D355" t="s">
        <v>26</v>
      </c>
      <c r="E355" t="s">
        <v>171</v>
      </c>
      <c r="F355">
        <v>403</v>
      </c>
      <c r="G355">
        <v>214.2</v>
      </c>
      <c r="H355">
        <v>43.16</v>
      </c>
      <c r="I355" t="s">
        <v>122</v>
      </c>
      <c r="J355" t="s">
        <v>70</v>
      </c>
      <c r="L355" s="1">
        <v>45789</v>
      </c>
      <c r="N355">
        <f>IF(Table1[[#This Row],[side]]="BUY", Table1[[#This Row],[quantity]],-Table1[[#This Row],[quantity]])</f>
        <v>-403</v>
      </c>
      <c r="O355" t="s">
        <v>171</v>
      </c>
      <c r="P355">
        <f>IF(Table1[[#This Row],[side]]="Sell",Table1[[#This Row],[price]],"0")</f>
        <v>214.2</v>
      </c>
      <c r="Q355">
        <f>SUMIFS(Table1[quantity],Table1[company_id],Table8[[#This Row],[COMPANY_ID]],Table1[side],"BUY")-SUMIFS(Table1[quantity],Table1[company_id],Table8[[#This Row],[COMPANY_ID]],Table1[side],"SELL")</f>
        <v>0</v>
      </c>
      <c r="R355">
        <f>Table1[[#This Row],[Column2]]-Table1[[#This Row],[Buy-sell]]</f>
        <v>214.2</v>
      </c>
      <c r="S355" t="str">
        <f>IF(Table1[[#This Row],[Sell-Buy]]&gt;0,"Profit","Loss")</f>
        <v>Profit</v>
      </c>
      <c r="AE355" s="10" t="s">
        <v>1097</v>
      </c>
      <c r="AF355" s="10" t="str">
        <f>IF(Table1[[#This Row],[Sell-Buy]]&gt;0,"Profit","Loss")</f>
        <v>Profit</v>
      </c>
      <c r="AG355">
        <f>Table1[[#This Row],[Column2]]-Table1[[#This Row],[Buy-sell]]</f>
        <v>214.2</v>
      </c>
    </row>
    <row r="356" spans="1:33" x14ac:dyDescent="0.3">
      <c r="A356" t="s">
        <v>1066</v>
      </c>
      <c r="B356" t="s">
        <v>455</v>
      </c>
      <c r="C356" s="1">
        <v>45702.03402777778</v>
      </c>
      <c r="D356" t="s">
        <v>26</v>
      </c>
      <c r="E356" t="s">
        <v>171</v>
      </c>
      <c r="F356">
        <v>363</v>
      </c>
      <c r="G356">
        <v>232.29</v>
      </c>
      <c r="H356">
        <v>42.16</v>
      </c>
      <c r="I356" t="s">
        <v>94</v>
      </c>
      <c r="J356" t="s">
        <v>61</v>
      </c>
      <c r="L356" s="1">
        <v>45692</v>
      </c>
      <c r="N356">
        <f>IF(Table1[[#This Row],[side]]="BUY", Table1[[#This Row],[quantity]],-Table1[[#This Row],[quantity]])</f>
        <v>-363</v>
      </c>
      <c r="O356" t="s">
        <v>171</v>
      </c>
      <c r="P356">
        <f>IF(Table1[[#This Row],[side]]="Sell",Table1[[#This Row],[price]],"0")</f>
        <v>232.29</v>
      </c>
      <c r="Q356">
        <f>SUMIFS(Table1[quantity],Table1[company_id],Table8[[#This Row],[COMPANY_ID]],Table1[side],"BUY")-SUMIFS(Table1[quantity],Table1[company_id],Table8[[#This Row],[COMPANY_ID]],Table1[side],"SELL")</f>
        <v>0</v>
      </c>
      <c r="R356">
        <f>Table1[[#This Row],[Column2]]-Table1[[#This Row],[Buy-sell]]</f>
        <v>232.29</v>
      </c>
      <c r="S356" t="str">
        <f>IF(Table1[[#This Row],[Sell-Buy]]&gt;0,"Profit","Loss")</f>
        <v>Profit</v>
      </c>
      <c r="AE356" s="9" t="s">
        <v>843</v>
      </c>
      <c r="AF356" s="10" t="str">
        <f>IF(Table1[[#This Row],[Sell-Buy]]&gt;0,"Profit","Loss")</f>
        <v>Profit</v>
      </c>
      <c r="AG356">
        <f>Table1[[#This Row],[Column2]]-Table1[[#This Row],[Buy-sell]]</f>
        <v>232.29</v>
      </c>
    </row>
    <row r="357" spans="1:33" x14ac:dyDescent="0.3">
      <c r="A357" t="s">
        <v>1068</v>
      </c>
      <c r="B357" t="s">
        <v>562</v>
      </c>
      <c r="C357" s="1">
        <v>45695.023611111108</v>
      </c>
      <c r="D357" t="s">
        <v>26</v>
      </c>
      <c r="E357" t="s">
        <v>171</v>
      </c>
      <c r="F357">
        <v>819</v>
      </c>
      <c r="G357">
        <v>235.23</v>
      </c>
      <c r="H357">
        <v>96.33</v>
      </c>
      <c r="I357" t="s">
        <v>128</v>
      </c>
      <c r="J357" t="s">
        <v>52</v>
      </c>
      <c r="L357" s="1">
        <v>45740</v>
      </c>
      <c r="N357">
        <f>IF(Table1[[#This Row],[side]]="BUY", Table1[[#This Row],[quantity]],-Table1[[#This Row],[quantity]])</f>
        <v>-819</v>
      </c>
      <c r="O357" t="s">
        <v>171</v>
      </c>
      <c r="P357">
        <f>IF(Table1[[#This Row],[side]]="Sell",Table1[[#This Row],[price]],"0")</f>
        <v>235.23</v>
      </c>
      <c r="Q357">
        <f>SUMIFS(Table1[quantity],Table1[company_id],Table8[[#This Row],[COMPANY_ID]],Table1[side],"BUY")-SUMIFS(Table1[quantity],Table1[company_id],Table8[[#This Row],[COMPANY_ID]],Table1[side],"SELL")</f>
        <v>0</v>
      </c>
      <c r="R357">
        <f>Table1[[#This Row],[Column2]]-Table1[[#This Row],[Buy-sell]]</f>
        <v>235.23</v>
      </c>
      <c r="S357" t="str">
        <f>IF(Table1[[#This Row],[Sell-Buy]]&gt;0,"Profit","Loss")</f>
        <v>Profit</v>
      </c>
      <c r="AE357" s="10" t="s">
        <v>928</v>
      </c>
      <c r="AF357" s="10" t="str">
        <f>IF(Table1[[#This Row],[Sell-Buy]]&gt;0,"Profit","Loss")</f>
        <v>Profit</v>
      </c>
      <c r="AG357">
        <f>Table1[[#This Row],[Column2]]-Table1[[#This Row],[Buy-sell]]</f>
        <v>235.23</v>
      </c>
    </row>
    <row r="358" spans="1:33" x14ac:dyDescent="0.3">
      <c r="A358" t="s">
        <v>1085</v>
      </c>
      <c r="B358" t="s">
        <v>429</v>
      </c>
      <c r="C358" s="1">
        <v>45789.006249999999</v>
      </c>
      <c r="D358" t="s">
        <v>26</v>
      </c>
      <c r="E358" t="s">
        <v>166</v>
      </c>
      <c r="F358">
        <v>949</v>
      </c>
      <c r="G358">
        <v>225.31</v>
      </c>
      <c r="H358">
        <v>106.91</v>
      </c>
      <c r="I358" t="s">
        <v>136</v>
      </c>
      <c r="J358" t="s">
        <v>64</v>
      </c>
      <c r="L358" s="1">
        <v>45751</v>
      </c>
      <c r="M358" t="s">
        <v>166</v>
      </c>
      <c r="N358">
        <f>IF(Table1[[#This Row],[side]]="BUY", Table1[[#This Row],[quantity]],-Table1[[#This Row],[quantity]])</f>
        <v>949</v>
      </c>
      <c r="P358" t="str">
        <f>IF(Table1[[#This Row],[side]]="Sell",Table1[[#This Row],[price]],"0")</f>
        <v>0</v>
      </c>
      <c r="Q358">
        <f>SUMIFS(Table1[quantity],Table1[company_id],Table8[[#This Row],[COMPANY_ID]],Table1[side],"BUY")-SUMIFS(Table1[quantity],Table1[company_id],Table8[[#This Row],[COMPANY_ID]],Table1[side],"SELL")</f>
        <v>0</v>
      </c>
      <c r="R358">
        <f>Table1[[#This Row],[Column2]]-Table1[[#This Row],[Buy-sell]]</f>
        <v>0</v>
      </c>
      <c r="S358" t="str">
        <f>IF(Table1[[#This Row],[Sell-Buy]]&gt;0,"Profit","Loss")</f>
        <v>Loss</v>
      </c>
      <c r="AE358" s="9" t="s">
        <v>1047</v>
      </c>
      <c r="AF358" s="10" t="str">
        <f>IF(Table1[[#This Row],[Sell-Buy]]&gt;0,"Profit","Loss")</f>
        <v>Loss</v>
      </c>
      <c r="AG358">
        <f>Table1[[#This Row],[Column2]]-Table1[[#This Row],[Buy-sell]]</f>
        <v>0</v>
      </c>
    </row>
    <row r="359" spans="1:33" x14ac:dyDescent="0.3">
      <c r="A359" t="s">
        <v>1100</v>
      </c>
      <c r="B359" t="s">
        <v>392</v>
      </c>
      <c r="C359" s="1">
        <v>45728.011111111111</v>
      </c>
      <c r="D359" t="s">
        <v>26</v>
      </c>
      <c r="E359" t="s">
        <v>166</v>
      </c>
      <c r="F359">
        <v>841</v>
      </c>
      <c r="G359">
        <v>237.7</v>
      </c>
      <c r="H359">
        <v>99.95</v>
      </c>
      <c r="I359" t="s">
        <v>94</v>
      </c>
      <c r="J359" t="s">
        <v>70</v>
      </c>
      <c r="L359" s="1">
        <v>45726</v>
      </c>
      <c r="M359" t="s">
        <v>166</v>
      </c>
      <c r="N359">
        <f>IF(Table1[[#This Row],[side]]="BUY", Table1[[#This Row],[quantity]],-Table1[[#This Row],[quantity]])</f>
        <v>841</v>
      </c>
      <c r="P359" t="str">
        <f>IF(Table1[[#This Row],[side]]="Sell",Table1[[#This Row],[price]],"0")</f>
        <v>0</v>
      </c>
      <c r="Q359">
        <f>SUMIFS(Table1[quantity],Table1[company_id],Table8[[#This Row],[COMPANY_ID]],Table1[side],"BUY")-SUMIFS(Table1[quantity],Table1[company_id],Table8[[#This Row],[COMPANY_ID]],Table1[side],"SELL")</f>
        <v>0</v>
      </c>
      <c r="R359">
        <f>Table1[[#This Row],[Column2]]-Table1[[#This Row],[Buy-sell]]</f>
        <v>0</v>
      </c>
      <c r="S359" t="str">
        <f>IF(Table1[[#This Row],[Sell-Buy]]&gt;0,"Profit","Loss")</f>
        <v>Loss</v>
      </c>
      <c r="AE359" s="10" t="s">
        <v>1060</v>
      </c>
      <c r="AF359" s="10" t="str">
        <f>IF(Table1[[#This Row],[Sell-Buy]]&gt;0,"Profit","Loss")</f>
        <v>Loss</v>
      </c>
      <c r="AG359">
        <f>Table1[[#This Row],[Column2]]-Table1[[#This Row],[Buy-sell]]</f>
        <v>0</v>
      </c>
    </row>
    <row r="360" spans="1:33" x14ac:dyDescent="0.3">
      <c r="A360" t="s">
        <v>1119</v>
      </c>
      <c r="B360" t="s">
        <v>326</v>
      </c>
      <c r="C360" s="1">
        <v>45678.000694444447</v>
      </c>
      <c r="D360" t="s">
        <v>26</v>
      </c>
      <c r="E360" t="s">
        <v>166</v>
      </c>
      <c r="F360">
        <v>897</v>
      </c>
      <c r="G360">
        <v>243</v>
      </c>
      <c r="H360">
        <v>108.99</v>
      </c>
      <c r="I360" t="s">
        <v>146</v>
      </c>
      <c r="J360" t="s">
        <v>52</v>
      </c>
      <c r="L360" s="1">
        <v>45826</v>
      </c>
      <c r="M360" t="s">
        <v>166</v>
      </c>
      <c r="N360">
        <f>IF(Table1[[#This Row],[side]]="BUY", Table1[[#This Row],[quantity]],-Table1[[#This Row],[quantity]])</f>
        <v>897</v>
      </c>
      <c r="P360" t="str">
        <f>IF(Table1[[#This Row],[side]]="Sell",Table1[[#This Row],[price]],"0")</f>
        <v>0</v>
      </c>
      <c r="Q360">
        <f>SUMIFS(Table1[quantity],Table1[company_id],Table8[[#This Row],[COMPANY_ID]],Table1[side],"BUY")-SUMIFS(Table1[quantity],Table1[company_id],Table8[[#This Row],[COMPANY_ID]],Table1[side],"SELL")</f>
        <v>0</v>
      </c>
      <c r="R360">
        <f>Table1[[#This Row],[Column2]]-Table1[[#This Row],[Buy-sell]]</f>
        <v>0</v>
      </c>
      <c r="S360" t="str">
        <f>IF(Table1[[#This Row],[Sell-Buy]]&gt;0,"Profit","Loss")</f>
        <v>Loss</v>
      </c>
      <c r="AE360" s="9" t="s">
        <v>983</v>
      </c>
      <c r="AF360" s="10" t="str">
        <f>IF(Table1[[#This Row],[Sell-Buy]]&gt;0,"Profit","Loss")</f>
        <v>Loss</v>
      </c>
      <c r="AG360">
        <f>Table1[[#This Row],[Column2]]-Table1[[#This Row],[Buy-sell]]</f>
        <v>0</v>
      </c>
    </row>
    <row r="361" spans="1:33" x14ac:dyDescent="0.3">
      <c r="A361" t="s">
        <v>1133</v>
      </c>
      <c r="B361" t="s">
        <v>273</v>
      </c>
      <c r="C361" s="1">
        <v>45677.01458333333</v>
      </c>
      <c r="D361" t="s">
        <v>26</v>
      </c>
      <c r="E361" t="s">
        <v>166</v>
      </c>
      <c r="F361">
        <v>451</v>
      </c>
      <c r="G361">
        <v>243.63</v>
      </c>
      <c r="H361">
        <v>54.94</v>
      </c>
      <c r="I361" t="s">
        <v>146</v>
      </c>
      <c r="J361" t="s">
        <v>64</v>
      </c>
      <c r="L361" s="1">
        <v>45698</v>
      </c>
      <c r="M361" t="s">
        <v>166</v>
      </c>
      <c r="N361">
        <f>IF(Table1[[#This Row],[side]]="BUY", Table1[[#This Row],[quantity]],-Table1[[#This Row],[quantity]])</f>
        <v>451</v>
      </c>
      <c r="P361" t="str">
        <f>IF(Table1[[#This Row],[side]]="Sell",Table1[[#This Row],[price]],"0")</f>
        <v>0</v>
      </c>
      <c r="Q361">
        <f>SUMIFS(Table1[quantity],Table1[company_id],Table8[[#This Row],[COMPANY_ID]],Table1[side],"BUY")-SUMIFS(Table1[quantity],Table1[company_id],Table8[[#This Row],[COMPANY_ID]],Table1[side],"SELL")</f>
        <v>0</v>
      </c>
      <c r="R361">
        <f>Table1[[#This Row],[Column2]]-Table1[[#This Row],[Buy-sell]]</f>
        <v>0</v>
      </c>
      <c r="S361" t="str">
        <f>IF(Table1[[#This Row],[Sell-Buy]]&gt;0,"Profit","Loss")</f>
        <v>Loss</v>
      </c>
      <c r="AE361" s="10" t="s">
        <v>685</v>
      </c>
      <c r="AF361" s="10" t="str">
        <f>IF(Table1[[#This Row],[Sell-Buy]]&gt;0,"Profit","Loss")</f>
        <v>Loss</v>
      </c>
      <c r="AG361">
        <f>Table1[[#This Row],[Column2]]-Table1[[#This Row],[Buy-sell]]</f>
        <v>0</v>
      </c>
    </row>
    <row r="362" spans="1:33" x14ac:dyDescent="0.3">
      <c r="A362" t="s">
        <v>1138</v>
      </c>
      <c r="B362" t="s">
        <v>641</v>
      </c>
      <c r="C362" s="1">
        <v>45701.029166666667</v>
      </c>
      <c r="D362" t="s">
        <v>26</v>
      </c>
      <c r="E362" t="s">
        <v>171</v>
      </c>
      <c r="F362">
        <v>235</v>
      </c>
      <c r="G362">
        <v>231.88</v>
      </c>
      <c r="H362">
        <v>27.25</v>
      </c>
      <c r="I362" t="s">
        <v>146</v>
      </c>
      <c r="J362" t="s">
        <v>70</v>
      </c>
      <c r="L362" s="1">
        <v>45792</v>
      </c>
      <c r="N362">
        <f>IF(Table1[[#This Row],[side]]="BUY", Table1[[#This Row],[quantity]],-Table1[[#This Row],[quantity]])</f>
        <v>-235</v>
      </c>
      <c r="O362" t="s">
        <v>171</v>
      </c>
      <c r="P362">
        <f>IF(Table1[[#This Row],[side]]="Sell",Table1[[#This Row],[price]],"0")</f>
        <v>231.88</v>
      </c>
      <c r="Q362">
        <f>SUMIFS(Table1[quantity],Table1[company_id],Table8[[#This Row],[COMPANY_ID]],Table1[side],"BUY")-SUMIFS(Table1[quantity],Table1[company_id],Table8[[#This Row],[COMPANY_ID]],Table1[side],"SELL")</f>
        <v>0</v>
      </c>
      <c r="R362">
        <f>Table1[[#This Row],[Column2]]-Table1[[#This Row],[Buy-sell]]</f>
        <v>231.88</v>
      </c>
      <c r="S362" t="str">
        <f>IF(Table1[[#This Row],[Sell-Buy]]&gt;0,"Profit","Loss")</f>
        <v>Profit</v>
      </c>
      <c r="AE362" s="9" t="s">
        <v>710</v>
      </c>
      <c r="AF362" s="10" t="str">
        <f>IF(Table1[[#This Row],[Sell-Buy]]&gt;0,"Profit","Loss")</f>
        <v>Profit</v>
      </c>
      <c r="AG362">
        <f>Table1[[#This Row],[Column2]]-Table1[[#This Row],[Buy-sell]]</f>
        <v>231.88</v>
      </c>
    </row>
    <row r="363" spans="1:33" x14ac:dyDescent="0.3">
      <c r="A363" t="s">
        <v>1144</v>
      </c>
      <c r="B363" t="s">
        <v>239</v>
      </c>
      <c r="C363" s="1">
        <v>45832.039583333331</v>
      </c>
      <c r="D363" t="s">
        <v>26</v>
      </c>
      <c r="E363" t="s">
        <v>171</v>
      </c>
      <c r="F363">
        <v>713</v>
      </c>
      <c r="G363">
        <v>215.63</v>
      </c>
      <c r="H363">
        <v>76.87</v>
      </c>
      <c r="I363" t="s">
        <v>100</v>
      </c>
      <c r="J363" t="s">
        <v>64</v>
      </c>
      <c r="L363" s="1">
        <v>45799</v>
      </c>
      <c r="N363">
        <f>IF(Table1[[#This Row],[side]]="BUY", Table1[[#This Row],[quantity]],-Table1[[#This Row],[quantity]])</f>
        <v>-713</v>
      </c>
      <c r="O363" t="s">
        <v>171</v>
      </c>
      <c r="P363">
        <f>IF(Table1[[#This Row],[side]]="Sell",Table1[[#This Row],[price]],"0")</f>
        <v>215.63</v>
      </c>
      <c r="Q363">
        <f>SUMIFS(Table1[quantity],Table1[company_id],Table8[[#This Row],[COMPANY_ID]],Table1[side],"BUY")-SUMIFS(Table1[quantity],Table1[company_id],Table8[[#This Row],[COMPANY_ID]],Table1[side],"SELL")</f>
        <v>0</v>
      </c>
      <c r="R363">
        <f>Table1[[#This Row],[Column2]]-Table1[[#This Row],[Buy-sell]]</f>
        <v>215.63</v>
      </c>
      <c r="S363" t="str">
        <f>IF(Table1[[#This Row],[Sell-Buy]]&gt;0,"Profit","Loss")</f>
        <v>Profit</v>
      </c>
      <c r="AE363" s="10" t="s">
        <v>918</v>
      </c>
      <c r="AF363" s="10" t="str">
        <f>IF(Table1[[#This Row],[Sell-Buy]]&gt;0,"Profit","Loss")</f>
        <v>Profit</v>
      </c>
      <c r="AG363">
        <f>Table1[[#This Row],[Column2]]-Table1[[#This Row],[Buy-sell]]</f>
        <v>215.63</v>
      </c>
    </row>
    <row r="364" spans="1:33" x14ac:dyDescent="0.3">
      <c r="A364" t="s">
        <v>1147</v>
      </c>
      <c r="B364" t="s">
        <v>404</v>
      </c>
      <c r="C364" s="1">
        <v>45769.037499999999</v>
      </c>
      <c r="D364" t="s">
        <v>26</v>
      </c>
      <c r="E364" t="s">
        <v>171</v>
      </c>
      <c r="F364">
        <v>656</v>
      </c>
      <c r="G364">
        <v>246.17</v>
      </c>
      <c r="H364">
        <v>80.739999999999995</v>
      </c>
      <c r="I364" t="s">
        <v>140</v>
      </c>
      <c r="J364" t="s">
        <v>58</v>
      </c>
      <c r="L364" s="1">
        <v>45750</v>
      </c>
      <c r="N364">
        <f>IF(Table1[[#This Row],[side]]="BUY", Table1[[#This Row],[quantity]],-Table1[[#This Row],[quantity]])</f>
        <v>-656</v>
      </c>
      <c r="O364" t="s">
        <v>171</v>
      </c>
      <c r="P364">
        <f>IF(Table1[[#This Row],[side]]="Sell",Table1[[#This Row],[price]],"0")</f>
        <v>246.17</v>
      </c>
      <c r="Q364">
        <f>SUMIFS(Table1[quantity],Table1[company_id],Table8[[#This Row],[COMPANY_ID]],Table1[side],"BUY")-SUMIFS(Table1[quantity],Table1[company_id],Table8[[#This Row],[COMPANY_ID]],Table1[side],"SELL")</f>
        <v>0</v>
      </c>
      <c r="R364">
        <f>Table1[[#This Row],[Column2]]-Table1[[#This Row],[Buy-sell]]</f>
        <v>246.17</v>
      </c>
      <c r="S364" t="str">
        <f>IF(Table1[[#This Row],[Sell-Buy]]&gt;0,"Profit","Loss")</f>
        <v>Profit</v>
      </c>
      <c r="AE364" s="9" t="s">
        <v>941</v>
      </c>
      <c r="AF364" s="10" t="str">
        <f>IF(Table1[[#This Row],[Sell-Buy]]&gt;0,"Profit","Loss")</f>
        <v>Profit</v>
      </c>
      <c r="AG364">
        <f>Table1[[#This Row],[Column2]]-Table1[[#This Row],[Buy-sell]]</f>
        <v>246.17</v>
      </c>
    </row>
    <row r="365" spans="1:33" x14ac:dyDescent="0.3">
      <c r="A365" t="s">
        <v>1161</v>
      </c>
      <c r="B365" t="s">
        <v>302</v>
      </c>
      <c r="C365" s="1">
        <v>45750.003472222219</v>
      </c>
      <c r="D365" t="s">
        <v>26</v>
      </c>
      <c r="E365" t="s">
        <v>171</v>
      </c>
      <c r="F365">
        <v>814</v>
      </c>
      <c r="G365">
        <v>235.57</v>
      </c>
      <c r="H365">
        <v>95.88</v>
      </c>
      <c r="I365" t="s">
        <v>130</v>
      </c>
      <c r="J365" t="s">
        <v>73</v>
      </c>
      <c r="L365" s="1">
        <v>45769</v>
      </c>
      <c r="N365">
        <f>IF(Table1[[#This Row],[side]]="BUY", Table1[[#This Row],[quantity]],-Table1[[#This Row],[quantity]])</f>
        <v>-814</v>
      </c>
      <c r="O365" t="s">
        <v>171</v>
      </c>
      <c r="P365">
        <f>IF(Table1[[#This Row],[side]]="Sell",Table1[[#This Row],[price]],"0")</f>
        <v>235.57</v>
      </c>
      <c r="Q365">
        <f>SUMIFS(Table1[quantity],Table1[company_id],Table8[[#This Row],[COMPANY_ID]],Table1[side],"BUY")-SUMIFS(Table1[quantity],Table1[company_id],Table8[[#This Row],[COMPANY_ID]],Table1[side],"SELL")</f>
        <v>0</v>
      </c>
      <c r="R365">
        <f>Table1[[#This Row],[Column2]]-Table1[[#This Row],[Buy-sell]]</f>
        <v>235.57</v>
      </c>
      <c r="S365" t="str">
        <f>IF(Table1[[#This Row],[Sell-Buy]]&gt;0,"Profit","Loss")</f>
        <v>Profit</v>
      </c>
      <c r="AE365" s="10" t="s">
        <v>682</v>
      </c>
      <c r="AF365" s="10" t="str">
        <f>IF(Table1[[#This Row],[Sell-Buy]]&gt;0,"Profit","Loss")</f>
        <v>Profit</v>
      </c>
      <c r="AG365">
        <f>Table1[[#This Row],[Column2]]-Table1[[#This Row],[Buy-sell]]</f>
        <v>235.57</v>
      </c>
    </row>
    <row r="366" spans="1:33" x14ac:dyDescent="0.3">
      <c r="A366" t="s">
        <v>693</v>
      </c>
      <c r="B366" t="s">
        <v>318</v>
      </c>
      <c r="C366" s="1">
        <v>45712.040277777778</v>
      </c>
      <c r="D366" t="s">
        <v>29</v>
      </c>
      <c r="E366" t="s">
        <v>171</v>
      </c>
      <c r="F366">
        <v>444</v>
      </c>
      <c r="G366">
        <v>553.74</v>
      </c>
      <c r="H366">
        <v>122.93</v>
      </c>
      <c r="I366" t="s">
        <v>134</v>
      </c>
      <c r="J366" t="s">
        <v>70</v>
      </c>
      <c r="L366" s="1">
        <v>45694</v>
      </c>
      <c r="N366">
        <f>IF(Table1[[#This Row],[side]]="BUY", Table1[[#This Row],[quantity]],-Table1[[#This Row],[quantity]])</f>
        <v>-444</v>
      </c>
      <c r="O366" t="s">
        <v>171</v>
      </c>
      <c r="P366">
        <f>IF(Table1[[#This Row],[side]]="Sell",Table1[[#This Row],[price]],"0")</f>
        <v>553.74</v>
      </c>
      <c r="Q366">
        <f>SUMIFS(Table1[quantity],Table1[company_id],Table8[[#This Row],[COMPANY_ID]],Table1[side],"BUY")-SUMIFS(Table1[quantity],Table1[company_id],Table8[[#This Row],[COMPANY_ID]],Table1[side],"SELL")</f>
        <v>0</v>
      </c>
      <c r="R366">
        <f>Table1[[#This Row],[Column2]]-Table1[[#This Row],[Buy-sell]]</f>
        <v>553.74</v>
      </c>
      <c r="S366" t="str">
        <f>IF(Table1[[#This Row],[Sell-Buy]]&gt;0,"Profit","Loss")</f>
        <v>Profit</v>
      </c>
      <c r="AE366" s="9" t="s">
        <v>861</v>
      </c>
      <c r="AF366" s="10" t="str">
        <f>IF(Table1[[#This Row],[Sell-Buy]]&gt;0,"Profit","Loss")</f>
        <v>Profit</v>
      </c>
      <c r="AG366">
        <f>Table1[[#This Row],[Column2]]-Table1[[#This Row],[Buy-sell]]</f>
        <v>553.74</v>
      </c>
    </row>
    <row r="367" spans="1:33" x14ac:dyDescent="0.3">
      <c r="A367" t="s">
        <v>696</v>
      </c>
      <c r="B367" t="s">
        <v>606</v>
      </c>
      <c r="C367" s="1">
        <v>45799.020833333336</v>
      </c>
      <c r="D367" t="s">
        <v>29</v>
      </c>
      <c r="E367" t="s">
        <v>171</v>
      </c>
      <c r="F367">
        <v>887</v>
      </c>
      <c r="G367">
        <v>597.48</v>
      </c>
      <c r="H367">
        <v>264.98</v>
      </c>
      <c r="I367" t="s">
        <v>138</v>
      </c>
      <c r="J367" t="s">
        <v>64</v>
      </c>
      <c r="L367" s="1">
        <v>45692</v>
      </c>
      <c r="N367">
        <f>IF(Table1[[#This Row],[side]]="BUY", Table1[[#This Row],[quantity]],-Table1[[#This Row],[quantity]])</f>
        <v>-887</v>
      </c>
      <c r="O367" t="s">
        <v>171</v>
      </c>
      <c r="P367">
        <f>IF(Table1[[#This Row],[side]]="Sell",Table1[[#This Row],[price]],"0")</f>
        <v>597.48</v>
      </c>
      <c r="Q367">
        <f>SUMIFS(Table1[quantity],Table1[company_id],Table8[[#This Row],[COMPANY_ID]],Table1[side],"BUY")-SUMIFS(Table1[quantity],Table1[company_id],Table8[[#This Row],[COMPANY_ID]],Table1[side],"SELL")</f>
        <v>0</v>
      </c>
      <c r="R367">
        <f>Table1[[#This Row],[Column2]]-Table1[[#This Row],[Buy-sell]]</f>
        <v>597.48</v>
      </c>
      <c r="S367" t="str">
        <f>IF(Table1[[#This Row],[Sell-Buy]]&gt;0,"Profit","Loss")</f>
        <v>Profit</v>
      </c>
      <c r="AE367" s="10" t="s">
        <v>927</v>
      </c>
      <c r="AF367" s="10" t="str">
        <f>IF(Table1[[#This Row],[Sell-Buy]]&gt;0,"Profit","Loss")</f>
        <v>Profit</v>
      </c>
      <c r="AG367">
        <f>Table1[[#This Row],[Column2]]-Table1[[#This Row],[Buy-sell]]</f>
        <v>597.48</v>
      </c>
    </row>
    <row r="368" spans="1:33" x14ac:dyDescent="0.3">
      <c r="A368" t="s">
        <v>683</v>
      </c>
      <c r="B368" t="s">
        <v>545</v>
      </c>
      <c r="C368" s="1">
        <v>45803.001388888886</v>
      </c>
      <c r="D368" t="s">
        <v>29</v>
      </c>
      <c r="E368" t="s">
        <v>166</v>
      </c>
      <c r="F368">
        <v>764</v>
      </c>
      <c r="G368">
        <v>608.33000000000004</v>
      </c>
      <c r="H368">
        <v>232.38</v>
      </c>
      <c r="I368" t="s">
        <v>91</v>
      </c>
      <c r="J368" t="s">
        <v>67</v>
      </c>
      <c r="L368" s="1">
        <v>45734</v>
      </c>
      <c r="M368" t="s">
        <v>166</v>
      </c>
      <c r="N368">
        <f>IF(Table1[[#This Row],[side]]="BUY", Table1[[#This Row],[quantity]],-Table1[[#This Row],[quantity]])</f>
        <v>764</v>
      </c>
      <c r="P368" t="str">
        <f>IF(Table1[[#This Row],[side]]="Sell",Table1[[#This Row],[price]],"0")</f>
        <v>0</v>
      </c>
      <c r="Q368">
        <f>SUMIFS(Table1[quantity],Table1[company_id],Table8[[#This Row],[COMPANY_ID]],Table1[side],"BUY")-SUMIFS(Table1[quantity],Table1[company_id],Table8[[#This Row],[COMPANY_ID]],Table1[side],"SELL")</f>
        <v>0</v>
      </c>
      <c r="R368">
        <f>Table1[[#This Row],[Column2]]-Table1[[#This Row],[Buy-sell]]</f>
        <v>0</v>
      </c>
      <c r="S368" t="str">
        <f>IF(Table1[[#This Row],[Sell-Buy]]&gt;0,"Profit","Loss")</f>
        <v>Loss</v>
      </c>
      <c r="AE368" s="9" t="s">
        <v>835</v>
      </c>
      <c r="AF368" s="10" t="str">
        <f>IF(Table1[[#This Row],[Sell-Buy]]&gt;0,"Profit","Loss")</f>
        <v>Loss</v>
      </c>
      <c r="AG368">
        <f>Table1[[#This Row],[Column2]]-Table1[[#This Row],[Buy-sell]]</f>
        <v>0</v>
      </c>
    </row>
    <row r="369" spans="1:33" x14ac:dyDescent="0.3">
      <c r="A369" t="s">
        <v>701</v>
      </c>
      <c r="B369" t="s">
        <v>350</v>
      </c>
      <c r="C369" s="1">
        <v>45799.037499999999</v>
      </c>
      <c r="D369" t="s">
        <v>29</v>
      </c>
      <c r="E369" t="s">
        <v>171</v>
      </c>
      <c r="F369">
        <v>627</v>
      </c>
      <c r="G369">
        <v>595.1</v>
      </c>
      <c r="H369">
        <v>186.56</v>
      </c>
      <c r="I369" t="s">
        <v>120</v>
      </c>
      <c r="J369" t="s">
        <v>73</v>
      </c>
      <c r="L369" s="1">
        <v>45658</v>
      </c>
      <c r="N369">
        <f>IF(Table1[[#This Row],[side]]="BUY", Table1[[#This Row],[quantity]],-Table1[[#This Row],[quantity]])</f>
        <v>-627</v>
      </c>
      <c r="O369" t="s">
        <v>171</v>
      </c>
      <c r="P369">
        <f>IF(Table1[[#This Row],[side]]="Sell",Table1[[#This Row],[price]],"0")</f>
        <v>595.1</v>
      </c>
      <c r="Q369">
        <f>SUMIFS(Table1[quantity],Table1[company_id],Table8[[#This Row],[COMPANY_ID]],Table1[side],"BUY")-SUMIFS(Table1[quantity],Table1[company_id],Table8[[#This Row],[COMPANY_ID]],Table1[side],"SELL")</f>
        <v>0</v>
      </c>
      <c r="R369">
        <f>Table1[[#This Row],[Column2]]-Table1[[#This Row],[Buy-sell]]</f>
        <v>595.1</v>
      </c>
      <c r="S369" t="str">
        <f>IF(Table1[[#This Row],[Sell-Buy]]&gt;0,"Profit","Loss")</f>
        <v>Profit</v>
      </c>
      <c r="AE369" s="10" t="s">
        <v>991</v>
      </c>
      <c r="AF369" s="10" t="str">
        <f>IF(Table1[[#This Row],[Sell-Buy]]&gt;0,"Profit","Loss")</f>
        <v>Profit</v>
      </c>
      <c r="AG369">
        <f>Table1[[#This Row],[Column2]]-Table1[[#This Row],[Buy-sell]]</f>
        <v>595.1</v>
      </c>
    </row>
    <row r="370" spans="1:33" x14ac:dyDescent="0.3">
      <c r="A370" t="s">
        <v>704</v>
      </c>
      <c r="B370" t="s">
        <v>402</v>
      </c>
      <c r="C370" s="1">
        <v>45663.03402777778</v>
      </c>
      <c r="D370" t="s">
        <v>29</v>
      </c>
      <c r="E370" t="s">
        <v>171</v>
      </c>
      <c r="F370">
        <v>922</v>
      </c>
      <c r="G370">
        <v>452.75</v>
      </c>
      <c r="H370">
        <v>208.72</v>
      </c>
      <c r="I370" t="s">
        <v>120</v>
      </c>
      <c r="J370" t="s">
        <v>58</v>
      </c>
      <c r="L370" s="1">
        <v>45784</v>
      </c>
      <c r="N370">
        <f>IF(Table1[[#This Row],[side]]="BUY", Table1[[#This Row],[quantity]],-Table1[[#This Row],[quantity]])</f>
        <v>-922</v>
      </c>
      <c r="O370" t="s">
        <v>171</v>
      </c>
      <c r="P370">
        <f>IF(Table1[[#This Row],[side]]="Sell",Table1[[#This Row],[price]],"0")</f>
        <v>452.75</v>
      </c>
      <c r="Q370">
        <f>SUMIFS(Table1[quantity],Table1[company_id],Table8[[#This Row],[COMPANY_ID]],Table1[side],"BUY")-SUMIFS(Table1[quantity],Table1[company_id],Table8[[#This Row],[COMPANY_ID]],Table1[side],"SELL")</f>
        <v>0</v>
      </c>
      <c r="R370">
        <f>Table1[[#This Row],[Column2]]-Table1[[#This Row],[Buy-sell]]</f>
        <v>452.75</v>
      </c>
      <c r="S370" t="str">
        <f>IF(Table1[[#This Row],[Sell-Buy]]&gt;0,"Profit","Loss")</f>
        <v>Profit</v>
      </c>
      <c r="AE370" s="9" t="s">
        <v>1082</v>
      </c>
      <c r="AF370" s="10" t="str">
        <f>IF(Table1[[#This Row],[Sell-Buy]]&gt;0,"Profit","Loss")</f>
        <v>Profit</v>
      </c>
      <c r="AG370">
        <f>Table1[[#This Row],[Column2]]-Table1[[#This Row],[Buy-sell]]</f>
        <v>452.75</v>
      </c>
    </row>
    <row r="371" spans="1:33" x14ac:dyDescent="0.3">
      <c r="A371" t="s">
        <v>686</v>
      </c>
      <c r="B371" t="s">
        <v>516</v>
      </c>
      <c r="C371" s="1">
        <v>45701.024305555555</v>
      </c>
      <c r="D371" t="s">
        <v>29</v>
      </c>
      <c r="E371" t="s">
        <v>166</v>
      </c>
      <c r="F371">
        <v>945</v>
      </c>
      <c r="G371">
        <v>536.45000000000005</v>
      </c>
      <c r="H371">
        <v>253.47</v>
      </c>
      <c r="I371" t="s">
        <v>146</v>
      </c>
      <c r="J371" t="s">
        <v>52</v>
      </c>
      <c r="L371" s="1">
        <v>45838</v>
      </c>
      <c r="M371" t="s">
        <v>166</v>
      </c>
      <c r="N371">
        <f>IF(Table1[[#This Row],[side]]="BUY", Table1[[#This Row],[quantity]],-Table1[[#This Row],[quantity]])</f>
        <v>945</v>
      </c>
      <c r="P371" t="str">
        <f>IF(Table1[[#This Row],[side]]="Sell",Table1[[#This Row],[price]],"0")</f>
        <v>0</v>
      </c>
      <c r="Q371">
        <f>SUMIFS(Table1[quantity],Table1[company_id],Table8[[#This Row],[COMPANY_ID]],Table1[side],"BUY")-SUMIFS(Table1[quantity],Table1[company_id],Table8[[#This Row],[COMPANY_ID]],Table1[side],"SELL")</f>
        <v>0</v>
      </c>
      <c r="R371">
        <f>Table1[[#This Row],[Column2]]-Table1[[#This Row],[Buy-sell]]</f>
        <v>0</v>
      </c>
      <c r="S371" t="str">
        <f>IF(Table1[[#This Row],[Sell-Buy]]&gt;0,"Profit","Loss")</f>
        <v>Loss</v>
      </c>
      <c r="AE371" s="10" t="s">
        <v>683</v>
      </c>
      <c r="AF371" s="10" t="str">
        <f>IF(Table1[[#This Row],[Sell-Buy]]&gt;0,"Profit","Loss")</f>
        <v>Loss</v>
      </c>
      <c r="AG371">
        <f>Table1[[#This Row],[Column2]]-Table1[[#This Row],[Buy-sell]]</f>
        <v>0</v>
      </c>
    </row>
    <row r="372" spans="1:33" x14ac:dyDescent="0.3">
      <c r="A372" t="s">
        <v>712</v>
      </c>
      <c r="B372" t="s">
        <v>333</v>
      </c>
      <c r="C372" s="1">
        <v>45820.002083333333</v>
      </c>
      <c r="D372" t="s">
        <v>29</v>
      </c>
      <c r="E372" t="s">
        <v>171</v>
      </c>
      <c r="F372">
        <v>181</v>
      </c>
      <c r="G372">
        <v>620.78</v>
      </c>
      <c r="H372">
        <v>56.18</v>
      </c>
      <c r="I372" t="s">
        <v>140</v>
      </c>
      <c r="J372" t="s">
        <v>55</v>
      </c>
      <c r="L372" s="1">
        <v>45812</v>
      </c>
      <c r="N372">
        <f>IF(Table1[[#This Row],[side]]="BUY", Table1[[#This Row],[quantity]],-Table1[[#This Row],[quantity]])</f>
        <v>-181</v>
      </c>
      <c r="O372" t="s">
        <v>171</v>
      </c>
      <c r="P372">
        <f>IF(Table1[[#This Row],[side]]="Sell",Table1[[#This Row],[price]],"0")</f>
        <v>620.78</v>
      </c>
      <c r="Q372">
        <f>SUMIFS(Table1[quantity],Table1[company_id],Table8[[#This Row],[COMPANY_ID]],Table1[side],"BUY")-SUMIFS(Table1[quantity],Table1[company_id],Table8[[#This Row],[COMPANY_ID]],Table1[side],"SELL")</f>
        <v>0</v>
      </c>
      <c r="R372">
        <f>Table1[[#This Row],[Column2]]-Table1[[#This Row],[Buy-sell]]</f>
        <v>620.78</v>
      </c>
      <c r="S372" t="str">
        <f>IF(Table1[[#This Row],[Sell-Buy]]&gt;0,"Profit","Loss")</f>
        <v>Profit</v>
      </c>
      <c r="AE372" s="9" t="s">
        <v>964</v>
      </c>
      <c r="AF372" s="10" t="str">
        <f>IF(Table1[[#This Row],[Sell-Buy]]&gt;0,"Profit","Loss")</f>
        <v>Profit</v>
      </c>
      <c r="AG372">
        <f>Table1[[#This Row],[Column2]]-Table1[[#This Row],[Buy-sell]]</f>
        <v>620.78</v>
      </c>
    </row>
    <row r="373" spans="1:33" x14ac:dyDescent="0.3">
      <c r="A373" t="s">
        <v>715</v>
      </c>
      <c r="B373" t="s">
        <v>302</v>
      </c>
      <c r="C373" s="1">
        <v>45790.009722222225</v>
      </c>
      <c r="D373" t="s">
        <v>29</v>
      </c>
      <c r="E373" t="s">
        <v>171</v>
      </c>
      <c r="F373">
        <v>919</v>
      </c>
      <c r="G373">
        <v>604.14</v>
      </c>
      <c r="H373">
        <v>277.60000000000002</v>
      </c>
      <c r="I373" t="s">
        <v>134</v>
      </c>
      <c r="J373" t="s">
        <v>76</v>
      </c>
      <c r="L373" s="1">
        <v>45770</v>
      </c>
      <c r="N373">
        <f>IF(Table1[[#This Row],[side]]="BUY", Table1[[#This Row],[quantity]],-Table1[[#This Row],[quantity]])</f>
        <v>-919</v>
      </c>
      <c r="O373" t="s">
        <v>171</v>
      </c>
      <c r="P373">
        <f>IF(Table1[[#This Row],[side]]="Sell",Table1[[#This Row],[price]],"0")</f>
        <v>604.14</v>
      </c>
      <c r="Q373">
        <f>SUMIFS(Table1[quantity],Table1[company_id],Table8[[#This Row],[COMPANY_ID]],Table1[side],"BUY")-SUMIFS(Table1[quantity],Table1[company_id],Table8[[#This Row],[COMPANY_ID]],Table1[side],"SELL")</f>
        <v>0</v>
      </c>
      <c r="R373">
        <f>Table1[[#This Row],[Column2]]-Table1[[#This Row],[Buy-sell]]</f>
        <v>604.14</v>
      </c>
      <c r="S373" t="str">
        <f>IF(Table1[[#This Row],[Sell-Buy]]&gt;0,"Profit","Loss")</f>
        <v>Profit</v>
      </c>
      <c r="AE373" s="10" t="s">
        <v>1029</v>
      </c>
      <c r="AF373" s="10" t="str">
        <f>IF(Table1[[#This Row],[Sell-Buy]]&gt;0,"Profit","Loss")</f>
        <v>Profit</v>
      </c>
      <c r="AG373">
        <f>Table1[[#This Row],[Column2]]-Table1[[#This Row],[Buy-sell]]</f>
        <v>604.14</v>
      </c>
    </row>
    <row r="374" spans="1:33" x14ac:dyDescent="0.3">
      <c r="A374" t="s">
        <v>695</v>
      </c>
      <c r="B374" t="s">
        <v>195</v>
      </c>
      <c r="C374" s="1">
        <v>45757.010416666664</v>
      </c>
      <c r="D374" t="s">
        <v>29</v>
      </c>
      <c r="E374" t="s">
        <v>166</v>
      </c>
      <c r="F374">
        <v>452</v>
      </c>
      <c r="G374">
        <v>579.98</v>
      </c>
      <c r="H374">
        <v>131.08000000000001</v>
      </c>
      <c r="I374" t="s">
        <v>142</v>
      </c>
      <c r="J374" t="s">
        <v>76</v>
      </c>
      <c r="L374" s="1">
        <v>45735</v>
      </c>
      <c r="M374" t="s">
        <v>166</v>
      </c>
      <c r="N374">
        <f>IF(Table1[[#This Row],[side]]="BUY", Table1[[#This Row],[quantity]],-Table1[[#This Row],[quantity]])</f>
        <v>452</v>
      </c>
      <c r="P374" t="str">
        <f>IF(Table1[[#This Row],[side]]="Sell",Table1[[#This Row],[price]],"0")</f>
        <v>0</v>
      </c>
      <c r="Q374">
        <f>SUMIFS(Table1[quantity],Table1[company_id],Table8[[#This Row],[COMPANY_ID]],Table1[side],"BUY")-SUMIFS(Table1[quantity],Table1[company_id],Table8[[#This Row],[COMPANY_ID]],Table1[side],"SELL")</f>
        <v>0</v>
      </c>
      <c r="R374">
        <f>Table1[[#This Row],[Column2]]-Table1[[#This Row],[Buy-sell]]</f>
        <v>0</v>
      </c>
      <c r="S374" t="str">
        <f>IF(Table1[[#This Row],[Sell-Buy]]&gt;0,"Profit","Loss")</f>
        <v>Loss</v>
      </c>
      <c r="AE374" s="9" t="s">
        <v>752</v>
      </c>
      <c r="AF374" s="10" t="str">
        <f>IF(Table1[[#This Row],[Sell-Buy]]&gt;0,"Profit","Loss")</f>
        <v>Loss</v>
      </c>
      <c r="AG374">
        <f>Table1[[#This Row],[Column2]]-Table1[[#This Row],[Buy-sell]]</f>
        <v>0</v>
      </c>
    </row>
    <row r="375" spans="1:33" x14ac:dyDescent="0.3">
      <c r="A375" t="s">
        <v>700</v>
      </c>
      <c r="B375" t="s">
        <v>567</v>
      </c>
      <c r="C375" s="1">
        <v>45706.007638888892</v>
      </c>
      <c r="D375" t="s">
        <v>29</v>
      </c>
      <c r="E375" t="s">
        <v>166</v>
      </c>
      <c r="F375">
        <v>807</v>
      </c>
      <c r="G375">
        <v>544.14</v>
      </c>
      <c r="H375">
        <v>219.56</v>
      </c>
      <c r="I375" t="s">
        <v>120</v>
      </c>
      <c r="J375" t="s">
        <v>52</v>
      </c>
      <c r="L375" s="1">
        <v>45772</v>
      </c>
      <c r="M375" t="s">
        <v>166</v>
      </c>
      <c r="N375">
        <f>IF(Table1[[#This Row],[side]]="BUY", Table1[[#This Row],[quantity]],-Table1[[#This Row],[quantity]])</f>
        <v>807</v>
      </c>
      <c r="P375" t="str">
        <f>IF(Table1[[#This Row],[side]]="Sell",Table1[[#This Row],[price]],"0")</f>
        <v>0</v>
      </c>
      <c r="Q375">
        <f>SUMIFS(Table1[quantity],Table1[company_id],Table8[[#This Row],[COMPANY_ID]],Table1[side],"BUY")-SUMIFS(Table1[quantity],Table1[company_id],Table8[[#This Row],[COMPANY_ID]],Table1[side],"SELL")</f>
        <v>0</v>
      </c>
      <c r="R375">
        <f>Table1[[#This Row],[Column2]]-Table1[[#This Row],[Buy-sell]]</f>
        <v>0</v>
      </c>
      <c r="S375" t="str">
        <f>IF(Table1[[#This Row],[Sell-Buy]]&gt;0,"Profit","Loss")</f>
        <v>Loss</v>
      </c>
      <c r="AE375" s="10" t="s">
        <v>821</v>
      </c>
      <c r="AF375" s="10" t="str">
        <f>IF(Table1[[#This Row],[Sell-Buy]]&gt;0,"Profit","Loss")</f>
        <v>Loss</v>
      </c>
      <c r="AG375">
        <f>Table1[[#This Row],[Column2]]-Table1[[#This Row],[Buy-sell]]</f>
        <v>0</v>
      </c>
    </row>
    <row r="376" spans="1:33" x14ac:dyDescent="0.3">
      <c r="A376" t="s">
        <v>739</v>
      </c>
      <c r="B376" t="s">
        <v>324</v>
      </c>
      <c r="C376" s="1">
        <v>45658.004166666666</v>
      </c>
      <c r="D376" t="s">
        <v>29</v>
      </c>
      <c r="E376" t="s">
        <v>171</v>
      </c>
      <c r="F376">
        <v>162</v>
      </c>
      <c r="G376">
        <v>453.22</v>
      </c>
      <c r="H376">
        <v>36.71</v>
      </c>
      <c r="I376" t="s">
        <v>144</v>
      </c>
      <c r="J376" t="s">
        <v>64</v>
      </c>
      <c r="L376" s="1">
        <v>45806</v>
      </c>
      <c r="N376">
        <f>IF(Table1[[#This Row],[side]]="BUY", Table1[[#This Row],[quantity]],-Table1[[#This Row],[quantity]])</f>
        <v>-162</v>
      </c>
      <c r="O376" t="s">
        <v>171</v>
      </c>
      <c r="P376">
        <f>IF(Table1[[#This Row],[side]]="Sell",Table1[[#This Row],[price]],"0")</f>
        <v>453.22</v>
      </c>
      <c r="Q376">
        <f>SUMIFS(Table1[quantity],Table1[company_id],Table8[[#This Row],[COMPANY_ID]],Table1[side],"BUY")-SUMIFS(Table1[quantity],Table1[company_id],Table8[[#This Row],[COMPANY_ID]],Table1[side],"SELL")</f>
        <v>0</v>
      </c>
      <c r="R376">
        <f>Table1[[#This Row],[Column2]]-Table1[[#This Row],[Buy-sell]]</f>
        <v>453.22</v>
      </c>
      <c r="S376" t="str">
        <f>IF(Table1[[#This Row],[Sell-Buy]]&gt;0,"Profit","Loss")</f>
        <v>Profit</v>
      </c>
      <c r="AE376" s="9" t="s">
        <v>959</v>
      </c>
      <c r="AF376" s="10" t="str">
        <f>IF(Table1[[#This Row],[Sell-Buy]]&gt;0,"Profit","Loss")</f>
        <v>Profit</v>
      </c>
      <c r="AG376">
        <f>Table1[[#This Row],[Column2]]-Table1[[#This Row],[Buy-sell]]</f>
        <v>453.22</v>
      </c>
    </row>
    <row r="377" spans="1:33" x14ac:dyDescent="0.3">
      <c r="A377" t="s">
        <v>750</v>
      </c>
      <c r="B377" t="s">
        <v>176</v>
      </c>
      <c r="C377" s="1">
        <v>45827.031944444447</v>
      </c>
      <c r="D377" t="s">
        <v>29</v>
      </c>
      <c r="E377" t="s">
        <v>171</v>
      </c>
      <c r="F377">
        <v>880</v>
      </c>
      <c r="G377">
        <v>602.63</v>
      </c>
      <c r="H377">
        <v>265.16000000000003</v>
      </c>
      <c r="I377" t="s">
        <v>100</v>
      </c>
      <c r="J377" t="s">
        <v>49</v>
      </c>
      <c r="L377" s="1">
        <v>45817</v>
      </c>
      <c r="N377">
        <f>IF(Table1[[#This Row],[side]]="BUY", Table1[[#This Row],[quantity]],-Table1[[#This Row],[quantity]])</f>
        <v>-880</v>
      </c>
      <c r="O377" t="s">
        <v>171</v>
      </c>
      <c r="P377">
        <f>IF(Table1[[#This Row],[side]]="Sell",Table1[[#This Row],[price]],"0")</f>
        <v>602.63</v>
      </c>
      <c r="Q377">
        <f>SUMIFS(Table1[quantity],Table1[company_id],Table8[[#This Row],[COMPANY_ID]],Table1[side],"BUY")-SUMIFS(Table1[quantity],Table1[company_id],Table8[[#This Row],[COMPANY_ID]],Table1[side],"SELL")</f>
        <v>0</v>
      </c>
      <c r="R377">
        <f>Table1[[#This Row],[Column2]]-Table1[[#This Row],[Buy-sell]]</f>
        <v>602.63</v>
      </c>
      <c r="S377" t="str">
        <f>IF(Table1[[#This Row],[Sell-Buy]]&gt;0,"Profit","Loss")</f>
        <v>Profit</v>
      </c>
      <c r="AE377" s="10" t="s">
        <v>1059</v>
      </c>
      <c r="AF377" s="10" t="str">
        <f>IF(Table1[[#This Row],[Sell-Buy]]&gt;0,"Profit","Loss")</f>
        <v>Profit</v>
      </c>
      <c r="AG377">
        <f>Table1[[#This Row],[Column2]]-Table1[[#This Row],[Buy-sell]]</f>
        <v>602.63</v>
      </c>
    </row>
    <row r="378" spans="1:33" x14ac:dyDescent="0.3">
      <c r="A378" t="s">
        <v>760</v>
      </c>
      <c r="B378" t="s">
        <v>380</v>
      </c>
      <c r="C378" s="1">
        <v>45834.025000000001</v>
      </c>
      <c r="D378" t="s">
        <v>29</v>
      </c>
      <c r="E378" t="s">
        <v>171</v>
      </c>
      <c r="F378">
        <v>218</v>
      </c>
      <c r="G378">
        <v>588.46</v>
      </c>
      <c r="H378">
        <v>64.14</v>
      </c>
      <c r="I378" t="s">
        <v>88</v>
      </c>
      <c r="J378" t="s">
        <v>55</v>
      </c>
      <c r="L378" s="1">
        <v>45659</v>
      </c>
      <c r="N378">
        <f>IF(Table1[[#This Row],[side]]="BUY", Table1[[#This Row],[quantity]],-Table1[[#This Row],[quantity]])</f>
        <v>-218</v>
      </c>
      <c r="O378" t="s">
        <v>171</v>
      </c>
      <c r="P378">
        <f>IF(Table1[[#This Row],[side]]="Sell",Table1[[#This Row],[price]],"0")</f>
        <v>588.46</v>
      </c>
      <c r="Q378">
        <f>SUMIFS(Table1[quantity],Table1[company_id],Table8[[#This Row],[COMPANY_ID]],Table1[side],"BUY")-SUMIFS(Table1[quantity],Table1[company_id],Table8[[#This Row],[COMPANY_ID]],Table1[side],"SELL")</f>
        <v>0</v>
      </c>
      <c r="R378">
        <f>Table1[[#This Row],[Column2]]-Table1[[#This Row],[Buy-sell]]</f>
        <v>588.46</v>
      </c>
      <c r="S378" t="str">
        <f>IF(Table1[[#This Row],[Sell-Buy]]&gt;0,"Profit","Loss")</f>
        <v>Profit</v>
      </c>
      <c r="AE378" s="9" t="s">
        <v>773</v>
      </c>
      <c r="AF378" s="10" t="str">
        <f>IF(Table1[[#This Row],[Sell-Buy]]&gt;0,"Profit","Loss")</f>
        <v>Profit</v>
      </c>
      <c r="AG378">
        <f>Table1[[#This Row],[Column2]]-Table1[[#This Row],[Buy-sell]]</f>
        <v>588.46</v>
      </c>
    </row>
    <row r="379" spans="1:33" x14ac:dyDescent="0.3">
      <c r="A379" t="s">
        <v>774</v>
      </c>
      <c r="B379" t="s">
        <v>303</v>
      </c>
      <c r="C379" s="1">
        <v>45737.035416666666</v>
      </c>
      <c r="D379" t="s">
        <v>29</v>
      </c>
      <c r="E379" t="s">
        <v>171</v>
      </c>
      <c r="F379">
        <v>717</v>
      </c>
      <c r="G379">
        <v>584.75</v>
      </c>
      <c r="H379">
        <v>209.63</v>
      </c>
      <c r="I379" t="s">
        <v>120</v>
      </c>
      <c r="J379" t="s">
        <v>61</v>
      </c>
      <c r="L379" s="1">
        <v>45834</v>
      </c>
      <c r="N379">
        <f>IF(Table1[[#This Row],[side]]="BUY", Table1[[#This Row],[quantity]],-Table1[[#This Row],[quantity]])</f>
        <v>-717</v>
      </c>
      <c r="O379" t="s">
        <v>171</v>
      </c>
      <c r="P379">
        <f>IF(Table1[[#This Row],[side]]="Sell",Table1[[#This Row],[price]],"0")</f>
        <v>584.75</v>
      </c>
      <c r="Q379">
        <f>SUMIFS(Table1[quantity],Table1[company_id],Table8[[#This Row],[COMPANY_ID]],Table1[side],"BUY")-SUMIFS(Table1[quantity],Table1[company_id],Table8[[#This Row],[COMPANY_ID]],Table1[side],"SELL")</f>
        <v>0</v>
      </c>
      <c r="R379">
        <f>Table1[[#This Row],[Column2]]-Table1[[#This Row],[Buy-sell]]</f>
        <v>584.75</v>
      </c>
      <c r="S379" t="str">
        <f>IF(Table1[[#This Row],[Sell-Buy]]&gt;0,"Profit","Loss")</f>
        <v>Profit</v>
      </c>
      <c r="AE379" s="10" t="s">
        <v>887</v>
      </c>
      <c r="AF379" s="10" t="str">
        <f>IF(Table1[[#This Row],[Sell-Buy]]&gt;0,"Profit","Loss")</f>
        <v>Profit</v>
      </c>
      <c r="AG379">
        <f>Table1[[#This Row],[Column2]]-Table1[[#This Row],[Buy-sell]]</f>
        <v>584.75</v>
      </c>
    </row>
    <row r="380" spans="1:33" x14ac:dyDescent="0.3">
      <c r="A380" t="s">
        <v>796</v>
      </c>
      <c r="B380" t="s">
        <v>479</v>
      </c>
      <c r="C380" s="1">
        <v>45677.004861111112</v>
      </c>
      <c r="D380" t="s">
        <v>29</v>
      </c>
      <c r="E380" t="s">
        <v>171</v>
      </c>
      <c r="F380">
        <v>442</v>
      </c>
      <c r="G380">
        <v>486.92</v>
      </c>
      <c r="H380">
        <v>107.61</v>
      </c>
      <c r="I380" t="s">
        <v>120</v>
      </c>
      <c r="J380" t="s">
        <v>67</v>
      </c>
      <c r="L380" s="1">
        <v>45748</v>
      </c>
      <c r="N380">
        <f>IF(Table1[[#This Row],[side]]="BUY", Table1[[#This Row],[quantity]],-Table1[[#This Row],[quantity]])</f>
        <v>-442</v>
      </c>
      <c r="O380" t="s">
        <v>171</v>
      </c>
      <c r="P380">
        <f>IF(Table1[[#This Row],[side]]="Sell",Table1[[#This Row],[price]],"0")</f>
        <v>486.92</v>
      </c>
      <c r="Q380">
        <f>SUMIFS(Table1[quantity],Table1[company_id],Table8[[#This Row],[COMPANY_ID]],Table1[side],"BUY")-SUMIFS(Table1[quantity],Table1[company_id],Table8[[#This Row],[COMPANY_ID]],Table1[side],"SELL")</f>
        <v>0</v>
      </c>
      <c r="R380">
        <f>Table1[[#This Row],[Column2]]-Table1[[#This Row],[Buy-sell]]</f>
        <v>486.92</v>
      </c>
      <c r="S380" t="str">
        <f>IF(Table1[[#This Row],[Sell-Buy]]&gt;0,"Profit","Loss")</f>
        <v>Profit</v>
      </c>
      <c r="AE380" s="9" t="s">
        <v>1014</v>
      </c>
      <c r="AF380" s="10" t="str">
        <f>IF(Table1[[#This Row],[Sell-Buy]]&gt;0,"Profit","Loss")</f>
        <v>Profit</v>
      </c>
      <c r="AG380">
        <f>Table1[[#This Row],[Column2]]-Table1[[#This Row],[Buy-sell]]</f>
        <v>486.92</v>
      </c>
    </row>
    <row r="381" spans="1:33" x14ac:dyDescent="0.3">
      <c r="A381" t="s">
        <v>749</v>
      </c>
      <c r="B381" t="s">
        <v>222</v>
      </c>
      <c r="C381" s="1">
        <v>45700.025694444441</v>
      </c>
      <c r="D381" t="s">
        <v>29</v>
      </c>
      <c r="E381" t="s">
        <v>166</v>
      </c>
      <c r="F381">
        <v>443</v>
      </c>
      <c r="G381">
        <v>541.88</v>
      </c>
      <c r="H381">
        <v>120.03</v>
      </c>
      <c r="I381" t="s">
        <v>116</v>
      </c>
      <c r="J381" t="s">
        <v>70</v>
      </c>
      <c r="L381" s="1">
        <v>45667</v>
      </c>
      <c r="M381" t="s">
        <v>166</v>
      </c>
      <c r="N381">
        <f>IF(Table1[[#This Row],[side]]="BUY", Table1[[#This Row],[quantity]],-Table1[[#This Row],[quantity]])</f>
        <v>443</v>
      </c>
      <c r="P381" t="str">
        <f>IF(Table1[[#This Row],[side]]="Sell",Table1[[#This Row],[price]],"0")</f>
        <v>0</v>
      </c>
      <c r="Q381">
        <f>SUMIFS(Table1[quantity],Table1[company_id],Table8[[#This Row],[COMPANY_ID]],Table1[side],"BUY")-SUMIFS(Table1[quantity],Table1[company_id],Table8[[#This Row],[COMPANY_ID]],Table1[side],"SELL")</f>
        <v>0</v>
      </c>
      <c r="R381">
        <f>Table1[[#This Row],[Column2]]-Table1[[#This Row],[Buy-sell]]</f>
        <v>0</v>
      </c>
      <c r="S381" t="str">
        <f>IF(Table1[[#This Row],[Sell-Buy]]&gt;0,"Profit","Loss")</f>
        <v>Loss</v>
      </c>
      <c r="AE381" s="10" t="s">
        <v>932</v>
      </c>
      <c r="AF381" s="10" t="str">
        <f>IF(Table1[[#This Row],[Sell-Buy]]&gt;0,"Profit","Loss")</f>
        <v>Loss</v>
      </c>
      <c r="AG381">
        <f>Table1[[#This Row],[Column2]]-Table1[[#This Row],[Buy-sell]]</f>
        <v>0</v>
      </c>
    </row>
    <row r="382" spans="1:33" x14ac:dyDescent="0.3">
      <c r="A382" t="s">
        <v>817</v>
      </c>
      <c r="B382" t="s">
        <v>270</v>
      </c>
      <c r="C382" s="1">
        <v>45761.004166666666</v>
      </c>
      <c r="D382" t="s">
        <v>29</v>
      </c>
      <c r="E382" t="s">
        <v>171</v>
      </c>
      <c r="F382">
        <v>384</v>
      </c>
      <c r="G382">
        <v>568.88</v>
      </c>
      <c r="H382">
        <v>109.22</v>
      </c>
      <c r="I382" t="s">
        <v>140</v>
      </c>
      <c r="J382" t="s">
        <v>55</v>
      </c>
      <c r="L382" s="1">
        <v>45736</v>
      </c>
      <c r="N382">
        <f>IF(Table1[[#This Row],[side]]="BUY", Table1[[#This Row],[quantity]],-Table1[[#This Row],[quantity]])</f>
        <v>-384</v>
      </c>
      <c r="O382" t="s">
        <v>171</v>
      </c>
      <c r="P382">
        <f>IF(Table1[[#This Row],[side]]="Sell",Table1[[#This Row],[price]],"0")</f>
        <v>568.88</v>
      </c>
      <c r="Q382">
        <f>SUMIFS(Table1[quantity],Table1[company_id],Table8[[#This Row],[COMPANY_ID]],Table1[side],"BUY")-SUMIFS(Table1[quantity],Table1[company_id],Table8[[#This Row],[COMPANY_ID]],Table1[side],"SELL")</f>
        <v>0</v>
      </c>
      <c r="R382">
        <f>Table1[[#This Row],[Column2]]-Table1[[#This Row],[Buy-sell]]</f>
        <v>568.88</v>
      </c>
      <c r="S382" t="str">
        <f>IF(Table1[[#This Row],[Sell-Buy]]&gt;0,"Profit","Loss")</f>
        <v>Profit</v>
      </c>
      <c r="AE382" s="9" t="s">
        <v>1016</v>
      </c>
      <c r="AF382" s="10" t="str">
        <f>IF(Table1[[#This Row],[Sell-Buy]]&gt;0,"Profit","Loss")</f>
        <v>Profit</v>
      </c>
      <c r="AG382">
        <f>Table1[[#This Row],[Column2]]-Table1[[#This Row],[Buy-sell]]</f>
        <v>568.88</v>
      </c>
    </row>
    <row r="383" spans="1:33" x14ac:dyDescent="0.3">
      <c r="A383" t="s">
        <v>819</v>
      </c>
      <c r="B383" t="s">
        <v>511</v>
      </c>
      <c r="C383" s="1">
        <v>45736.027777777781</v>
      </c>
      <c r="D383" t="s">
        <v>29</v>
      </c>
      <c r="E383" t="s">
        <v>171</v>
      </c>
      <c r="F383">
        <v>765</v>
      </c>
      <c r="G383">
        <v>588.69000000000005</v>
      </c>
      <c r="H383">
        <v>225.17</v>
      </c>
      <c r="I383" t="s">
        <v>116</v>
      </c>
      <c r="J383" t="s">
        <v>67</v>
      </c>
      <c r="L383" s="1">
        <v>45744</v>
      </c>
      <c r="N383">
        <f>IF(Table1[[#This Row],[side]]="BUY", Table1[[#This Row],[quantity]],-Table1[[#This Row],[quantity]])</f>
        <v>-765</v>
      </c>
      <c r="O383" t="s">
        <v>171</v>
      </c>
      <c r="P383">
        <f>IF(Table1[[#This Row],[side]]="Sell",Table1[[#This Row],[price]],"0")</f>
        <v>588.69000000000005</v>
      </c>
      <c r="Q383">
        <f>SUMIFS(Table1[quantity],Table1[company_id],Table8[[#This Row],[COMPANY_ID]],Table1[side],"BUY")-SUMIFS(Table1[quantity],Table1[company_id],Table8[[#This Row],[COMPANY_ID]],Table1[side],"SELL")</f>
        <v>0</v>
      </c>
      <c r="R383">
        <f>Table1[[#This Row],[Column2]]-Table1[[#This Row],[Buy-sell]]</f>
        <v>588.69000000000005</v>
      </c>
      <c r="S383" t="str">
        <f>IF(Table1[[#This Row],[Sell-Buy]]&gt;0,"Profit","Loss")</f>
        <v>Profit</v>
      </c>
      <c r="AE383" s="10" t="s">
        <v>726</v>
      </c>
      <c r="AF383" s="10" t="str">
        <f>IF(Table1[[#This Row],[Sell-Buy]]&gt;0,"Profit","Loss")</f>
        <v>Profit</v>
      </c>
      <c r="AG383">
        <f>Table1[[#This Row],[Column2]]-Table1[[#This Row],[Buy-sell]]</f>
        <v>588.69000000000005</v>
      </c>
    </row>
    <row r="384" spans="1:33" x14ac:dyDescent="0.3">
      <c r="A384" t="s">
        <v>821</v>
      </c>
      <c r="B384" t="s">
        <v>549</v>
      </c>
      <c r="C384" s="1">
        <v>45702.03402777778</v>
      </c>
      <c r="D384" t="s">
        <v>29</v>
      </c>
      <c r="E384" t="s">
        <v>171</v>
      </c>
      <c r="F384">
        <v>222</v>
      </c>
      <c r="G384">
        <v>540.85</v>
      </c>
      <c r="H384">
        <v>60.03</v>
      </c>
      <c r="I384" t="s">
        <v>118</v>
      </c>
      <c r="J384" t="s">
        <v>76</v>
      </c>
      <c r="L384" s="1">
        <v>45772</v>
      </c>
      <c r="N384">
        <f>IF(Table1[[#This Row],[side]]="BUY", Table1[[#This Row],[quantity]],-Table1[[#This Row],[quantity]])</f>
        <v>-222</v>
      </c>
      <c r="O384" t="s">
        <v>171</v>
      </c>
      <c r="P384">
        <f>IF(Table1[[#This Row],[side]]="Sell",Table1[[#This Row],[price]],"0")</f>
        <v>540.85</v>
      </c>
      <c r="Q384">
        <f>SUMIFS(Table1[quantity],Table1[company_id],Table8[[#This Row],[COMPANY_ID]],Table1[side],"BUY")-SUMIFS(Table1[quantity],Table1[company_id],Table8[[#This Row],[COMPANY_ID]],Table1[side],"SELL")</f>
        <v>0</v>
      </c>
      <c r="R384">
        <f>Table1[[#This Row],[Column2]]-Table1[[#This Row],[Buy-sell]]</f>
        <v>540.85</v>
      </c>
      <c r="S384" t="str">
        <f>IF(Table1[[#This Row],[Sell-Buy]]&gt;0,"Profit","Loss")</f>
        <v>Profit</v>
      </c>
      <c r="AE384" s="9" t="s">
        <v>945</v>
      </c>
      <c r="AF384" s="10" t="str">
        <f>IF(Table1[[#This Row],[Sell-Buy]]&gt;0,"Profit","Loss")</f>
        <v>Profit</v>
      </c>
      <c r="AG384">
        <f>Table1[[#This Row],[Column2]]-Table1[[#This Row],[Buy-sell]]</f>
        <v>540.85</v>
      </c>
    </row>
    <row r="385" spans="1:33" x14ac:dyDescent="0.3">
      <c r="A385" t="s">
        <v>852</v>
      </c>
      <c r="B385" t="s">
        <v>245</v>
      </c>
      <c r="C385" s="1">
        <v>45671.039583333331</v>
      </c>
      <c r="D385" t="s">
        <v>29</v>
      </c>
      <c r="E385" t="s">
        <v>171</v>
      </c>
      <c r="F385">
        <v>104</v>
      </c>
      <c r="G385">
        <v>495.01</v>
      </c>
      <c r="H385">
        <v>25.74</v>
      </c>
      <c r="I385" t="s">
        <v>110</v>
      </c>
      <c r="J385" t="s">
        <v>49</v>
      </c>
      <c r="L385" s="1">
        <v>45681</v>
      </c>
      <c r="N385">
        <f>IF(Table1[[#This Row],[side]]="BUY", Table1[[#This Row],[quantity]],-Table1[[#This Row],[quantity]])</f>
        <v>-104</v>
      </c>
      <c r="O385" t="s">
        <v>171</v>
      </c>
      <c r="P385">
        <f>IF(Table1[[#This Row],[side]]="Sell",Table1[[#This Row],[price]],"0")</f>
        <v>495.01</v>
      </c>
      <c r="Q385">
        <f>SUMIFS(Table1[quantity],Table1[company_id],Table8[[#This Row],[COMPANY_ID]],Table1[side],"BUY")-SUMIFS(Table1[quantity],Table1[company_id],Table8[[#This Row],[COMPANY_ID]],Table1[side],"SELL")</f>
        <v>0</v>
      </c>
      <c r="R385">
        <f>Table1[[#This Row],[Column2]]-Table1[[#This Row],[Buy-sell]]</f>
        <v>495.01</v>
      </c>
      <c r="S385" t="str">
        <f>IF(Table1[[#This Row],[Sell-Buy]]&gt;0,"Profit","Loss")</f>
        <v>Profit</v>
      </c>
      <c r="AE385" s="10" t="s">
        <v>784</v>
      </c>
      <c r="AF385" s="10" t="str">
        <f>IF(Table1[[#This Row],[Sell-Buy]]&gt;0,"Profit","Loss")</f>
        <v>Profit</v>
      </c>
      <c r="AG385">
        <f>Table1[[#This Row],[Column2]]-Table1[[#This Row],[Buy-sell]]</f>
        <v>495.01</v>
      </c>
    </row>
    <row r="386" spans="1:33" x14ac:dyDescent="0.3">
      <c r="A386" t="s">
        <v>777</v>
      </c>
      <c r="B386" t="s">
        <v>640</v>
      </c>
      <c r="C386" s="1">
        <v>45691.012499999997</v>
      </c>
      <c r="D386" t="s">
        <v>29</v>
      </c>
      <c r="E386" t="s">
        <v>166</v>
      </c>
      <c r="F386">
        <v>393</v>
      </c>
      <c r="G386">
        <v>508.59</v>
      </c>
      <c r="H386">
        <v>99.94</v>
      </c>
      <c r="I386" t="s">
        <v>138</v>
      </c>
      <c r="J386" t="s">
        <v>73</v>
      </c>
      <c r="L386" s="1">
        <v>45705</v>
      </c>
      <c r="M386" t="s">
        <v>166</v>
      </c>
      <c r="N386">
        <f>IF(Table1[[#This Row],[side]]="BUY", Table1[[#This Row],[quantity]],-Table1[[#This Row],[quantity]])</f>
        <v>393</v>
      </c>
      <c r="P386" t="str">
        <f>IF(Table1[[#This Row],[side]]="Sell",Table1[[#This Row],[price]],"0")</f>
        <v>0</v>
      </c>
      <c r="Q386">
        <f>SUMIFS(Table1[quantity],Table1[company_id],Table8[[#This Row],[COMPANY_ID]],Table1[side],"BUY")-SUMIFS(Table1[quantity],Table1[company_id],Table8[[#This Row],[COMPANY_ID]],Table1[side],"SELL")</f>
        <v>0</v>
      </c>
      <c r="R386">
        <f>Table1[[#This Row],[Column2]]-Table1[[#This Row],[Buy-sell]]</f>
        <v>0</v>
      </c>
      <c r="S386" t="str">
        <f>IF(Table1[[#This Row],[Sell-Buy]]&gt;0,"Profit","Loss")</f>
        <v>Loss</v>
      </c>
      <c r="AE386" s="9" t="s">
        <v>994</v>
      </c>
      <c r="AF386" s="10" t="str">
        <f>IF(Table1[[#This Row],[Sell-Buy]]&gt;0,"Profit","Loss")</f>
        <v>Loss</v>
      </c>
      <c r="AG386">
        <f>Table1[[#This Row],[Column2]]-Table1[[#This Row],[Buy-sell]]</f>
        <v>0</v>
      </c>
    </row>
    <row r="387" spans="1:33" x14ac:dyDescent="0.3">
      <c r="A387" t="s">
        <v>788</v>
      </c>
      <c r="B387" t="s">
        <v>394</v>
      </c>
      <c r="C387" s="1">
        <v>45660.018055555556</v>
      </c>
      <c r="D387" t="s">
        <v>29</v>
      </c>
      <c r="E387" t="s">
        <v>166</v>
      </c>
      <c r="F387">
        <v>323</v>
      </c>
      <c r="G387">
        <v>450.48</v>
      </c>
      <c r="H387">
        <v>72.75</v>
      </c>
      <c r="I387" t="s">
        <v>118</v>
      </c>
      <c r="J387" t="s">
        <v>49</v>
      </c>
      <c r="L387" s="1">
        <v>45706</v>
      </c>
      <c r="M387" t="s">
        <v>166</v>
      </c>
      <c r="N387">
        <f>IF(Table1[[#This Row],[side]]="BUY", Table1[[#This Row],[quantity]],-Table1[[#This Row],[quantity]])</f>
        <v>323</v>
      </c>
      <c r="P387" t="str">
        <f>IF(Table1[[#This Row],[side]]="Sell",Table1[[#This Row],[price]],"0")</f>
        <v>0</v>
      </c>
      <c r="Q387">
        <f>SUMIFS(Table1[quantity],Table1[company_id],Table8[[#This Row],[COMPANY_ID]],Table1[side],"BUY")-SUMIFS(Table1[quantity],Table1[company_id],Table8[[#This Row],[COMPANY_ID]],Table1[side],"SELL")</f>
        <v>0</v>
      </c>
      <c r="R387">
        <f>Table1[[#This Row],[Column2]]-Table1[[#This Row],[Buy-sell]]</f>
        <v>0</v>
      </c>
      <c r="S387" t="str">
        <f>IF(Table1[[#This Row],[Sell-Buy]]&gt;0,"Profit","Loss")</f>
        <v>Loss</v>
      </c>
      <c r="AE387" s="10" t="s">
        <v>1084</v>
      </c>
      <c r="AF387" s="10" t="str">
        <f>IF(Table1[[#This Row],[Sell-Buy]]&gt;0,"Profit","Loss")</f>
        <v>Loss</v>
      </c>
      <c r="AG387">
        <f>Table1[[#This Row],[Column2]]-Table1[[#This Row],[Buy-sell]]</f>
        <v>0</v>
      </c>
    </row>
    <row r="388" spans="1:33" x14ac:dyDescent="0.3">
      <c r="A388" t="s">
        <v>803</v>
      </c>
      <c r="B388" t="s">
        <v>645</v>
      </c>
      <c r="C388" s="1">
        <v>45751.011805555558</v>
      </c>
      <c r="D388" t="s">
        <v>29</v>
      </c>
      <c r="E388" t="s">
        <v>166</v>
      </c>
      <c r="F388">
        <v>774</v>
      </c>
      <c r="G388">
        <v>587.33000000000004</v>
      </c>
      <c r="H388">
        <v>227.3</v>
      </c>
      <c r="I388" t="s">
        <v>106</v>
      </c>
      <c r="J388" t="s">
        <v>52</v>
      </c>
      <c r="L388" s="1">
        <v>45835</v>
      </c>
      <c r="M388" t="s">
        <v>166</v>
      </c>
      <c r="N388">
        <f>IF(Table1[[#This Row],[side]]="BUY", Table1[[#This Row],[quantity]],-Table1[[#This Row],[quantity]])</f>
        <v>774</v>
      </c>
      <c r="P388" t="str">
        <f>IF(Table1[[#This Row],[side]]="Sell",Table1[[#This Row],[price]],"0")</f>
        <v>0</v>
      </c>
      <c r="Q388">
        <f>SUMIFS(Table1[quantity],Table1[company_id],Table8[[#This Row],[COMPANY_ID]],Table1[side],"BUY")-SUMIFS(Table1[quantity],Table1[company_id],Table8[[#This Row],[COMPANY_ID]],Table1[side],"SELL")</f>
        <v>0</v>
      </c>
      <c r="R388">
        <f>Table1[[#This Row],[Column2]]-Table1[[#This Row],[Buy-sell]]</f>
        <v>0</v>
      </c>
      <c r="S388" t="str">
        <f>IF(Table1[[#This Row],[Sell-Buy]]&gt;0,"Profit","Loss")</f>
        <v>Loss</v>
      </c>
      <c r="AE388" s="9" t="s">
        <v>679</v>
      </c>
      <c r="AF388" s="10" t="str">
        <f>IF(Table1[[#This Row],[Sell-Buy]]&gt;0,"Profit","Loss")</f>
        <v>Loss</v>
      </c>
      <c r="AG388">
        <f>Table1[[#This Row],[Column2]]-Table1[[#This Row],[Buy-sell]]</f>
        <v>0</v>
      </c>
    </row>
    <row r="389" spans="1:33" x14ac:dyDescent="0.3">
      <c r="A389" t="s">
        <v>804</v>
      </c>
      <c r="B389" t="s">
        <v>463</v>
      </c>
      <c r="C389" s="1">
        <v>45719.011111111111</v>
      </c>
      <c r="D389" t="s">
        <v>29</v>
      </c>
      <c r="E389" t="s">
        <v>166</v>
      </c>
      <c r="F389">
        <v>938</v>
      </c>
      <c r="G389">
        <v>570.05999999999995</v>
      </c>
      <c r="H389">
        <v>267.36</v>
      </c>
      <c r="I389" t="s">
        <v>112</v>
      </c>
      <c r="J389" t="s">
        <v>61</v>
      </c>
      <c r="L389" s="1">
        <v>45681</v>
      </c>
      <c r="M389" t="s">
        <v>166</v>
      </c>
      <c r="N389">
        <f>IF(Table1[[#This Row],[side]]="BUY", Table1[[#This Row],[quantity]],-Table1[[#This Row],[quantity]])</f>
        <v>938</v>
      </c>
      <c r="P389" t="str">
        <f>IF(Table1[[#This Row],[side]]="Sell",Table1[[#This Row],[price]],"0")</f>
        <v>0</v>
      </c>
      <c r="Q389">
        <f>SUMIFS(Table1[quantity],Table1[company_id],Table8[[#This Row],[COMPANY_ID]],Table1[side],"BUY")-SUMIFS(Table1[quantity],Table1[company_id],Table8[[#This Row],[COMPANY_ID]],Table1[side],"SELL")</f>
        <v>0</v>
      </c>
      <c r="R389">
        <f>Table1[[#This Row],[Column2]]-Table1[[#This Row],[Buy-sell]]</f>
        <v>0</v>
      </c>
      <c r="S389" t="str">
        <f>IF(Table1[[#This Row],[Sell-Buy]]&gt;0,"Profit","Loss")</f>
        <v>Loss</v>
      </c>
      <c r="AE389" s="10" t="s">
        <v>999</v>
      </c>
      <c r="AF389" s="10" t="str">
        <f>IF(Table1[[#This Row],[Sell-Buy]]&gt;0,"Profit","Loss")</f>
        <v>Loss</v>
      </c>
      <c r="AG389">
        <f>Table1[[#This Row],[Column2]]-Table1[[#This Row],[Buy-sell]]</f>
        <v>0</v>
      </c>
    </row>
    <row r="390" spans="1:33" x14ac:dyDescent="0.3">
      <c r="A390" t="s">
        <v>812</v>
      </c>
      <c r="B390" t="s">
        <v>496</v>
      </c>
      <c r="C390" s="1">
        <v>45818.02847222222</v>
      </c>
      <c r="D390" t="s">
        <v>29</v>
      </c>
      <c r="E390" t="s">
        <v>166</v>
      </c>
      <c r="F390">
        <v>778</v>
      </c>
      <c r="G390">
        <v>615.16999999999996</v>
      </c>
      <c r="H390">
        <v>239.3</v>
      </c>
      <c r="I390" t="s">
        <v>106</v>
      </c>
      <c r="J390" t="s">
        <v>64</v>
      </c>
      <c r="L390" s="1">
        <v>45771</v>
      </c>
      <c r="M390" t="s">
        <v>166</v>
      </c>
      <c r="N390">
        <f>IF(Table1[[#This Row],[side]]="BUY", Table1[[#This Row],[quantity]],-Table1[[#This Row],[quantity]])</f>
        <v>778</v>
      </c>
      <c r="P390" t="str">
        <f>IF(Table1[[#This Row],[side]]="Sell",Table1[[#This Row],[price]],"0")</f>
        <v>0</v>
      </c>
      <c r="Q390">
        <f>SUMIFS(Table1[quantity],Table1[company_id],Table8[[#This Row],[COMPANY_ID]],Table1[side],"BUY")-SUMIFS(Table1[quantity],Table1[company_id],Table8[[#This Row],[COMPANY_ID]],Table1[side],"SELL")</f>
        <v>0</v>
      </c>
      <c r="R390">
        <f>Table1[[#This Row],[Column2]]-Table1[[#This Row],[Buy-sell]]</f>
        <v>0</v>
      </c>
      <c r="S390" t="str">
        <f>IF(Table1[[#This Row],[Sell-Buy]]&gt;0,"Profit","Loss")</f>
        <v>Loss</v>
      </c>
      <c r="AE390" s="9" t="s">
        <v>871</v>
      </c>
      <c r="AF390" s="10" t="str">
        <f>IF(Table1[[#This Row],[Sell-Buy]]&gt;0,"Profit","Loss")</f>
        <v>Loss</v>
      </c>
      <c r="AG390">
        <f>Table1[[#This Row],[Column2]]-Table1[[#This Row],[Buy-sell]]</f>
        <v>0</v>
      </c>
    </row>
    <row r="391" spans="1:33" x14ac:dyDescent="0.3">
      <c r="A391" t="s">
        <v>833</v>
      </c>
      <c r="B391" t="s">
        <v>237</v>
      </c>
      <c r="C391" s="1">
        <v>45764.022222222222</v>
      </c>
      <c r="D391" t="s">
        <v>29</v>
      </c>
      <c r="E391" t="s">
        <v>166</v>
      </c>
      <c r="F391">
        <v>624</v>
      </c>
      <c r="G391">
        <v>580</v>
      </c>
      <c r="H391">
        <v>180.96</v>
      </c>
      <c r="I391" t="s">
        <v>112</v>
      </c>
      <c r="J391" t="s">
        <v>70</v>
      </c>
      <c r="L391" s="1">
        <v>45779</v>
      </c>
      <c r="M391" t="s">
        <v>166</v>
      </c>
      <c r="N391">
        <f>IF(Table1[[#This Row],[side]]="BUY", Table1[[#This Row],[quantity]],-Table1[[#This Row],[quantity]])</f>
        <v>624</v>
      </c>
      <c r="P391" t="str">
        <f>IF(Table1[[#This Row],[side]]="Sell",Table1[[#This Row],[price]],"0")</f>
        <v>0</v>
      </c>
      <c r="Q391">
        <f>SUMIFS(Table1[quantity],Table1[company_id],Table8[[#This Row],[COMPANY_ID]],Table1[side],"BUY")-SUMIFS(Table1[quantity],Table1[company_id],Table8[[#This Row],[COMPANY_ID]],Table1[side],"SELL")</f>
        <v>0</v>
      </c>
      <c r="R391">
        <f>Table1[[#This Row],[Column2]]-Table1[[#This Row],[Buy-sell]]</f>
        <v>0</v>
      </c>
      <c r="S391" t="str">
        <f>IF(Table1[[#This Row],[Sell-Buy]]&gt;0,"Profit","Loss")</f>
        <v>Loss</v>
      </c>
      <c r="AE391" s="10" t="s">
        <v>904</v>
      </c>
      <c r="AF391" s="10" t="str">
        <f>IF(Table1[[#This Row],[Sell-Buy]]&gt;0,"Profit","Loss")</f>
        <v>Loss</v>
      </c>
      <c r="AG391">
        <f>Table1[[#This Row],[Column2]]-Table1[[#This Row],[Buy-sell]]</f>
        <v>0</v>
      </c>
    </row>
    <row r="392" spans="1:33" x14ac:dyDescent="0.3">
      <c r="A392" t="s">
        <v>856</v>
      </c>
      <c r="B392" t="s">
        <v>310</v>
      </c>
      <c r="C392" s="1">
        <v>45818.040277777778</v>
      </c>
      <c r="D392" t="s">
        <v>29</v>
      </c>
      <c r="E392" t="s">
        <v>166</v>
      </c>
      <c r="F392">
        <v>382</v>
      </c>
      <c r="G392">
        <v>617.54999999999995</v>
      </c>
      <c r="H392">
        <v>117.95</v>
      </c>
      <c r="I392" t="s">
        <v>140</v>
      </c>
      <c r="J392" t="s">
        <v>64</v>
      </c>
      <c r="L392" s="1">
        <v>45707</v>
      </c>
      <c r="M392" t="s">
        <v>166</v>
      </c>
      <c r="N392">
        <f>IF(Table1[[#This Row],[side]]="BUY", Table1[[#This Row],[quantity]],-Table1[[#This Row],[quantity]])</f>
        <v>382</v>
      </c>
      <c r="P392" t="str">
        <f>IF(Table1[[#This Row],[side]]="Sell",Table1[[#This Row],[price]],"0")</f>
        <v>0</v>
      </c>
      <c r="Q392">
        <f>SUMIFS(Table1[quantity],Table1[company_id],Table8[[#This Row],[COMPANY_ID]],Table1[side],"BUY")-SUMIFS(Table1[quantity],Table1[company_id],Table8[[#This Row],[COMPANY_ID]],Table1[side],"SELL")</f>
        <v>0</v>
      </c>
      <c r="R392">
        <f>Table1[[#This Row],[Column2]]-Table1[[#This Row],[Buy-sell]]</f>
        <v>0</v>
      </c>
      <c r="S392" t="str">
        <f>IF(Table1[[#This Row],[Sell-Buy]]&gt;0,"Profit","Loss")</f>
        <v>Loss</v>
      </c>
      <c r="AE392" s="9" t="s">
        <v>929</v>
      </c>
      <c r="AF392" s="10" t="str">
        <f>IF(Table1[[#This Row],[Sell-Buy]]&gt;0,"Profit","Loss")</f>
        <v>Loss</v>
      </c>
      <c r="AG392">
        <f>Table1[[#This Row],[Column2]]-Table1[[#This Row],[Buy-sell]]</f>
        <v>0</v>
      </c>
    </row>
    <row r="393" spans="1:33" x14ac:dyDescent="0.3">
      <c r="A393" t="s">
        <v>860</v>
      </c>
      <c r="B393" t="s">
        <v>469</v>
      </c>
      <c r="C393" s="1">
        <v>45698.001388888886</v>
      </c>
      <c r="D393" t="s">
        <v>29</v>
      </c>
      <c r="E393" t="s">
        <v>166</v>
      </c>
      <c r="F393">
        <v>978</v>
      </c>
      <c r="G393">
        <v>528.88</v>
      </c>
      <c r="H393">
        <v>258.62</v>
      </c>
      <c r="I393" t="s">
        <v>144</v>
      </c>
      <c r="J393" t="s">
        <v>61</v>
      </c>
      <c r="L393" s="1">
        <v>45757</v>
      </c>
      <c r="M393" t="s">
        <v>166</v>
      </c>
      <c r="N393">
        <f>IF(Table1[[#This Row],[side]]="BUY", Table1[[#This Row],[quantity]],-Table1[[#This Row],[quantity]])</f>
        <v>978</v>
      </c>
      <c r="P393" t="str">
        <f>IF(Table1[[#This Row],[side]]="Sell",Table1[[#This Row],[price]],"0")</f>
        <v>0</v>
      </c>
      <c r="Q393">
        <f>SUMIFS(Table1[quantity],Table1[company_id],Table8[[#This Row],[COMPANY_ID]],Table1[side],"BUY")-SUMIFS(Table1[quantity],Table1[company_id],Table8[[#This Row],[COMPANY_ID]],Table1[side],"SELL")</f>
        <v>0</v>
      </c>
      <c r="R393">
        <f>Table1[[#This Row],[Column2]]-Table1[[#This Row],[Buy-sell]]</f>
        <v>0</v>
      </c>
      <c r="S393" t="str">
        <f>IF(Table1[[#This Row],[Sell-Buy]]&gt;0,"Profit","Loss")</f>
        <v>Loss</v>
      </c>
      <c r="AE393" s="10" t="s">
        <v>1068</v>
      </c>
      <c r="AF393" s="10" t="str">
        <f>IF(Table1[[#This Row],[Sell-Buy]]&gt;0,"Profit","Loss")</f>
        <v>Loss</v>
      </c>
      <c r="AG393">
        <f>Table1[[#This Row],[Column2]]-Table1[[#This Row],[Buy-sell]]</f>
        <v>0</v>
      </c>
    </row>
    <row r="394" spans="1:33" x14ac:dyDescent="0.3">
      <c r="A394" t="s">
        <v>873</v>
      </c>
      <c r="B394" t="s">
        <v>643</v>
      </c>
      <c r="C394" s="1">
        <v>45749.040972222225</v>
      </c>
      <c r="D394" t="s">
        <v>29</v>
      </c>
      <c r="E394" t="s">
        <v>166</v>
      </c>
      <c r="F394">
        <v>13</v>
      </c>
      <c r="G394">
        <v>582.12</v>
      </c>
      <c r="H394">
        <v>3.78</v>
      </c>
      <c r="I394" t="s">
        <v>91</v>
      </c>
      <c r="J394" t="s">
        <v>49</v>
      </c>
      <c r="L394" s="1">
        <v>45727</v>
      </c>
      <c r="M394" t="s">
        <v>166</v>
      </c>
      <c r="N394">
        <f>IF(Table1[[#This Row],[side]]="BUY", Table1[[#This Row],[quantity]],-Table1[[#This Row],[quantity]])</f>
        <v>13</v>
      </c>
      <c r="P394" t="str">
        <f>IF(Table1[[#This Row],[side]]="Sell",Table1[[#This Row],[price]],"0")</f>
        <v>0</v>
      </c>
      <c r="Q394">
        <f>SUMIFS(Table1[quantity],Table1[company_id],Table8[[#This Row],[COMPANY_ID]],Table1[side],"BUY")-SUMIFS(Table1[quantity],Table1[company_id],Table8[[#This Row],[COMPANY_ID]],Table1[side],"SELL")</f>
        <v>0</v>
      </c>
      <c r="R394">
        <f>Table1[[#This Row],[Column2]]-Table1[[#This Row],[Buy-sell]]</f>
        <v>0</v>
      </c>
      <c r="S394" t="str">
        <f>IF(Table1[[#This Row],[Sell-Buy]]&gt;0,"Profit","Loss")</f>
        <v>Loss</v>
      </c>
      <c r="AE394" s="9" t="s">
        <v>743</v>
      </c>
      <c r="AF394" s="10" t="str">
        <f>IF(Table1[[#This Row],[Sell-Buy]]&gt;0,"Profit","Loss")</f>
        <v>Loss</v>
      </c>
      <c r="AG394">
        <f>Table1[[#This Row],[Column2]]-Table1[[#This Row],[Buy-sell]]</f>
        <v>0</v>
      </c>
    </row>
    <row r="395" spans="1:33" x14ac:dyDescent="0.3">
      <c r="A395" t="s">
        <v>875</v>
      </c>
      <c r="B395" t="s">
        <v>614</v>
      </c>
      <c r="C395" s="1">
        <v>45721.017361111109</v>
      </c>
      <c r="D395" t="s">
        <v>29</v>
      </c>
      <c r="E395" t="s">
        <v>166</v>
      </c>
      <c r="F395">
        <v>855</v>
      </c>
      <c r="G395">
        <v>570.41999999999996</v>
      </c>
      <c r="H395">
        <v>243.85</v>
      </c>
      <c r="I395" t="s">
        <v>120</v>
      </c>
      <c r="J395" t="s">
        <v>49</v>
      </c>
      <c r="L395" s="1">
        <v>45784</v>
      </c>
      <c r="M395" t="s">
        <v>166</v>
      </c>
      <c r="N395">
        <f>IF(Table1[[#This Row],[side]]="BUY", Table1[[#This Row],[quantity]],-Table1[[#This Row],[quantity]])</f>
        <v>855</v>
      </c>
      <c r="P395" t="str">
        <f>IF(Table1[[#This Row],[side]]="Sell",Table1[[#This Row],[price]],"0")</f>
        <v>0</v>
      </c>
      <c r="Q395">
        <f>SUMIFS(Table1[quantity],Table1[company_id],Table8[[#This Row],[COMPANY_ID]],Table1[side],"BUY")-SUMIFS(Table1[quantity],Table1[company_id],Table8[[#This Row],[COMPANY_ID]],Table1[side],"SELL")</f>
        <v>0</v>
      </c>
      <c r="R395">
        <f>Table1[[#This Row],[Column2]]-Table1[[#This Row],[Buy-sell]]</f>
        <v>0</v>
      </c>
      <c r="S395" t="str">
        <f>IF(Table1[[#This Row],[Sell-Buy]]&gt;0,"Profit","Loss")</f>
        <v>Loss</v>
      </c>
      <c r="AE395" s="10" t="s">
        <v>779</v>
      </c>
      <c r="AF395" s="10" t="str">
        <f>IF(Table1[[#This Row],[Sell-Buy]]&gt;0,"Profit","Loss")</f>
        <v>Loss</v>
      </c>
      <c r="AG395">
        <f>Table1[[#This Row],[Column2]]-Table1[[#This Row],[Buy-sell]]</f>
        <v>0</v>
      </c>
    </row>
    <row r="396" spans="1:33" x14ac:dyDescent="0.3">
      <c r="A396" t="s">
        <v>878</v>
      </c>
      <c r="B396" t="s">
        <v>436</v>
      </c>
      <c r="C396" s="1">
        <v>45800.004861111112</v>
      </c>
      <c r="D396" t="s">
        <v>29</v>
      </c>
      <c r="E396" t="s">
        <v>166</v>
      </c>
      <c r="F396">
        <v>560</v>
      </c>
      <c r="G396">
        <v>602.85</v>
      </c>
      <c r="H396">
        <v>168.8</v>
      </c>
      <c r="I396" t="s">
        <v>136</v>
      </c>
      <c r="J396" t="s">
        <v>61</v>
      </c>
      <c r="L396" s="1">
        <v>45819</v>
      </c>
      <c r="M396" t="s">
        <v>166</v>
      </c>
      <c r="N396">
        <f>IF(Table1[[#This Row],[side]]="BUY", Table1[[#This Row],[quantity]],-Table1[[#This Row],[quantity]])</f>
        <v>560</v>
      </c>
      <c r="P396" t="str">
        <f>IF(Table1[[#This Row],[side]]="Sell",Table1[[#This Row],[price]],"0")</f>
        <v>0</v>
      </c>
      <c r="Q396">
        <f>SUMIFS(Table1[quantity],Table1[company_id],Table8[[#This Row],[COMPANY_ID]],Table1[side],"BUY")-SUMIFS(Table1[quantity],Table1[company_id],Table8[[#This Row],[COMPANY_ID]],Table1[side],"SELL")</f>
        <v>0</v>
      </c>
      <c r="R396">
        <f>Table1[[#This Row],[Column2]]-Table1[[#This Row],[Buy-sell]]</f>
        <v>0</v>
      </c>
      <c r="S396" t="str">
        <f>IF(Table1[[#This Row],[Sell-Buy]]&gt;0,"Profit","Loss")</f>
        <v>Loss</v>
      </c>
      <c r="AE396" s="9" t="s">
        <v>755</v>
      </c>
      <c r="AF396" s="10" t="str">
        <f>IF(Table1[[#This Row],[Sell-Buy]]&gt;0,"Profit","Loss")</f>
        <v>Loss</v>
      </c>
      <c r="AG396">
        <f>Table1[[#This Row],[Column2]]-Table1[[#This Row],[Buy-sell]]</f>
        <v>0</v>
      </c>
    </row>
    <row r="397" spans="1:33" x14ac:dyDescent="0.3">
      <c r="A397" t="s">
        <v>902</v>
      </c>
      <c r="B397" t="s">
        <v>475</v>
      </c>
      <c r="C397" s="1">
        <v>45737.020138888889</v>
      </c>
      <c r="D397" t="s">
        <v>29</v>
      </c>
      <c r="E397" t="s">
        <v>166</v>
      </c>
      <c r="F397">
        <v>823</v>
      </c>
      <c r="G397">
        <v>584.17999999999995</v>
      </c>
      <c r="H397">
        <v>240.39</v>
      </c>
      <c r="I397" t="s">
        <v>150</v>
      </c>
      <c r="J397" t="s">
        <v>52</v>
      </c>
      <c r="L397" s="1">
        <v>45712</v>
      </c>
      <c r="M397" t="s">
        <v>166</v>
      </c>
      <c r="N397">
        <f>IF(Table1[[#This Row],[side]]="BUY", Table1[[#This Row],[quantity]],-Table1[[#This Row],[quantity]])</f>
        <v>823</v>
      </c>
      <c r="P397" t="str">
        <f>IF(Table1[[#This Row],[side]]="Sell",Table1[[#This Row],[price]],"0")</f>
        <v>0</v>
      </c>
      <c r="Q397">
        <f>SUMIFS(Table1[quantity],Table1[company_id],Table8[[#This Row],[COMPANY_ID]],Table1[side],"BUY")-SUMIFS(Table1[quantity],Table1[company_id],Table8[[#This Row],[COMPANY_ID]],Table1[side],"SELL")</f>
        <v>0</v>
      </c>
      <c r="R397">
        <f>Table1[[#This Row],[Column2]]-Table1[[#This Row],[Buy-sell]]</f>
        <v>0</v>
      </c>
      <c r="S397" t="str">
        <f>IF(Table1[[#This Row],[Sell-Buy]]&gt;0,"Profit","Loss")</f>
        <v>Loss</v>
      </c>
      <c r="AE397" s="10" t="s">
        <v>700</v>
      </c>
      <c r="AF397" s="10" t="str">
        <f>IF(Table1[[#This Row],[Sell-Buy]]&gt;0,"Profit","Loss")</f>
        <v>Loss</v>
      </c>
      <c r="AG397">
        <f>Table1[[#This Row],[Column2]]-Table1[[#This Row],[Buy-sell]]</f>
        <v>0</v>
      </c>
    </row>
    <row r="398" spans="1:33" x14ac:dyDescent="0.3">
      <c r="A398" t="s">
        <v>906</v>
      </c>
      <c r="B398" t="s">
        <v>585</v>
      </c>
      <c r="C398" s="1">
        <v>45734.022222222222</v>
      </c>
      <c r="D398" t="s">
        <v>29</v>
      </c>
      <c r="E398" t="s">
        <v>166</v>
      </c>
      <c r="F398">
        <v>340</v>
      </c>
      <c r="G398">
        <v>585.70000000000005</v>
      </c>
      <c r="H398">
        <v>99.57</v>
      </c>
      <c r="I398" t="s">
        <v>150</v>
      </c>
      <c r="J398" t="s">
        <v>52</v>
      </c>
      <c r="L398" s="1">
        <v>45672</v>
      </c>
      <c r="M398" t="s">
        <v>166</v>
      </c>
      <c r="N398">
        <f>IF(Table1[[#This Row],[side]]="BUY", Table1[[#This Row],[quantity]],-Table1[[#This Row],[quantity]])</f>
        <v>340</v>
      </c>
      <c r="P398" t="str">
        <f>IF(Table1[[#This Row],[side]]="Sell",Table1[[#This Row],[price]],"0")</f>
        <v>0</v>
      </c>
      <c r="Q398">
        <f>SUMIFS(Table1[quantity],Table1[company_id],Table8[[#This Row],[COMPANY_ID]],Table1[side],"BUY")-SUMIFS(Table1[quantity],Table1[company_id],Table8[[#This Row],[COMPANY_ID]],Table1[side],"SELL")</f>
        <v>0</v>
      </c>
      <c r="R398">
        <f>Table1[[#This Row],[Column2]]-Table1[[#This Row],[Buy-sell]]</f>
        <v>0</v>
      </c>
      <c r="S398" t="str">
        <f>IF(Table1[[#This Row],[Sell-Buy]]&gt;0,"Profit","Loss")</f>
        <v>Loss</v>
      </c>
      <c r="AE398" s="9" t="s">
        <v>745</v>
      </c>
      <c r="AF398" s="10" t="str">
        <f>IF(Table1[[#This Row],[Sell-Buy]]&gt;0,"Profit","Loss")</f>
        <v>Loss</v>
      </c>
      <c r="AG398">
        <f>Table1[[#This Row],[Column2]]-Table1[[#This Row],[Buy-sell]]</f>
        <v>0</v>
      </c>
    </row>
    <row r="399" spans="1:33" x14ac:dyDescent="0.3">
      <c r="A399" t="s">
        <v>908</v>
      </c>
      <c r="B399" t="s">
        <v>305</v>
      </c>
      <c r="C399" s="1">
        <v>45678.004166666666</v>
      </c>
      <c r="D399" t="s">
        <v>29</v>
      </c>
      <c r="E399" t="s">
        <v>166</v>
      </c>
      <c r="F399">
        <v>770</v>
      </c>
      <c r="G399">
        <v>483.63</v>
      </c>
      <c r="H399">
        <v>186.2</v>
      </c>
      <c r="I399" t="s">
        <v>130</v>
      </c>
      <c r="J399" t="s">
        <v>52</v>
      </c>
      <c r="L399" s="1">
        <v>45832</v>
      </c>
      <c r="M399" t="s">
        <v>166</v>
      </c>
      <c r="N399">
        <f>IF(Table1[[#This Row],[side]]="BUY", Table1[[#This Row],[quantity]],-Table1[[#This Row],[quantity]])</f>
        <v>770</v>
      </c>
      <c r="P399" t="str">
        <f>IF(Table1[[#This Row],[side]]="Sell",Table1[[#This Row],[price]],"0")</f>
        <v>0</v>
      </c>
      <c r="Q399">
        <f>SUMIFS(Table1[quantity],Table1[company_id],Table8[[#This Row],[COMPANY_ID]],Table1[side],"BUY")-SUMIFS(Table1[quantity],Table1[company_id],Table8[[#This Row],[COMPANY_ID]],Table1[side],"SELL")</f>
        <v>0</v>
      </c>
      <c r="R399">
        <f>Table1[[#This Row],[Column2]]-Table1[[#This Row],[Buy-sell]]</f>
        <v>0</v>
      </c>
      <c r="S399" t="str">
        <f>IF(Table1[[#This Row],[Sell-Buy]]&gt;0,"Profit","Loss")</f>
        <v>Loss</v>
      </c>
      <c r="AE399" s="10" t="s">
        <v>1150</v>
      </c>
      <c r="AF399" s="10" t="str">
        <f>IF(Table1[[#This Row],[Sell-Buy]]&gt;0,"Profit","Loss")</f>
        <v>Loss</v>
      </c>
      <c r="AG399">
        <f>Table1[[#This Row],[Column2]]-Table1[[#This Row],[Buy-sell]]</f>
        <v>0</v>
      </c>
    </row>
    <row r="400" spans="1:33" x14ac:dyDescent="0.3">
      <c r="A400" t="s">
        <v>928</v>
      </c>
      <c r="B400" t="s">
        <v>533</v>
      </c>
      <c r="C400" s="1">
        <v>45821.011805555558</v>
      </c>
      <c r="D400" t="s">
        <v>29</v>
      </c>
      <c r="E400" t="s">
        <v>166</v>
      </c>
      <c r="F400">
        <v>576</v>
      </c>
      <c r="G400">
        <v>612.74</v>
      </c>
      <c r="H400">
        <v>176.47</v>
      </c>
      <c r="I400" t="s">
        <v>128</v>
      </c>
      <c r="J400" t="s">
        <v>64</v>
      </c>
      <c r="L400" s="1">
        <v>45779</v>
      </c>
      <c r="M400" t="s">
        <v>166</v>
      </c>
      <c r="N400">
        <f>IF(Table1[[#This Row],[side]]="BUY", Table1[[#This Row],[quantity]],-Table1[[#This Row],[quantity]])</f>
        <v>576</v>
      </c>
      <c r="P400" t="str">
        <f>IF(Table1[[#This Row],[side]]="Sell",Table1[[#This Row],[price]],"0")</f>
        <v>0</v>
      </c>
      <c r="Q400">
        <f>SUMIFS(Table1[quantity],Table1[company_id],Table8[[#This Row],[COMPANY_ID]],Table1[side],"BUY")-SUMIFS(Table1[quantity],Table1[company_id],Table8[[#This Row],[COMPANY_ID]],Table1[side],"SELL")</f>
        <v>0</v>
      </c>
      <c r="R400">
        <f>Table1[[#This Row],[Column2]]-Table1[[#This Row],[Buy-sell]]</f>
        <v>0</v>
      </c>
      <c r="S400" t="str">
        <f>IF(Table1[[#This Row],[Sell-Buy]]&gt;0,"Profit","Loss")</f>
        <v>Loss</v>
      </c>
      <c r="AE400" s="9" t="s">
        <v>868</v>
      </c>
      <c r="AF400" s="10" t="str">
        <f>IF(Table1[[#This Row],[Sell-Buy]]&gt;0,"Profit","Loss")</f>
        <v>Loss</v>
      </c>
      <c r="AG400">
        <f>Table1[[#This Row],[Column2]]-Table1[[#This Row],[Buy-sell]]</f>
        <v>0</v>
      </c>
    </row>
    <row r="401" spans="1:33" x14ac:dyDescent="0.3">
      <c r="A401" t="s">
        <v>932</v>
      </c>
      <c r="B401" t="s">
        <v>554</v>
      </c>
      <c r="C401" s="1">
        <v>45757.020138888889</v>
      </c>
      <c r="D401" t="s">
        <v>29</v>
      </c>
      <c r="E401" t="s">
        <v>166</v>
      </c>
      <c r="F401">
        <v>220</v>
      </c>
      <c r="G401">
        <v>581.24</v>
      </c>
      <c r="H401">
        <v>63.94</v>
      </c>
      <c r="I401" t="s">
        <v>108</v>
      </c>
      <c r="J401" t="s">
        <v>52</v>
      </c>
      <c r="L401" s="1">
        <v>45813</v>
      </c>
      <c r="M401" t="s">
        <v>166</v>
      </c>
      <c r="N401">
        <f>IF(Table1[[#This Row],[side]]="BUY", Table1[[#This Row],[quantity]],-Table1[[#This Row],[quantity]])</f>
        <v>220</v>
      </c>
      <c r="P401" t="str">
        <f>IF(Table1[[#This Row],[side]]="Sell",Table1[[#This Row],[price]],"0")</f>
        <v>0</v>
      </c>
      <c r="Q401">
        <f>SUMIFS(Table1[quantity],Table1[company_id],Table8[[#This Row],[COMPANY_ID]],Table1[side],"BUY")-SUMIFS(Table1[quantity],Table1[company_id],Table8[[#This Row],[COMPANY_ID]],Table1[side],"SELL")</f>
        <v>0</v>
      </c>
      <c r="R401">
        <f>Table1[[#This Row],[Column2]]-Table1[[#This Row],[Buy-sell]]</f>
        <v>0</v>
      </c>
      <c r="S401" t="str">
        <f>IF(Table1[[#This Row],[Sell-Buy]]&gt;0,"Profit","Loss")</f>
        <v>Loss</v>
      </c>
      <c r="AE401" s="10" t="s">
        <v>989</v>
      </c>
      <c r="AF401" s="10" t="str">
        <f>IF(Table1[[#This Row],[Sell-Buy]]&gt;0,"Profit","Loss")</f>
        <v>Loss</v>
      </c>
      <c r="AG401">
        <f>Table1[[#This Row],[Column2]]-Table1[[#This Row],[Buy-sell]]</f>
        <v>0</v>
      </c>
    </row>
    <row r="402" spans="1:33" x14ac:dyDescent="0.3">
      <c r="A402" t="s">
        <v>886</v>
      </c>
      <c r="B402" t="s">
        <v>378</v>
      </c>
      <c r="C402" s="1">
        <v>45740.029166666667</v>
      </c>
      <c r="D402" t="s">
        <v>29</v>
      </c>
      <c r="E402" t="s">
        <v>171</v>
      </c>
      <c r="F402">
        <v>846</v>
      </c>
      <c r="G402">
        <v>584.11</v>
      </c>
      <c r="H402">
        <v>247.08</v>
      </c>
      <c r="I402" t="s">
        <v>150</v>
      </c>
      <c r="J402" t="s">
        <v>61</v>
      </c>
      <c r="L402" s="1">
        <v>45688</v>
      </c>
      <c r="N402">
        <f>IF(Table1[[#This Row],[side]]="BUY", Table1[[#This Row],[quantity]],-Table1[[#This Row],[quantity]])</f>
        <v>-846</v>
      </c>
      <c r="O402" t="s">
        <v>171</v>
      </c>
      <c r="P402">
        <f>IF(Table1[[#This Row],[side]]="Sell",Table1[[#This Row],[price]],"0")</f>
        <v>584.11</v>
      </c>
      <c r="Q402">
        <f>SUMIFS(Table1[quantity],Table1[company_id],Table8[[#This Row],[COMPANY_ID]],Table1[side],"BUY")-SUMIFS(Table1[quantity],Table1[company_id],Table8[[#This Row],[COMPANY_ID]],Table1[side],"SELL")</f>
        <v>0</v>
      </c>
      <c r="R402">
        <f>Table1[[#This Row],[Column2]]-Table1[[#This Row],[Buy-sell]]</f>
        <v>584.11</v>
      </c>
      <c r="S402" t="str">
        <f>IF(Table1[[#This Row],[Sell-Buy]]&gt;0,"Profit","Loss")</f>
        <v>Profit</v>
      </c>
      <c r="AE402" s="9" t="s">
        <v>772</v>
      </c>
      <c r="AF402" s="10" t="str">
        <f>IF(Table1[[#This Row],[Sell-Buy]]&gt;0,"Profit","Loss")</f>
        <v>Profit</v>
      </c>
      <c r="AG402">
        <f>Table1[[#This Row],[Column2]]-Table1[[#This Row],[Buy-sell]]</f>
        <v>584.11</v>
      </c>
    </row>
    <row r="403" spans="1:33" x14ac:dyDescent="0.3">
      <c r="A403" t="s">
        <v>916</v>
      </c>
      <c r="B403" t="s">
        <v>597</v>
      </c>
      <c r="C403" s="1">
        <v>45740.009027777778</v>
      </c>
      <c r="D403" t="s">
        <v>29</v>
      </c>
      <c r="E403" t="s">
        <v>171</v>
      </c>
      <c r="F403">
        <v>874</v>
      </c>
      <c r="G403">
        <v>585.1</v>
      </c>
      <c r="H403">
        <v>255.69</v>
      </c>
      <c r="I403" t="s">
        <v>136</v>
      </c>
      <c r="J403" t="s">
        <v>76</v>
      </c>
      <c r="L403" s="1">
        <v>45695</v>
      </c>
      <c r="N403">
        <f>IF(Table1[[#This Row],[side]]="BUY", Table1[[#This Row],[quantity]],-Table1[[#This Row],[quantity]])</f>
        <v>-874</v>
      </c>
      <c r="O403" t="s">
        <v>171</v>
      </c>
      <c r="P403">
        <f>IF(Table1[[#This Row],[side]]="Sell",Table1[[#This Row],[price]],"0")</f>
        <v>585.1</v>
      </c>
      <c r="Q403">
        <f>SUMIFS(Table1[quantity],Table1[company_id],Table8[[#This Row],[COMPANY_ID]],Table1[side],"BUY")-SUMIFS(Table1[quantity],Table1[company_id],Table8[[#This Row],[COMPANY_ID]],Table1[side],"SELL")</f>
        <v>0</v>
      </c>
      <c r="R403">
        <f>Table1[[#This Row],[Column2]]-Table1[[#This Row],[Buy-sell]]</f>
        <v>585.1</v>
      </c>
      <c r="S403" t="str">
        <f>IF(Table1[[#This Row],[Sell-Buy]]&gt;0,"Profit","Loss")</f>
        <v>Profit</v>
      </c>
      <c r="AE403" s="10" t="s">
        <v>1050</v>
      </c>
      <c r="AF403" s="10" t="str">
        <f>IF(Table1[[#This Row],[Sell-Buy]]&gt;0,"Profit","Loss")</f>
        <v>Profit</v>
      </c>
      <c r="AG403">
        <f>Table1[[#This Row],[Column2]]-Table1[[#This Row],[Buy-sell]]</f>
        <v>585.1</v>
      </c>
    </row>
    <row r="404" spans="1:33" x14ac:dyDescent="0.3">
      <c r="A404" t="s">
        <v>942</v>
      </c>
      <c r="B404" t="s">
        <v>602</v>
      </c>
      <c r="C404" s="1">
        <v>45838.01458333333</v>
      </c>
      <c r="D404" t="s">
        <v>29</v>
      </c>
      <c r="E404" t="s">
        <v>171</v>
      </c>
      <c r="F404">
        <v>100</v>
      </c>
      <c r="G404">
        <v>583.85</v>
      </c>
      <c r="H404">
        <v>29.19</v>
      </c>
      <c r="I404" t="s">
        <v>106</v>
      </c>
      <c r="J404" t="s">
        <v>73</v>
      </c>
      <c r="L404" s="1">
        <v>45769</v>
      </c>
      <c r="N404">
        <f>IF(Table1[[#This Row],[side]]="BUY", Table1[[#This Row],[quantity]],-Table1[[#This Row],[quantity]])</f>
        <v>-100</v>
      </c>
      <c r="O404" t="s">
        <v>171</v>
      </c>
      <c r="P404">
        <f>IF(Table1[[#This Row],[side]]="Sell",Table1[[#This Row],[price]],"0")</f>
        <v>583.85</v>
      </c>
      <c r="Q404">
        <f>SUMIFS(Table1[quantity],Table1[company_id],Table8[[#This Row],[COMPANY_ID]],Table1[side],"BUY")-SUMIFS(Table1[quantity],Table1[company_id],Table8[[#This Row],[COMPANY_ID]],Table1[side],"SELL")</f>
        <v>0</v>
      </c>
      <c r="R404">
        <f>Table1[[#This Row],[Column2]]-Table1[[#This Row],[Buy-sell]]</f>
        <v>583.85</v>
      </c>
      <c r="S404" t="str">
        <f>IF(Table1[[#This Row],[Sell-Buy]]&gt;0,"Profit","Loss")</f>
        <v>Profit</v>
      </c>
      <c r="AE404" s="9" t="s">
        <v>946</v>
      </c>
      <c r="AF404" s="10" t="str">
        <f>IF(Table1[[#This Row],[Sell-Buy]]&gt;0,"Profit","Loss")</f>
        <v>Profit</v>
      </c>
      <c r="AG404">
        <f>Table1[[#This Row],[Column2]]-Table1[[#This Row],[Buy-sell]]</f>
        <v>583.85</v>
      </c>
    </row>
    <row r="405" spans="1:33" x14ac:dyDescent="0.3">
      <c r="A405" t="s">
        <v>944</v>
      </c>
      <c r="B405" t="s">
        <v>267</v>
      </c>
      <c r="C405" s="1">
        <v>45761.035416666666</v>
      </c>
      <c r="D405" t="s">
        <v>29</v>
      </c>
      <c r="E405" t="s">
        <v>166</v>
      </c>
      <c r="F405">
        <v>954</v>
      </c>
      <c r="G405">
        <v>569.99</v>
      </c>
      <c r="H405">
        <v>271.89</v>
      </c>
      <c r="I405" t="s">
        <v>118</v>
      </c>
      <c r="J405" t="s">
        <v>61</v>
      </c>
      <c r="L405" s="1">
        <v>45695</v>
      </c>
      <c r="M405" t="s">
        <v>166</v>
      </c>
      <c r="N405">
        <f>IF(Table1[[#This Row],[side]]="BUY", Table1[[#This Row],[quantity]],-Table1[[#This Row],[quantity]])</f>
        <v>954</v>
      </c>
      <c r="P405" t="str">
        <f>IF(Table1[[#This Row],[side]]="Sell",Table1[[#This Row],[price]],"0")</f>
        <v>0</v>
      </c>
      <c r="Q405">
        <f>SUMIFS(Table1[quantity],Table1[company_id],Table8[[#This Row],[COMPANY_ID]],Table1[side],"BUY")-SUMIFS(Table1[quantity],Table1[company_id],Table8[[#This Row],[COMPANY_ID]],Table1[side],"SELL")</f>
        <v>0</v>
      </c>
      <c r="R405">
        <f>Table1[[#This Row],[Column2]]-Table1[[#This Row],[Buy-sell]]</f>
        <v>0</v>
      </c>
      <c r="S405" t="str">
        <f>IF(Table1[[#This Row],[Sell-Buy]]&gt;0,"Profit","Loss")</f>
        <v>Loss</v>
      </c>
      <c r="AE405" s="10" t="s">
        <v>981</v>
      </c>
      <c r="AF405" s="10" t="str">
        <f>IF(Table1[[#This Row],[Sell-Buy]]&gt;0,"Profit","Loss")</f>
        <v>Loss</v>
      </c>
      <c r="AG405">
        <f>Table1[[#This Row],[Column2]]-Table1[[#This Row],[Buy-sell]]</f>
        <v>0</v>
      </c>
    </row>
    <row r="406" spans="1:33" x14ac:dyDescent="0.3">
      <c r="A406" t="s">
        <v>946</v>
      </c>
      <c r="B406" t="s">
        <v>575</v>
      </c>
      <c r="C406" s="1">
        <v>45709.019444444442</v>
      </c>
      <c r="D406" t="s">
        <v>29</v>
      </c>
      <c r="E406" t="s">
        <v>166</v>
      </c>
      <c r="F406">
        <v>608</v>
      </c>
      <c r="G406">
        <v>544.01</v>
      </c>
      <c r="H406">
        <v>165.38</v>
      </c>
      <c r="I406" t="s">
        <v>118</v>
      </c>
      <c r="J406" t="s">
        <v>70</v>
      </c>
      <c r="L406" s="1">
        <v>45796</v>
      </c>
      <c r="M406" t="s">
        <v>166</v>
      </c>
      <c r="N406">
        <f>IF(Table1[[#This Row],[side]]="BUY", Table1[[#This Row],[quantity]],-Table1[[#This Row],[quantity]])</f>
        <v>608</v>
      </c>
      <c r="P406" t="str">
        <f>IF(Table1[[#This Row],[side]]="Sell",Table1[[#This Row],[price]],"0")</f>
        <v>0</v>
      </c>
      <c r="Q406">
        <f>SUMIFS(Table1[quantity],Table1[company_id],Table8[[#This Row],[COMPANY_ID]],Table1[side],"BUY")-SUMIFS(Table1[quantity],Table1[company_id],Table8[[#This Row],[COMPANY_ID]],Table1[side],"SELL")</f>
        <v>0</v>
      </c>
      <c r="R406">
        <f>Table1[[#This Row],[Column2]]-Table1[[#This Row],[Buy-sell]]</f>
        <v>0</v>
      </c>
      <c r="S406" t="str">
        <f>IF(Table1[[#This Row],[Sell-Buy]]&gt;0,"Profit","Loss")</f>
        <v>Loss</v>
      </c>
      <c r="AE406" s="9" t="s">
        <v>1028</v>
      </c>
      <c r="AF406" s="10" t="str">
        <f>IF(Table1[[#This Row],[Sell-Buy]]&gt;0,"Profit","Loss")</f>
        <v>Loss</v>
      </c>
      <c r="AG406">
        <f>Table1[[#This Row],[Column2]]-Table1[[#This Row],[Buy-sell]]</f>
        <v>0</v>
      </c>
    </row>
    <row r="407" spans="1:33" x14ac:dyDescent="0.3">
      <c r="A407" t="s">
        <v>962</v>
      </c>
      <c r="B407" t="s">
        <v>494</v>
      </c>
      <c r="C407" s="1">
        <v>45761.039583333331</v>
      </c>
      <c r="D407" t="s">
        <v>29</v>
      </c>
      <c r="E407" t="s">
        <v>171</v>
      </c>
      <c r="F407">
        <v>211</v>
      </c>
      <c r="G407">
        <v>568.85</v>
      </c>
      <c r="H407">
        <v>60.01</v>
      </c>
      <c r="I407" t="s">
        <v>136</v>
      </c>
      <c r="J407" t="s">
        <v>61</v>
      </c>
      <c r="L407" s="1">
        <v>45723</v>
      </c>
      <c r="N407">
        <f>IF(Table1[[#This Row],[side]]="BUY", Table1[[#This Row],[quantity]],-Table1[[#This Row],[quantity]])</f>
        <v>-211</v>
      </c>
      <c r="O407" t="s">
        <v>171</v>
      </c>
      <c r="P407">
        <f>IF(Table1[[#This Row],[side]]="Sell",Table1[[#This Row],[price]],"0")</f>
        <v>568.85</v>
      </c>
      <c r="Q407">
        <f>SUMIFS(Table1[quantity],Table1[company_id],Table8[[#This Row],[COMPANY_ID]],Table1[side],"BUY")-SUMIFS(Table1[quantity],Table1[company_id],Table8[[#This Row],[COMPANY_ID]],Table1[side],"SELL")</f>
        <v>0</v>
      </c>
      <c r="R407">
        <f>Table1[[#This Row],[Column2]]-Table1[[#This Row],[Buy-sell]]</f>
        <v>568.85</v>
      </c>
      <c r="S407" t="str">
        <f>IF(Table1[[#This Row],[Sell-Buy]]&gt;0,"Profit","Loss")</f>
        <v>Profit</v>
      </c>
      <c r="AE407" s="10" t="s">
        <v>756</v>
      </c>
      <c r="AF407" s="10" t="str">
        <f>IF(Table1[[#This Row],[Sell-Buy]]&gt;0,"Profit","Loss")</f>
        <v>Profit</v>
      </c>
      <c r="AG407">
        <f>Table1[[#This Row],[Column2]]-Table1[[#This Row],[Buy-sell]]</f>
        <v>568.85</v>
      </c>
    </row>
    <row r="408" spans="1:33" x14ac:dyDescent="0.3">
      <c r="A408" t="s">
        <v>968</v>
      </c>
      <c r="B408" t="s">
        <v>623</v>
      </c>
      <c r="C408" s="1">
        <v>45692.01666666667</v>
      </c>
      <c r="D408" t="s">
        <v>29</v>
      </c>
      <c r="E408" t="s">
        <v>171</v>
      </c>
      <c r="F408">
        <v>196</v>
      </c>
      <c r="G408">
        <v>512.34</v>
      </c>
      <c r="H408">
        <v>50.21</v>
      </c>
      <c r="I408" t="s">
        <v>108</v>
      </c>
      <c r="J408" t="s">
        <v>64</v>
      </c>
      <c r="L408" s="1">
        <v>45814</v>
      </c>
      <c r="N408">
        <f>IF(Table1[[#This Row],[side]]="BUY", Table1[[#This Row],[quantity]],-Table1[[#This Row],[quantity]])</f>
        <v>-196</v>
      </c>
      <c r="O408" t="s">
        <v>171</v>
      </c>
      <c r="P408">
        <f>IF(Table1[[#This Row],[side]]="Sell",Table1[[#This Row],[price]],"0")</f>
        <v>512.34</v>
      </c>
      <c r="Q408">
        <f>SUMIFS(Table1[quantity],Table1[company_id],Table8[[#This Row],[COMPANY_ID]],Table1[side],"BUY")-SUMIFS(Table1[quantity],Table1[company_id],Table8[[#This Row],[COMPANY_ID]],Table1[side],"SELL")</f>
        <v>0</v>
      </c>
      <c r="R408">
        <f>Table1[[#This Row],[Column2]]-Table1[[#This Row],[Buy-sell]]</f>
        <v>512.34</v>
      </c>
      <c r="S408" t="str">
        <f>IF(Table1[[#This Row],[Sell-Buy]]&gt;0,"Profit","Loss")</f>
        <v>Profit</v>
      </c>
      <c r="AE408" s="9" t="s">
        <v>933</v>
      </c>
      <c r="AF408" s="10" t="str">
        <f>IF(Table1[[#This Row],[Sell-Buy]]&gt;0,"Profit","Loss")</f>
        <v>Profit</v>
      </c>
      <c r="AG408">
        <f>Table1[[#This Row],[Column2]]-Table1[[#This Row],[Buy-sell]]</f>
        <v>512.34</v>
      </c>
    </row>
    <row r="409" spans="1:33" x14ac:dyDescent="0.3">
      <c r="A409" t="s">
        <v>969</v>
      </c>
      <c r="B409" t="s">
        <v>620</v>
      </c>
      <c r="C409" s="1">
        <v>45757.009722222225</v>
      </c>
      <c r="D409" t="s">
        <v>29</v>
      </c>
      <c r="E409" t="s">
        <v>166</v>
      </c>
      <c r="F409">
        <v>925</v>
      </c>
      <c r="G409">
        <v>579.51</v>
      </c>
      <c r="H409">
        <v>268.02</v>
      </c>
      <c r="I409" t="s">
        <v>91</v>
      </c>
      <c r="J409" t="s">
        <v>76</v>
      </c>
      <c r="L409" s="1">
        <v>45821</v>
      </c>
      <c r="M409" t="s">
        <v>166</v>
      </c>
      <c r="N409">
        <f>IF(Table1[[#This Row],[side]]="BUY", Table1[[#This Row],[quantity]],-Table1[[#This Row],[quantity]])</f>
        <v>925</v>
      </c>
      <c r="P409" t="str">
        <f>IF(Table1[[#This Row],[side]]="Sell",Table1[[#This Row],[price]],"0")</f>
        <v>0</v>
      </c>
      <c r="Q409">
        <f>SUMIFS(Table1[quantity],Table1[company_id],Table8[[#This Row],[COMPANY_ID]],Table1[side],"BUY")-SUMIFS(Table1[quantity],Table1[company_id],Table8[[#This Row],[COMPANY_ID]],Table1[side],"SELL")</f>
        <v>0</v>
      </c>
      <c r="R409">
        <f>Table1[[#This Row],[Column2]]-Table1[[#This Row],[Buy-sell]]</f>
        <v>0</v>
      </c>
      <c r="S409" t="str">
        <f>IF(Table1[[#This Row],[Sell-Buy]]&gt;0,"Profit","Loss")</f>
        <v>Loss</v>
      </c>
      <c r="AE409" s="10" t="s">
        <v>1067</v>
      </c>
      <c r="AF409" s="10" t="str">
        <f>IF(Table1[[#This Row],[Sell-Buy]]&gt;0,"Profit","Loss")</f>
        <v>Loss</v>
      </c>
      <c r="AG409">
        <f>Table1[[#This Row],[Column2]]-Table1[[#This Row],[Buy-sell]]</f>
        <v>0</v>
      </c>
    </row>
    <row r="410" spans="1:33" x14ac:dyDescent="0.3">
      <c r="A410" t="s">
        <v>980</v>
      </c>
      <c r="B410" t="s">
        <v>357</v>
      </c>
      <c r="C410" s="1">
        <v>45691.02847222222</v>
      </c>
      <c r="D410" t="s">
        <v>29</v>
      </c>
      <c r="E410" t="s">
        <v>166</v>
      </c>
      <c r="F410">
        <v>879</v>
      </c>
      <c r="G410">
        <v>507.95</v>
      </c>
      <c r="H410">
        <v>223.24</v>
      </c>
      <c r="I410" t="s">
        <v>104</v>
      </c>
      <c r="J410" t="s">
        <v>55</v>
      </c>
      <c r="L410" s="1">
        <v>45714</v>
      </c>
      <c r="M410" t="s">
        <v>166</v>
      </c>
      <c r="N410">
        <f>IF(Table1[[#This Row],[side]]="BUY", Table1[[#This Row],[quantity]],-Table1[[#This Row],[quantity]])</f>
        <v>879</v>
      </c>
      <c r="P410" t="str">
        <f>IF(Table1[[#This Row],[side]]="Sell",Table1[[#This Row],[price]],"0")</f>
        <v>0</v>
      </c>
      <c r="Q410">
        <f>SUMIFS(Table1[quantity],Table1[company_id],Table8[[#This Row],[COMPANY_ID]],Table1[side],"BUY")-SUMIFS(Table1[quantity],Table1[company_id],Table8[[#This Row],[COMPANY_ID]],Table1[side],"SELL")</f>
        <v>0</v>
      </c>
      <c r="R410">
        <f>Table1[[#This Row],[Column2]]-Table1[[#This Row],[Buy-sell]]</f>
        <v>0</v>
      </c>
      <c r="S410" t="str">
        <f>IF(Table1[[#This Row],[Sell-Buy]]&gt;0,"Profit","Loss")</f>
        <v>Loss</v>
      </c>
      <c r="AE410" s="9" t="s">
        <v>771</v>
      </c>
      <c r="AF410" s="10" t="str">
        <f>IF(Table1[[#This Row],[Sell-Buy]]&gt;0,"Profit","Loss")</f>
        <v>Loss</v>
      </c>
      <c r="AG410">
        <f>Table1[[#This Row],[Column2]]-Table1[[#This Row],[Buy-sell]]</f>
        <v>0</v>
      </c>
    </row>
    <row r="411" spans="1:33" x14ac:dyDescent="0.3">
      <c r="A411" t="s">
        <v>995</v>
      </c>
      <c r="B411" t="s">
        <v>327</v>
      </c>
      <c r="C411" s="1">
        <v>45721</v>
      </c>
      <c r="D411" t="s">
        <v>29</v>
      </c>
      <c r="E411" t="s">
        <v>171</v>
      </c>
      <c r="F411">
        <v>287</v>
      </c>
      <c r="G411">
        <v>571.29</v>
      </c>
      <c r="H411">
        <v>81.98</v>
      </c>
      <c r="I411" t="s">
        <v>136</v>
      </c>
      <c r="J411" t="s">
        <v>64</v>
      </c>
      <c r="L411" s="1">
        <v>45720</v>
      </c>
      <c r="N411">
        <f>IF(Table1[[#This Row],[side]]="BUY", Table1[[#This Row],[quantity]],-Table1[[#This Row],[quantity]])</f>
        <v>-287</v>
      </c>
      <c r="O411" t="s">
        <v>171</v>
      </c>
      <c r="P411">
        <f>IF(Table1[[#This Row],[side]]="Sell",Table1[[#This Row],[price]],"0")</f>
        <v>571.29</v>
      </c>
      <c r="Q411">
        <f>SUMIFS(Table1[quantity],Table1[company_id],Table8[[#This Row],[COMPANY_ID]],Table1[side],"BUY")-SUMIFS(Table1[quantity],Table1[company_id],Table8[[#This Row],[COMPANY_ID]],Table1[side],"SELL")</f>
        <v>0</v>
      </c>
      <c r="R411">
        <f>Table1[[#This Row],[Column2]]-Table1[[#This Row],[Buy-sell]]</f>
        <v>571.29</v>
      </c>
      <c r="S411" t="str">
        <f>IF(Table1[[#This Row],[Sell-Buy]]&gt;0,"Profit","Loss")</f>
        <v>Profit</v>
      </c>
      <c r="AE411" s="10" t="s">
        <v>1090</v>
      </c>
      <c r="AF411" s="10" t="str">
        <f>IF(Table1[[#This Row],[Sell-Buy]]&gt;0,"Profit","Loss")</f>
        <v>Profit</v>
      </c>
      <c r="AG411">
        <f>Table1[[#This Row],[Column2]]-Table1[[#This Row],[Buy-sell]]</f>
        <v>571.29</v>
      </c>
    </row>
    <row r="412" spans="1:33" x14ac:dyDescent="0.3">
      <c r="A412" t="s">
        <v>999</v>
      </c>
      <c r="B412" t="s">
        <v>558</v>
      </c>
      <c r="C412" s="1">
        <v>45671.040277777778</v>
      </c>
      <c r="D412" t="s">
        <v>29</v>
      </c>
      <c r="E412" t="s">
        <v>171</v>
      </c>
      <c r="F412">
        <v>978</v>
      </c>
      <c r="G412">
        <v>496.46</v>
      </c>
      <c r="H412">
        <v>242.77</v>
      </c>
      <c r="I412" t="s">
        <v>150</v>
      </c>
      <c r="J412" t="s">
        <v>52</v>
      </c>
      <c r="L412" s="1">
        <v>45821</v>
      </c>
      <c r="N412">
        <f>IF(Table1[[#This Row],[side]]="BUY", Table1[[#This Row],[quantity]],-Table1[[#This Row],[quantity]])</f>
        <v>-978</v>
      </c>
      <c r="O412" t="s">
        <v>171</v>
      </c>
      <c r="P412">
        <f>IF(Table1[[#This Row],[side]]="Sell",Table1[[#This Row],[price]],"0")</f>
        <v>496.46</v>
      </c>
      <c r="Q412">
        <f>SUMIFS(Table1[quantity],Table1[company_id],Table8[[#This Row],[COMPANY_ID]],Table1[side],"BUY")-SUMIFS(Table1[quantity],Table1[company_id],Table8[[#This Row],[COMPANY_ID]],Table1[side],"SELL")</f>
        <v>0</v>
      </c>
      <c r="R412">
        <f>Table1[[#This Row],[Column2]]-Table1[[#This Row],[Buy-sell]]</f>
        <v>496.46</v>
      </c>
      <c r="S412" t="str">
        <f>IF(Table1[[#This Row],[Sell-Buy]]&gt;0,"Profit","Loss")</f>
        <v>Profit</v>
      </c>
      <c r="AE412" s="9" t="s">
        <v>1132</v>
      </c>
      <c r="AF412" s="10" t="str">
        <f>IF(Table1[[#This Row],[Sell-Buy]]&gt;0,"Profit","Loss")</f>
        <v>Profit</v>
      </c>
      <c r="AG412">
        <f>Table1[[#This Row],[Column2]]-Table1[[#This Row],[Buy-sell]]</f>
        <v>496.46</v>
      </c>
    </row>
    <row r="413" spans="1:33" x14ac:dyDescent="0.3">
      <c r="A413" t="s">
        <v>1006</v>
      </c>
      <c r="B413" t="s">
        <v>226</v>
      </c>
      <c r="C413" s="1">
        <v>45764.00277777778</v>
      </c>
      <c r="D413" t="s">
        <v>29</v>
      </c>
      <c r="E413" t="s">
        <v>171</v>
      </c>
      <c r="F413">
        <v>94</v>
      </c>
      <c r="G413">
        <v>582.11</v>
      </c>
      <c r="H413">
        <v>27.36</v>
      </c>
      <c r="I413" t="s">
        <v>144</v>
      </c>
      <c r="J413" t="s">
        <v>55</v>
      </c>
      <c r="L413" s="1">
        <v>45835</v>
      </c>
      <c r="N413">
        <f>IF(Table1[[#This Row],[side]]="BUY", Table1[[#This Row],[quantity]],-Table1[[#This Row],[quantity]])</f>
        <v>-94</v>
      </c>
      <c r="O413" t="s">
        <v>171</v>
      </c>
      <c r="P413">
        <f>IF(Table1[[#This Row],[side]]="Sell",Table1[[#This Row],[price]],"0")</f>
        <v>582.11</v>
      </c>
      <c r="Q413">
        <f>SUMIFS(Table1[quantity],Table1[company_id],Table8[[#This Row],[COMPANY_ID]],Table1[side],"BUY")-SUMIFS(Table1[quantity],Table1[company_id],Table8[[#This Row],[COMPANY_ID]],Table1[side],"SELL")</f>
        <v>0</v>
      </c>
      <c r="R413">
        <f>Table1[[#This Row],[Column2]]-Table1[[#This Row],[Buy-sell]]</f>
        <v>582.11</v>
      </c>
      <c r="S413" t="str">
        <f>IF(Table1[[#This Row],[Sell-Buy]]&gt;0,"Profit","Loss")</f>
        <v>Profit</v>
      </c>
      <c r="AE413" s="10" t="s">
        <v>1152</v>
      </c>
      <c r="AF413" s="10" t="str">
        <f>IF(Table1[[#This Row],[Sell-Buy]]&gt;0,"Profit","Loss")</f>
        <v>Profit</v>
      </c>
      <c r="AG413">
        <f>Table1[[#This Row],[Column2]]-Table1[[#This Row],[Buy-sell]]</f>
        <v>582.11</v>
      </c>
    </row>
    <row r="414" spans="1:33" x14ac:dyDescent="0.3">
      <c r="A414" t="s">
        <v>1010</v>
      </c>
      <c r="B414" t="s">
        <v>282</v>
      </c>
      <c r="C414" s="1">
        <v>45828.013888888891</v>
      </c>
      <c r="D414" t="s">
        <v>29</v>
      </c>
      <c r="E414" t="s">
        <v>171</v>
      </c>
      <c r="F414">
        <v>263</v>
      </c>
      <c r="G414">
        <v>603.33000000000004</v>
      </c>
      <c r="H414">
        <v>79.34</v>
      </c>
      <c r="I414" t="s">
        <v>118</v>
      </c>
      <c r="J414" t="s">
        <v>70</v>
      </c>
      <c r="L414" s="1">
        <v>45792</v>
      </c>
      <c r="N414">
        <f>IF(Table1[[#This Row],[side]]="BUY", Table1[[#This Row],[quantity]],-Table1[[#This Row],[quantity]])</f>
        <v>-263</v>
      </c>
      <c r="O414" t="s">
        <v>171</v>
      </c>
      <c r="P414">
        <f>IF(Table1[[#This Row],[side]]="Sell",Table1[[#This Row],[price]],"0")</f>
        <v>603.33000000000004</v>
      </c>
      <c r="Q414">
        <f>SUMIFS(Table1[quantity],Table1[company_id],Table8[[#This Row],[COMPANY_ID]],Table1[side],"BUY")-SUMIFS(Table1[quantity],Table1[company_id],Table8[[#This Row],[COMPANY_ID]],Table1[side],"SELL")</f>
        <v>0</v>
      </c>
      <c r="R414">
        <f>Table1[[#This Row],[Column2]]-Table1[[#This Row],[Buy-sell]]</f>
        <v>603.33000000000004</v>
      </c>
      <c r="S414" t="str">
        <f>IF(Table1[[#This Row],[Sell-Buy]]&gt;0,"Profit","Loss")</f>
        <v>Profit</v>
      </c>
      <c r="AE414" s="9" t="s">
        <v>1019</v>
      </c>
      <c r="AF414" s="10" t="str">
        <f>IF(Table1[[#This Row],[Sell-Buy]]&gt;0,"Profit","Loss")</f>
        <v>Profit</v>
      </c>
      <c r="AG414">
        <f>Table1[[#This Row],[Column2]]-Table1[[#This Row],[Buy-sell]]</f>
        <v>603.33000000000004</v>
      </c>
    </row>
    <row r="415" spans="1:33" x14ac:dyDescent="0.3">
      <c r="A415" t="s">
        <v>1011</v>
      </c>
      <c r="B415" t="s">
        <v>349</v>
      </c>
      <c r="C415" s="1">
        <v>45783.03125</v>
      </c>
      <c r="D415" t="s">
        <v>29</v>
      </c>
      <c r="E415" t="s">
        <v>171</v>
      </c>
      <c r="F415">
        <v>936</v>
      </c>
      <c r="G415">
        <v>601.14</v>
      </c>
      <c r="H415">
        <v>281.33</v>
      </c>
      <c r="I415" t="s">
        <v>146</v>
      </c>
      <c r="J415" t="s">
        <v>64</v>
      </c>
      <c r="L415" s="1">
        <v>45793</v>
      </c>
      <c r="N415">
        <f>IF(Table1[[#This Row],[side]]="BUY", Table1[[#This Row],[quantity]],-Table1[[#This Row],[quantity]])</f>
        <v>-936</v>
      </c>
      <c r="O415" t="s">
        <v>171</v>
      </c>
      <c r="P415">
        <f>IF(Table1[[#This Row],[side]]="Sell",Table1[[#This Row],[price]],"0")</f>
        <v>601.14</v>
      </c>
      <c r="Q415">
        <f>SUMIFS(Table1[quantity],Table1[company_id],Table8[[#This Row],[COMPANY_ID]],Table1[side],"BUY")-SUMIFS(Table1[quantity],Table1[company_id],Table8[[#This Row],[COMPANY_ID]],Table1[side],"SELL")</f>
        <v>0</v>
      </c>
      <c r="R415">
        <f>Table1[[#This Row],[Column2]]-Table1[[#This Row],[Buy-sell]]</f>
        <v>601.14</v>
      </c>
      <c r="S415" t="str">
        <f>IF(Table1[[#This Row],[Sell-Buy]]&gt;0,"Profit","Loss")</f>
        <v>Profit</v>
      </c>
      <c r="AE415" s="10" t="s">
        <v>869</v>
      </c>
      <c r="AF415" s="10" t="str">
        <f>IF(Table1[[#This Row],[Sell-Buy]]&gt;0,"Profit","Loss")</f>
        <v>Profit</v>
      </c>
      <c r="AG415">
        <f>Table1[[#This Row],[Column2]]-Table1[[#This Row],[Buy-sell]]</f>
        <v>601.14</v>
      </c>
    </row>
    <row r="416" spans="1:33" x14ac:dyDescent="0.3">
      <c r="A416" t="s">
        <v>1017</v>
      </c>
      <c r="B416" t="s">
        <v>174</v>
      </c>
      <c r="C416" s="1">
        <v>45743.03402777778</v>
      </c>
      <c r="D416" t="s">
        <v>29</v>
      </c>
      <c r="E416" t="s">
        <v>171</v>
      </c>
      <c r="F416">
        <v>32</v>
      </c>
      <c r="G416">
        <v>578.16</v>
      </c>
      <c r="H416">
        <v>9.25</v>
      </c>
      <c r="I416" t="s">
        <v>142</v>
      </c>
      <c r="J416" t="s">
        <v>64</v>
      </c>
      <c r="L416" s="1">
        <v>45688</v>
      </c>
      <c r="N416">
        <f>IF(Table1[[#This Row],[side]]="BUY", Table1[[#This Row],[quantity]],-Table1[[#This Row],[quantity]])</f>
        <v>-32</v>
      </c>
      <c r="O416" t="s">
        <v>171</v>
      </c>
      <c r="P416">
        <f>IF(Table1[[#This Row],[side]]="Sell",Table1[[#This Row],[price]],"0")</f>
        <v>578.16</v>
      </c>
      <c r="Q416">
        <f>SUMIFS(Table1[quantity],Table1[company_id],Table8[[#This Row],[COMPANY_ID]],Table1[side],"BUY")-SUMIFS(Table1[quantity],Table1[company_id],Table8[[#This Row],[COMPANY_ID]],Table1[side],"SELL")</f>
        <v>0</v>
      </c>
      <c r="R416">
        <f>Table1[[#This Row],[Column2]]-Table1[[#This Row],[Buy-sell]]</f>
        <v>578.16</v>
      </c>
      <c r="S416" t="str">
        <f>IF(Table1[[#This Row],[Sell-Buy]]&gt;0,"Profit","Loss")</f>
        <v>Profit</v>
      </c>
      <c r="AE416" s="9" t="s">
        <v>917</v>
      </c>
      <c r="AF416" s="10" t="str">
        <f>IF(Table1[[#This Row],[Sell-Buy]]&gt;0,"Profit","Loss")</f>
        <v>Profit</v>
      </c>
      <c r="AG416">
        <f>Table1[[#This Row],[Column2]]-Table1[[#This Row],[Buy-sell]]</f>
        <v>578.16</v>
      </c>
    </row>
    <row r="417" spans="1:33" x14ac:dyDescent="0.3">
      <c r="A417" t="s">
        <v>1022</v>
      </c>
      <c r="B417" t="s">
        <v>266</v>
      </c>
      <c r="C417" s="1">
        <v>45665.020833333336</v>
      </c>
      <c r="D417" t="s">
        <v>29</v>
      </c>
      <c r="E417" t="s">
        <v>171</v>
      </c>
      <c r="F417">
        <v>793</v>
      </c>
      <c r="G417">
        <v>468.06</v>
      </c>
      <c r="H417">
        <v>185.59</v>
      </c>
      <c r="I417" t="s">
        <v>124</v>
      </c>
      <c r="J417" t="s">
        <v>52</v>
      </c>
      <c r="L417" s="1">
        <v>45798</v>
      </c>
      <c r="N417">
        <f>IF(Table1[[#This Row],[side]]="BUY", Table1[[#This Row],[quantity]],-Table1[[#This Row],[quantity]])</f>
        <v>-793</v>
      </c>
      <c r="O417" t="s">
        <v>171</v>
      </c>
      <c r="P417">
        <f>IF(Table1[[#This Row],[side]]="Sell",Table1[[#This Row],[price]],"0")</f>
        <v>468.06</v>
      </c>
      <c r="Q417">
        <f>SUMIFS(Table1[quantity],Table1[company_id],Table8[[#This Row],[COMPANY_ID]],Table1[side],"BUY")-SUMIFS(Table1[quantity],Table1[company_id],Table8[[#This Row],[COMPANY_ID]],Table1[side],"SELL")</f>
        <v>0</v>
      </c>
      <c r="R417">
        <f>Table1[[#This Row],[Column2]]-Table1[[#This Row],[Buy-sell]]</f>
        <v>468.06</v>
      </c>
      <c r="S417" t="str">
        <f>IF(Table1[[#This Row],[Sell-Buy]]&gt;0,"Profit","Loss")</f>
        <v>Profit</v>
      </c>
      <c r="AE417" s="10" t="s">
        <v>1023</v>
      </c>
      <c r="AF417" s="10" t="str">
        <f>IF(Table1[[#This Row],[Sell-Buy]]&gt;0,"Profit","Loss")</f>
        <v>Profit</v>
      </c>
      <c r="AG417">
        <f>Table1[[#This Row],[Column2]]-Table1[[#This Row],[Buy-sell]]</f>
        <v>468.06</v>
      </c>
    </row>
    <row r="418" spans="1:33" x14ac:dyDescent="0.3">
      <c r="A418" t="s">
        <v>1023</v>
      </c>
      <c r="B418" t="s">
        <v>584</v>
      </c>
      <c r="C418" s="1">
        <v>45756.03402777778</v>
      </c>
      <c r="D418" t="s">
        <v>29</v>
      </c>
      <c r="E418" t="s">
        <v>171</v>
      </c>
      <c r="F418">
        <v>887</v>
      </c>
      <c r="G418">
        <v>570.15</v>
      </c>
      <c r="H418">
        <v>252.86</v>
      </c>
      <c r="I418" t="s">
        <v>136</v>
      </c>
      <c r="J418" t="s">
        <v>61</v>
      </c>
      <c r="L418" s="1">
        <v>45733</v>
      </c>
      <c r="N418">
        <f>IF(Table1[[#This Row],[side]]="BUY", Table1[[#This Row],[quantity]],-Table1[[#This Row],[quantity]])</f>
        <v>-887</v>
      </c>
      <c r="O418" t="s">
        <v>171</v>
      </c>
      <c r="P418">
        <f>IF(Table1[[#This Row],[side]]="Sell",Table1[[#This Row],[price]],"0")</f>
        <v>570.15</v>
      </c>
      <c r="Q418">
        <f>SUMIFS(Table1[quantity],Table1[company_id],Table8[[#This Row],[COMPANY_ID]],Table1[side],"BUY")-SUMIFS(Table1[quantity],Table1[company_id],Table8[[#This Row],[COMPANY_ID]],Table1[side],"SELL")</f>
        <v>0</v>
      </c>
      <c r="R418">
        <f>Table1[[#This Row],[Column2]]-Table1[[#This Row],[Buy-sell]]</f>
        <v>570.15</v>
      </c>
      <c r="S418" t="str">
        <f>IF(Table1[[#This Row],[Sell-Buy]]&gt;0,"Profit","Loss")</f>
        <v>Profit</v>
      </c>
      <c r="AE418" s="9" t="s">
        <v>906</v>
      </c>
      <c r="AF418" s="10" t="str">
        <f>IF(Table1[[#This Row],[Sell-Buy]]&gt;0,"Profit","Loss")</f>
        <v>Profit</v>
      </c>
      <c r="AG418">
        <f>Table1[[#This Row],[Column2]]-Table1[[#This Row],[Buy-sell]]</f>
        <v>570.15</v>
      </c>
    </row>
    <row r="419" spans="1:33" x14ac:dyDescent="0.3">
      <c r="A419" t="s">
        <v>1026</v>
      </c>
      <c r="B419" t="s">
        <v>427</v>
      </c>
      <c r="C419" s="1">
        <v>45835.003472222219</v>
      </c>
      <c r="D419" t="s">
        <v>29</v>
      </c>
      <c r="E419" t="s">
        <v>171</v>
      </c>
      <c r="F419">
        <v>711</v>
      </c>
      <c r="G419">
        <v>585.70000000000005</v>
      </c>
      <c r="H419">
        <v>208.22</v>
      </c>
      <c r="I419" t="s">
        <v>138</v>
      </c>
      <c r="J419" t="s">
        <v>58</v>
      </c>
      <c r="L419" s="1">
        <v>45658</v>
      </c>
      <c r="N419">
        <f>IF(Table1[[#This Row],[side]]="BUY", Table1[[#This Row],[quantity]],-Table1[[#This Row],[quantity]])</f>
        <v>-711</v>
      </c>
      <c r="O419" t="s">
        <v>171</v>
      </c>
      <c r="P419">
        <f>IF(Table1[[#This Row],[side]]="Sell",Table1[[#This Row],[price]],"0")</f>
        <v>585.70000000000005</v>
      </c>
      <c r="Q419">
        <f>SUMIFS(Table1[quantity],Table1[company_id],Table8[[#This Row],[COMPANY_ID]],Table1[side],"BUY")-SUMIFS(Table1[quantity],Table1[company_id],Table8[[#This Row],[COMPANY_ID]],Table1[side],"SELL")</f>
        <v>0</v>
      </c>
      <c r="R419">
        <f>Table1[[#This Row],[Column2]]-Table1[[#This Row],[Buy-sell]]</f>
        <v>585.70000000000005</v>
      </c>
      <c r="S419" t="str">
        <f>IF(Table1[[#This Row],[Sell-Buy]]&gt;0,"Profit","Loss")</f>
        <v>Profit</v>
      </c>
      <c r="AE419" s="10" t="s">
        <v>786</v>
      </c>
      <c r="AF419" s="10" t="str">
        <f>IF(Table1[[#This Row],[Sell-Buy]]&gt;0,"Profit","Loss")</f>
        <v>Profit</v>
      </c>
      <c r="AG419">
        <f>Table1[[#This Row],[Column2]]-Table1[[#This Row],[Buy-sell]]</f>
        <v>585.70000000000005</v>
      </c>
    </row>
    <row r="420" spans="1:33" x14ac:dyDescent="0.3">
      <c r="A420" t="s">
        <v>1032</v>
      </c>
      <c r="B420" t="s">
        <v>422</v>
      </c>
      <c r="C420" s="1">
        <v>45798.040277777778</v>
      </c>
      <c r="D420" t="s">
        <v>29</v>
      </c>
      <c r="E420" t="s">
        <v>171</v>
      </c>
      <c r="F420">
        <v>349</v>
      </c>
      <c r="G420">
        <v>596.24</v>
      </c>
      <c r="H420">
        <v>104.04</v>
      </c>
      <c r="I420" t="s">
        <v>88</v>
      </c>
      <c r="J420" t="s">
        <v>70</v>
      </c>
      <c r="L420" s="1">
        <v>45824</v>
      </c>
      <c r="N420">
        <f>IF(Table1[[#This Row],[side]]="BUY", Table1[[#This Row],[quantity]],-Table1[[#This Row],[quantity]])</f>
        <v>-349</v>
      </c>
      <c r="O420" t="s">
        <v>171</v>
      </c>
      <c r="P420">
        <f>IF(Table1[[#This Row],[side]]="Sell",Table1[[#This Row],[price]],"0")</f>
        <v>596.24</v>
      </c>
      <c r="Q420">
        <f>SUMIFS(Table1[quantity],Table1[company_id],Table8[[#This Row],[COMPANY_ID]],Table1[side],"BUY")-SUMIFS(Table1[quantity],Table1[company_id],Table8[[#This Row],[COMPANY_ID]],Table1[side],"SELL")</f>
        <v>0</v>
      </c>
      <c r="R420">
        <f>Table1[[#This Row],[Column2]]-Table1[[#This Row],[Buy-sell]]</f>
        <v>596.24</v>
      </c>
      <c r="S420" t="str">
        <f>IF(Table1[[#This Row],[Sell-Buy]]&gt;0,"Profit","Loss")</f>
        <v>Profit</v>
      </c>
      <c r="AE420" s="9" t="s">
        <v>820</v>
      </c>
      <c r="AF420" s="10" t="str">
        <f>IF(Table1[[#This Row],[Sell-Buy]]&gt;0,"Profit","Loss")</f>
        <v>Profit</v>
      </c>
      <c r="AG420">
        <f>Table1[[#This Row],[Column2]]-Table1[[#This Row],[Buy-sell]]</f>
        <v>596.24</v>
      </c>
    </row>
    <row r="421" spans="1:33" x14ac:dyDescent="0.3">
      <c r="A421" t="s">
        <v>1037</v>
      </c>
      <c r="B421" t="s">
        <v>349</v>
      </c>
      <c r="C421" s="1">
        <v>45826.039583333331</v>
      </c>
      <c r="D421" t="s">
        <v>29</v>
      </c>
      <c r="E421" t="s">
        <v>166</v>
      </c>
      <c r="F421">
        <v>393</v>
      </c>
      <c r="G421">
        <v>620.23</v>
      </c>
      <c r="H421">
        <v>121.88</v>
      </c>
      <c r="I421" t="s">
        <v>140</v>
      </c>
      <c r="J421" t="s">
        <v>61</v>
      </c>
      <c r="L421" s="1">
        <v>45742</v>
      </c>
      <c r="M421" t="s">
        <v>166</v>
      </c>
      <c r="N421">
        <f>IF(Table1[[#This Row],[side]]="BUY", Table1[[#This Row],[quantity]],-Table1[[#This Row],[quantity]])</f>
        <v>393</v>
      </c>
      <c r="P421" t="str">
        <f>IF(Table1[[#This Row],[side]]="Sell",Table1[[#This Row],[price]],"0")</f>
        <v>0</v>
      </c>
      <c r="Q421">
        <f>SUMIFS(Table1[quantity],Table1[company_id],Table8[[#This Row],[COMPANY_ID]],Table1[side],"BUY")-SUMIFS(Table1[quantity],Table1[company_id],Table8[[#This Row],[COMPANY_ID]],Table1[side],"SELL")</f>
        <v>0</v>
      </c>
      <c r="R421">
        <f>Table1[[#This Row],[Column2]]-Table1[[#This Row],[Buy-sell]]</f>
        <v>0</v>
      </c>
      <c r="S421" t="str">
        <f>IF(Table1[[#This Row],[Sell-Buy]]&gt;0,"Profit","Loss")</f>
        <v>Loss</v>
      </c>
      <c r="AE421" s="10" t="s">
        <v>1092</v>
      </c>
      <c r="AF421" s="10" t="str">
        <f>IF(Table1[[#This Row],[Sell-Buy]]&gt;0,"Profit","Loss")</f>
        <v>Loss</v>
      </c>
      <c r="AG421">
        <f>Table1[[#This Row],[Column2]]-Table1[[#This Row],[Buy-sell]]</f>
        <v>0</v>
      </c>
    </row>
    <row r="422" spans="1:33" x14ac:dyDescent="0.3">
      <c r="A422" t="s">
        <v>1042</v>
      </c>
      <c r="B422" t="s">
        <v>339</v>
      </c>
      <c r="C422" s="1">
        <v>45805.005555555559</v>
      </c>
      <c r="D422" t="s">
        <v>29</v>
      </c>
      <c r="E422" t="s">
        <v>166</v>
      </c>
      <c r="F422">
        <v>202</v>
      </c>
      <c r="G422">
        <v>614.87</v>
      </c>
      <c r="H422">
        <v>62.1</v>
      </c>
      <c r="I422" t="s">
        <v>136</v>
      </c>
      <c r="J422" t="s">
        <v>67</v>
      </c>
      <c r="L422" s="1">
        <v>45748</v>
      </c>
      <c r="M422" t="s">
        <v>166</v>
      </c>
      <c r="N422">
        <f>IF(Table1[[#This Row],[side]]="BUY", Table1[[#This Row],[quantity]],-Table1[[#This Row],[quantity]])</f>
        <v>202</v>
      </c>
      <c r="P422" t="str">
        <f>IF(Table1[[#This Row],[side]]="Sell",Table1[[#This Row],[price]],"0")</f>
        <v>0</v>
      </c>
      <c r="Q422">
        <f>SUMIFS(Table1[quantity],Table1[company_id],Table8[[#This Row],[COMPANY_ID]],Table1[side],"BUY")-SUMIFS(Table1[quantity],Table1[company_id],Table8[[#This Row],[COMPANY_ID]],Table1[side],"SELL")</f>
        <v>0</v>
      </c>
      <c r="R422">
        <f>Table1[[#This Row],[Column2]]-Table1[[#This Row],[Buy-sell]]</f>
        <v>0</v>
      </c>
      <c r="S422" t="str">
        <f>IF(Table1[[#This Row],[Sell-Buy]]&gt;0,"Profit","Loss")</f>
        <v>Loss</v>
      </c>
      <c r="AE422" s="9" t="s">
        <v>960</v>
      </c>
      <c r="AF422" s="10" t="str">
        <f>IF(Table1[[#This Row],[Sell-Buy]]&gt;0,"Profit","Loss")</f>
        <v>Loss</v>
      </c>
      <c r="AG422">
        <f>Table1[[#This Row],[Column2]]-Table1[[#This Row],[Buy-sell]]</f>
        <v>0</v>
      </c>
    </row>
    <row r="423" spans="1:33" x14ac:dyDescent="0.3">
      <c r="A423" t="s">
        <v>1043</v>
      </c>
      <c r="B423" t="s">
        <v>386</v>
      </c>
      <c r="C423" s="1">
        <v>45707.021527777775</v>
      </c>
      <c r="D423" t="s">
        <v>29</v>
      </c>
      <c r="E423" t="s">
        <v>171</v>
      </c>
      <c r="F423">
        <v>573</v>
      </c>
      <c r="G423">
        <v>544.72</v>
      </c>
      <c r="H423">
        <v>156.06</v>
      </c>
      <c r="I423" t="s">
        <v>136</v>
      </c>
      <c r="J423" t="s">
        <v>67</v>
      </c>
      <c r="L423" s="1">
        <v>45765</v>
      </c>
      <c r="N423">
        <f>IF(Table1[[#This Row],[side]]="BUY", Table1[[#This Row],[quantity]],-Table1[[#This Row],[quantity]])</f>
        <v>-573</v>
      </c>
      <c r="O423" t="s">
        <v>171</v>
      </c>
      <c r="P423">
        <f>IF(Table1[[#This Row],[side]]="Sell",Table1[[#This Row],[price]],"0")</f>
        <v>544.72</v>
      </c>
      <c r="Q423">
        <f>SUMIFS(Table1[quantity],Table1[company_id],Table8[[#This Row],[COMPANY_ID]],Table1[side],"BUY")-SUMIFS(Table1[quantity],Table1[company_id],Table8[[#This Row],[COMPANY_ID]],Table1[side],"SELL")</f>
        <v>0</v>
      </c>
      <c r="R423">
        <f>Table1[[#This Row],[Column2]]-Table1[[#This Row],[Buy-sell]]</f>
        <v>544.72</v>
      </c>
      <c r="S423" t="str">
        <f>IF(Table1[[#This Row],[Sell-Buy]]&gt;0,"Profit","Loss")</f>
        <v>Profit</v>
      </c>
      <c r="AE423" s="10" t="s">
        <v>842</v>
      </c>
      <c r="AF423" s="10" t="str">
        <f>IF(Table1[[#This Row],[Sell-Buy]]&gt;0,"Profit","Loss")</f>
        <v>Profit</v>
      </c>
      <c r="AG423">
        <f>Table1[[#This Row],[Column2]]-Table1[[#This Row],[Buy-sell]]</f>
        <v>544.72</v>
      </c>
    </row>
    <row r="424" spans="1:33" x14ac:dyDescent="0.3">
      <c r="A424" t="s">
        <v>1049</v>
      </c>
      <c r="B424" t="s">
        <v>642</v>
      </c>
      <c r="C424" s="1">
        <v>45792.035416666666</v>
      </c>
      <c r="D424" t="s">
        <v>29</v>
      </c>
      <c r="E424" t="s">
        <v>171</v>
      </c>
      <c r="F424">
        <v>801</v>
      </c>
      <c r="G424">
        <v>591.79999999999995</v>
      </c>
      <c r="H424">
        <v>237.02</v>
      </c>
      <c r="I424" t="s">
        <v>138</v>
      </c>
      <c r="J424" t="s">
        <v>67</v>
      </c>
      <c r="L424" s="1">
        <v>45663</v>
      </c>
      <c r="N424">
        <f>IF(Table1[[#This Row],[side]]="BUY", Table1[[#This Row],[quantity]],-Table1[[#This Row],[quantity]])</f>
        <v>-801</v>
      </c>
      <c r="O424" t="s">
        <v>171</v>
      </c>
      <c r="P424">
        <f>IF(Table1[[#This Row],[side]]="Sell",Table1[[#This Row],[price]],"0")</f>
        <v>591.79999999999995</v>
      </c>
      <c r="Q424">
        <f>SUMIFS(Table1[quantity],Table1[company_id],Table8[[#This Row],[COMPANY_ID]],Table1[side],"BUY")-SUMIFS(Table1[quantity],Table1[company_id],Table8[[#This Row],[COMPANY_ID]],Table1[side],"SELL")</f>
        <v>0</v>
      </c>
      <c r="R424">
        <f>Table1[[#This Row],[Column2]]-Table1[[#This Row],[Buy-sell]]</f>
        <v>591.79999999999995</v>
      </c>
      <c r="S424" t="str">
        <f>IF(Table1[[#This Row],[Sell-Buy]]&gt;0,"Profit","Loss")</f>
        <v>Profit</v>
      </c>
      <c r="AE424" s="9" t="s">
        <v>815</v>
      </c>
      <c r="AF424" s="10" t="str">
        <f>IF(Table1[[#This Row],[Sell-Buy]]&gt;0,"Profit","Loss")</f>
        <v>Profit</v>
      </c>
      <c r="AG424">
        <f>Table1[[#This Row],[Column2]]-Table1[[#This Row],[Buy-sell]]</f>
        <v>591.79999999999995</v>
      </c>
    </row>
    <row r="425" spans="1:33" x14ac:dyDescent="0.3">
      <c r="A425" t="s">
        <v>1063</v>
      </c>
      <c r="B425" t="s">
        <v>194</v>
      </c>
      <c r="C425" s="1">
        <v>45667.038888888892</v>
      </c>
      <c r="D425" t="s">
        <v>29</v>
      </c>
      <c r="E425" t="s">
        <v>171</v>
      </c>
      <c r="F425">
        <v>675</v>
      </c>
      <c r="G425">
        <v>480.54</v>
      </c>
      <c r="H425">
        <v>162.18</v>
      </c>
      <c r="I425" t="s">
        <v>138</v>
      </c>
      <c r="J425" t="s">
        <v>64</v>
      </c>
      <c r="L425" s="1">
        <v>45695</v>
      </c>
      <c r="N425">
        <f>IF(Table1[[#This Row],[side]]="BUY", Table1[[#This Row],[quantity]],-Table1[[#This Row],[quantity]])</f>
        <v>-675</v>
      </c>
      <c r="O425" t="s">
        <v>171</v>
      </c>
      <c r="P425">
        <f>IF(Table1[[#This Row],[side]]="Sell",Table1[[#This Row],[price]],"0")</f>
        <v>480.54</v>
      </c>
      <c r="Q425">
        <f>SUMIFS(Table1[quantity],Table1[company_id],Table8[[#This Row],[COMPANY_ID]],Table1[side],"BUY")-SUMIFS(Table1[quantity],Table1[company_id],Table8[[#This Row],[COMPANY_ID]],Table1[side],"SELL")</f>
        <v>0</v>
      </c>
      <c r="R425">
        <f>Table1[[#This Row],[Column2]]-Table1[[#This Row],[Buy-sell]]</f>
        <v>480.54</v>
      </c>
      <c r="S425" t="str">
        <f>IF(Table1[[#This Row],[Sell-Buy]]&gt;0,"Profit","Loss")</f>
        <v>Profit</v>
      </c>
      <c r="AE425" s="10" t="s">
        <v>816</v>
      </c>
      <c r="AF425" s="10" t="str">
        <f>IF(Table1[[#This Row],[Sell-Buy]]&gt;0,"Profit","Loss")</f>
        <v>Profit</v>
      </c>
      <c r="AG425">
        <f>Table1[[#This Row],[Column2]]-Table1[[#This Row],[Buy-sell]]</f>
        <v>480.54</v>
      </c>
    </row>
    <row r="426" spans="1:33" x14ac:dyDescent="0.3">
      <c r="A426" t="s">
        <v>1074</v>
      </c>
      <c r="B426" t="s">
        <v>626</v>
      </c>
      <c r="C426" s="1">
        <v>45761.036805555559</v>
      </c>
      <c r="D426" t="s">
        <v>29</v>
      </c>
      <c r="E426" t="s">
        <v>166</v>
      </c>
      <c r="F426">
        <v>363</v>
      </c>
      <c r="G426">
        <v>570.26</v>
      </c>
      <c r="H426">
        <v>103.5</v>
      </c>
      <c r="I426" t="s">
        <v>134</v>
      </c>
      <c r="J426" t="s">
        <v>55</v>
      </c>
      <c r="L426" s="1">
        <v>45790</v>
      </c>
      <c r="M426" t="s">
        <v>166</v>
      </c>
      <c r="N426">
        <f>IF(Table1[[#This Row],[side]]="BUY", Table1[[#This Row],[quantity]],-Table1[[#This Row],[quantity]])</f>
        <v>363</v>
      </c>
      <c r="P426" t="str">
        <f>IF(Table1[[#This Row],[side]]="Sell",Table1[[#This Row],[price]],"0")</f>
        <v>0</v>
      </c>
      <c r="Q426">
        <f>SUMIFS(Table1[quantity],Table1[company_id],Table8[[#This Row],[COMPANY_ID]],Table1[side],"BUY")-SUMIFS(Table1[quantity],Table1[company_id],Table8[[#This Row],[COMPANY_ID]],Table1[side],"SELL")</f>
        <v>0</v>
      </c>
      <c r="R426">
        <f>Table1[[#This Row],[Column2]]-Table1[[#This Row],[Buy-sell]]</f>
        <v>0</v>
      </c>
      <c r="S426" t="str">
        <f>IF(Table1[[#This Row],[Sell-Buy]]&gt;0,"Profit","Loss")</f>
        <v>Loss</v>
      </c>
      <c r="AE426" s="9" t="s">
        <v>912</v>
      </c>
      <c r="AF426" s="10" t="str">
        <f>IF(Table1[[#This Row],[Sell-Buy]]&gt;0,"Profit","Loss")</f>
        <v>Loss</v>
      </c>
      <c r="AG426">
        <f>Table1[[#This Row],[Column2]]-Table1[[#This Row],[Buy-sell]]</f>
        <v>0</v>
      </c>
    </row>
    <row r="427" spans="1:33" x14ac:dyDescent="0.3">
      <c r="A427" t="s">
        <v>1080</v>
      </c>
      <c r="B427" t="s">
        <v>230</v>
      </c>
      <c r="C427" s="1">
        <v>45761.034722222219</v>
      </c>
      <c r="D427" t="s">
        <v>29</v>
      </c>
      <c r="E427" t="s">
        <v>166</v>
      </c>
      <c r="F427">
        <v>448</v>
      </c>
      <c r="G427">
        <v>570.12</v>
      </c>
      <c r="H427">
        <v>127.71</v>
      </c>
      <c r="I427" t="s">
        <v>144</v>
      </c>
      <c r="J427" t="s">
        <v>73</v>
      </c>
      <c r="L427" s="1">
        <v>45680</v>
      </c>
      <c r="M427" t="s">
        <v>166</v>
      </c>
      <c r="N427">
        <f>IF(Table1[[#This Row],[side]]="BUY", Table1[[#This Row],[quantity]],-Table1[[#This Row],[quantity]])</f>
        <v>448</v>
      </c>
      <c r="P427" t="str">
        <f>IF(Table1[[#This Row],[side]]="Sell",Table1[[#This Row],[price]],"0")</f>
        <v>0</v>
      </c>
      <c r="Q427">
        <f>SUMIFS(Table1[quantity],Table1[company_id],Table8[[#This Row],[COMPANY_ID]],Table1[side],"BUY")-SUMIFS(Table1[quantity],Table1[company_id],Table8[[#This Row],[COMPANY_ID]],Table1[side],"SELL")</f>
        <v>0</v>
      </c>
      <c r="R427">
        <f>Table1[[#This Row],[Column2]]-Table1[[#This Row],[Buy-sell]]</f>
        <v>0</v>
      </c>
      <c r="S427" t="str">
        <f>IF(Table1[[#This Row],[Sell-Buy]]&gt;0,"Profit","Loss")</f>
        <v>Loss</v>
      </c>
      <c r="AE427" s="10" t="s">
        <v>1131</v>
      </c>
      <c r="AF427" s="10" t="str">
        <f>IF(Table1[[#This Row],[Sell-Buy]]&gt;0,"Profit","Loss")</f>
        <v>Loss</v>
      </c>
      <c r="AG427">
        <f>Table1[[#This Row],[Column2]]-Table1[[#This Row],[Buy-sell]]</f>
        <v>0</v>
      </c>
    </row>
    <row r="428" spans="1:33" x14ac:dyDescent="0.3">
      <c r="A428" t="s">
        <v>1089</v>
      </c>
      <c r="B428" t="s">
        <v>400</v>
      </c>
      <c r="C428" s="1">
        <v>45702.01666666667</v>
      </c>
      <c r="D428" t="s">
        <v>29</v>
      </c>
      <c r="E428" t="s">
        <v>171</v>
      </c>
      <c r="F428">
        <v>922</v>
      </c>
      <c r="G428">
        <v>540.99</v>
      </c>
      <c r="H428">
        <v>249.4</v>
      </c>
      <c r="I428" t="s">
        <v>122</v>
      </c>
      <c r="J428" t="s">
        <v>55</v>
      </c>
      <c r="L428" s="1">
        <v>45757</v>
      </c>
      <c r="N428">
        <f>IF(Table1[[#This Row],[side]]="BUY", Table1[[#This Row],[quantity]],-Table1[[#This Row],[quantity]])</f>
        <v>-922</v>
      </c>
      <c r="O428" t="s">
        <v>171</v>
      </c>
      <c r="P428">
        <f>IF(Table1[[#This Row],[side]]="Sell",Table1[[#This Row],[price]],"0")</f>
        <v>540.99</v>
      </c>
      <c r="Q428">
        <f>SUMIFS(Table1[quantity],Table1[company_id],Table8[[#This Row],[COMPANY_ID]],Table1[side],"BUY")-SUMIFS(Table1[quantity],Table1[company_id],Table8[[#This Row],[COMPANY_ID]],Table1[side],"SELL")</f>
        <v>0</v>
      </c>
      <c r="R428">
        <f>Table1[[#This Row],[Column2]]-Table1[[#This Row],[Buy-sell]]</f>
        <v>540.99</v>
      </c>
      <c r="S428" t="str">
        <f>IF(Table1[[#This Row],[Sell-Buy]]&gt;0,"Profit","Loss")</f>
        <v>Profit</v>
      </c>
      <c r="AE428" s="9" t="s">
        <v>727</v>
      </c>
      <c r="AF428" s="10" t="str">
        <f>IF(Table1[[#This Row],[Sell-Buy]]&gt;0,"Profit","Loss")</f>
        <v>Profit</v>
      </c>
      <c r="AG428">
        <f>Table1[[#This Row],[Column2]]-Table1[[#This Row],[Buy-sell]]</f>
        <v>540.99</v>
      </c>
    </row>
    <row r="429" spans="1:33" x14ac:dyDescent="0.3">
      <c r="A429" t="s">
        <v>1093</v>
      </c>
      <c r="B429" t="s">
        <v>517</v>
      </c>
      <c r="C429" s="1">
        <v>45762.036805555559</v>
      </c>
      <c r="D429" t="s">
        <v>29</v>
      </c>
      <c r="E429" t="s">
        <v>171</v>
      </c>
      <c r="F429">
        <v>166</v>
      </c>
      <c r="G429">
        <v>567.42999999999995</v>
      </c>
      <c r="H429">
        <v>47.1</v>
      </c>
      <c r="I429" t="s">
        <v>102</v>
      </c>
      <c r="J429" t="s">
        <v>52</v>
      </c>
      <c r="L429" s="1">
        <v>45778</v>
      </c>
      <c r="N429">
        <f>IF(Table1[[#This Row],[side]]="BUY", Table1[[#This Row],[quantity]],-Table1[[#This Row],[quantity]])</f>
        <v>-166</v>
      </c>
      <c r="O429" t="s">
        <v>171</v>
      </c>
      <c r="P429">
        <f>IF(Table1[[#This Row],[side]]="Sell",Table1[[#This Row],[price]],"0")</f>
        <v>567.42999999999995</v>
      </c>
      <c r="Q429">
        <f>SUMIFS(Table1[quantity],Table1[company_id],Table8[[#This Row],[COMPANY_ID]],Table1[side],"BUY")-SUMIFS(Table1[quantity],Table1[company_id],Table8[[#This Row],[COMPANY_ID]],Table1[side],"SELL")</f>
        <v>0</v>
      </c>
      <c r="R429">
        <f>Table1[[#This Row],[Column2]]-Table1[[#This Row],[Buy-sell]]</f>
        <v>567.42999999999995</v>
      </c>
      <c r="S429" t="str">
        <f>IF(Table1[[#This Row],[Sell-Buy]]&gt;0,"Profit","Loss")</f>
        <v>Profit</v>
      </c>
      <c r="AE429" s="10" t="s">
        <v>972</v>
      </c>
      <c r="AF429" s="10" t="str">
        <f>IF(Table1[[#This Row],[Sell-Buy]]&gt;0,"Profit","Loss")</f>
        <v>Profit</v>
      </c>
      <c r="AG429">
        <f>Table1[[#This Row],[Column2]]-Table1[[#This Row],[Buy-sell]]</f>
        <v>567.42999999999995</v>
      </c>
    </row>
    <row r="430" spans="1:33" x14ac:dyDescent="0.3">
      <c r="A430" t="s">
        <v>1101</v>
      </c>
      <c r="B430" t="s">
        <v>665</v>
      </c>
      <c r="C430" s="1">
        <v>45719.032638888886</v>
      </c>
      <c r="D430" t="s">
        <v>29</v>
      </c>
      <c r="E430" t="s">
        <v>171</v>
      </c>
      <c r="F430">
        <v>631</v>
      </c>
      <c r="G430">
        <v>567.98</v>
      </c>
      <c r="H430">
        <v>179.2</v>
      </c>
      <c r="I430" t="s">
        <v>138</v>
      </c>
      <c r="J430" t="s">
        <v>52</v>
      </c>
      <c r="L430" s="1">
        <v>45812</v>
      </c>
      <c r="N430">
        <f>IF(Table1[[#This Row],[side]]="BUY", Table1[[#This Row],[quantity]],-Table1[[#This Row],[quantity]])</f>
        <v>-631</v>
      </c>
      <c r="O430" t="s">
        <v>171</v>
      </c>
      <c r="P430">
        <f>IF(Table1[[#This Row],[side]]="Sell",Table1[[#This Row],[price]],"0")</f>
        <v>567.98</v>
      </c>
      <c r="Q430">
        <f>SUMIFS(Table1[quantity],Table1[company_id],Table8[[#This Row],[COMPANY_ID]],Table1[side],"BUY")-SUMIFS(Table1[quantity],Table1[company_id],Table8[[#This Row],[COMPANY_ID]],Table1[side],"SELL")</f>
        <v>0</v>
      </c>
      <c r="R430">
        <f>Table1[[#This Row],[Column2]]-Table1[[#This Row],[Buy-sell]]</f>
        <v>567.98</v>
      </c>
      <c r="S430" t="str">
        <f>IF(Table1[[#This Row],[Sell-Buy]]&gt;0,"Profit","Loss")</f>
        <v>Profit</v>
      </c>
      <c r="AE430" s="9" t="s">
        <v>751</v>
      </c>
      <c r="AF430" s="10" t="str">
        <f>IF(Table1[[#This Row],[Sell-Buy]]&gt;0,"Profit","Loss")</f>
        <v>Profit</v>
      </c>
      <c r="AG430">
        <f>Table1[[#This Row],[Column2]]-Table1[[#This Row],[Buy-sell]]</f>
        <v>567.98</v>
      </c>
    </row>
    <row r="431" spans="1:33" x14ac:dyDescent="0.3">
      <c r="A431" t="s">
        <v>1103</v>
      </c>
      <c r="B431" t="s">
        <v>460</v>
      </c>
      <c r="C431" s="1">
        <v>45775.026388888888</v>
      </c>
      <c r="D431" t="s">
        <v>29</v>
      </c>
      <c r="E431" t="s">
        <v>166</v>
      </c>
      <c r="F431">
        <v>546</v>
      </c>
      <c r="G431">
        <v>599.62</v>
      </c>
      <c r="H431">
        <v>163.69999999999999</v>
      </c>
      <c r="I431" t="s">
        <v>144</v>
      </c>
      <c r="J431" t="s">
        <v>52</v>
      </c>
      <c r="L431" s="1">
        <v>45692</v>
      </c>
      <c r="M431" t="s">
        <v>166</v>
      </c>
      <c r="N431">
        <f>IF(Table1[[#This Row],[side]]="BUY", Table1[[#This Row],[quantity]],-Table1[[#This Row],[quantity]])</f>
        <v>546</v>
      </c>
      <c r="P431" t="str">
        <f>IF(Table1[[#This Row],[side]]="Sell",Table1[[#This Row],[price]],"0")</f>
        <v>0</v>
      </c>
      <c r="Q431">
        <f>SUMIFS(Table1[quantity],Table1[company_id],Table8[[#This Row],[COMPANY_ID]],Table1[side],"BUY")-SUMIFS(Table1[quantity],Table1[company_id],Table8[[#This Row],[COMPANY_ID]],Table1[side],"SELL")</f>
        <v>0</v>
      </c>
      <c r="R431">
        <f>Table1[[#This Row],[Column2]]-Table1[[#This Row],[Buy-sell]]</f>
        <v>0</v>
      </c>
      <c r="S431" t="str">
        <f>IF(Table1[[#This Row],[Sell-Buy]]&gt;0,"Profit","Loss")</f>
        <v>Loss</v>
      </c>
      <c r="AE431" s="10" t="s">
        <v>1040</v>
      </c>
      <c r="AF431" s="10" t="str">
        <f>IF(Table1[[#This Row],[Sell-Buy]]&gt;0,"Profit","Loss")</f>
        <v>Loss</v>
      </c>
      <c r="AG431">
        <f>Table1[[#This Row],[Column2]]-Table1[[#This Row],[Buy-sell]]</f>
        <v>0</v>
      </c>
    </row>
    <row r="432" spans="1:33" x14ac:dyDescent="0.3">
      <c r="A432" t="s">
        <v>1104</v>
      </c>
      <c r="B432" t="s">
        <v>376</v>
      </c>
      <c r="C432" s="1">
        <v>45727.00277777778</v>
      </c>
      <c r="D432" t="s">
        <v>29</v>
      </c>
      <c r="E432" t="s">
        <v>166</v>
      </c>
      <c r="F432">
        <v>711</v>
      </c>
      <c r="G432">
        <v>561.36</v>
      </c>
      <c r="H432">
        <v>199.56</v>
      </c>
      <c r="I432" t="s">
        <v>91</v>
      </c>
      <c r="J432" t="s">
        <v>52</v>
      </c>
      <c r="L432" s="1">
        <v>45764</v>
      </c>
      <c r="M432" t="s">
        <v>166</v>
      </c>
      <c r="N432">
        <f>IF(Table1[[#This Row],[side]]="BUY", Table1[[#This Row],[quantity]],-Table1[[#This Row],[quantity]])</f>
        <v>711</v>
      </c>
      <c r="P432" t="str">
        <f>IF(Table1[[#This Row],[side]]="Sell",Table1[[#This Row],[price]],"0")</f>
        <v>0</v>
      </c>
      <c r="Q432">
        <f>SUMIFS(Table1[quantity],Table1[company_id],Table8[[#This Row],[COMPANY_ID]],Table1[side],"BUY")-SUMIFS(Table1[quantity],Table1[company_id],Table8[[#This Row],[COMPANY_ID]],Table1[side],"SELL")</f>
        <v>0</v>
      </c>
      <c r="R432">
        <f>Table1[[#This Row],[Column2]]-Table1[[#This Row],[Buy-sell]]</f>
        <v>0</v>
      </c>
      <c r="S432" t="str">
        <f>IF(Table1[[#This Row],[Sell-Buy]]&gt;0,"Profit","Loss")</f>
        <v>Loss</v>
      </c>
      <c r="AE432" s="9" t="s">
        <v>1058</v>
      </c>
      <c r="AF432" s="10" t="str">
        <f>IF(Table1[[#This Row],[Sell-Buy]]&gt;0,"Profit","Loss")</f>
        <v>Loss</v>
      </c>
      <c r="AG432">
        <f>Table1[[#This Row],[Column2]]-Table1[[#This Row],[Buy-sell]]</f>
        <v>0</v>
      </c>
    </row>
    <row r="433" spans="1:33" x14ac:dyDescent="0.3">
      <c r="A433" t="s">
        <v>1118</v>
      </c>
      <c r="B433" t="s">
        <v>354</v>
      </c>
      <c r="C433" s="1">
        <v>45700.029861111114</v>
      </c>
      <c r="D433" t="s">
        <v>29</v>
      </c>
      <c r="E433" t="s">
        <v>171</v>
      </c>
      <c r="F433">
        <v>848</v>
      </c>
      <c r="G433">
        <v>540.29999999999995</v>
      </c>
      <c r="H433">
        <v>229.09</v>
      </c>
      <c r="I433" t="s">
        <v>148</v>
      </c>
      <c r="J433" t="s">
        <v>49</v>
      </c>
      <c r="L433" s="1">
        <v>45819</v>
      </c>
      <c r="N433">
        <f>IF(Table1[[#This Row],[side]]="BUY", Table1[[#This Row],[quantity]],-Table1[[#This Row],[quantity]])</f>
        <v>-848</v>
      </c>
      <c r="O433" t="s">
        <v>171</v>
      </c>
      <c r="P433">
        <f>IF(Table1[[#This Row],[side]]="Sell",Table1[[#This Row],[price]],"0")</f>
        <v>540.29999999999995</v>
      </c>
      <c r="Q433">
        <f>SUMIFS(Table1[quantity],Table1[company_id],Table8[[#This Row],[COMPANY_ID]],Table1[side],"BUY")-SUMIFS(Table1[quantity],Table1[company_id],Table8[[#This Row],[COMPANY_ID]],Table1[side],"SELL")</f>
        <v>0</v>
      </c>
      <c r="R433">
        <f>Table1[[#This Row],[Column2]]-Table1[[#This Row],[Buy-sell]]</f>
        <v>540.29999999999995</v>
      </c>
      <c r="S433" t="str">
        <f>IF(Table1[[#This Row],[Sell-Buy]]&gt;0,"Profit","Loss")</f>
        <v>Profit</v>
      </c>
      <c r="AE433" s="10" t="s">
        <v>1077</v>
      </c>
      <c r="AF433" s="10" t="str">
        <f>IF(Table1[[#This Row],[Sell-Buy]]&gt;0,"Profit","Loss")</f>
        <v>Profit</v>
      </c>
      <c r="AG433">
        <f>Table1[[#This Row],[Column2]]-Table1[[#This Row],[Buy-sell]]</f>
        <v>540.29999999999995</v>
      </c>
    </row>
    <row r="434" spans="1:33" x14ac:dyDescent="0.3">
      <c r="A434" t="s">
        <v>1123</v>
      </c>
      <c r="B434" t="s">
        <v>256</v>
      </c>
      <c r="C434" s="1">
        <v>45728.006944444445</v>
      </c>
      <c r="D434" t="s">
        <v>29</v>
      </c>
      <c r="E434" t="s">
        <v>171</v>
      </c>
      <c r="F434">
        <v>796</v>
      </c>
      <c r="G434">
        <v>573.79999999999995</v>
      </c>
      <c r="H434">
        <v>228.37</v>
      </c>
      <c r="I434" t="s">
        <v>144</v>
      </c>
      <c r="J434" t="s">
        <v>76</v>
      </c>
      <c r="L434" s="1">
        <v>45694</v>
      </c>
      <c r="N434">
        <f>IF(Table1[[#This Row],[side]]="BUY", Table1[[#This Row],[quantity]],-Table1[[#This Row],[quantity]])</f>
        <v>-796</v>
      </c>
      <c r="O434" t="s">
        <v>171</v>
      </c>
      <c r="P434">
        <f>IF(Table1[[#This Row],[side]]="Sell",Table1[[#This Row],[price]],"0")</f>
        <v>573.79999999999995</v>
      </c>
      <c r="Q434">
        <f>SUMIFS(Table1[quantity],Table1[company_id],Table8[[#This Row],[COMPANY_ID]],Table1[side],"BUY")-SUMIFS(Table1[quantity],Table1[company_id],Table8[[#This Row],[COMPANY_ID]],Table1[side],"SELL")</f>
        <v>0</v>
      </c>
      <c r="R434">
        <f>Table1[[#This Row],[Column2]]-Table1[[#This Row],[Buy-sell]]</f>
        <v>573.79999999999995</v>
      </c>
      <c r="S434" t="str">
        <f>IF(Table1[[#This Row],[Sell-Buy]]&gt;0,"Profit","Loss")</f>
        <v>Profit</v>
      </c>
      <c r="AE434" s="9" t="s">
        <v>914</v>
      </c>
      <c r="AF434" s="10" t="str">
        <f>IF(Table1[[#This Row],[Sell-Buy]]&gt;0,"Profit","Loss")</f>
        <v>Profit</v>
      </c>
      <c r="AG434">
        <f>Table1[[#This Row],[Column2]]-Table1[[#This Row],[Buy-sell]]</f>
        <v>573.79999999999995</v>
      </c>
    </row>
    <row r="435" spans="1:33" x14ac:dyDescent="0.3">
      <c r="A435" t="s">
        <v>1135</v>
      </c>
      <c r="B435" t="s">
        <v>660</v>
      </c>
      <c r="C435" s="1">
        <v>45811.040277777778</v>
      </c>
      <c r="D435" t="s">
        <v>29</v>
      </c>
      <c r="E435" t="s">
        <v>166</v>
      </c>
      <c r="F435">
        <v>991</v>
      </c>
      <c r="G435">
        <v>615.47</v>
      </c>
      <c r="H435">
        <v>304.97000000000003</v>
      </c>
      <c r="I435" t="s">
        <v>148</v>
      </c>
      <c r="J435" t="s">
        <v>61</v>
      </c>
      <c r="L435" s="1">
        <v>45838</v>
      </c>
      <c r="M435" t="s">
        <v>166</v>
      </c>
      <c r="N435">
        <f>IF(Table1[[#This Row],[side]]="BUY", Table1[[#This Row],[quantity]],-Table1[[#This Row],[quantity]])</f>
        <v>991</v>
      </c>
      <c r="P435" t="str">
        <f>IF(Table1[[#This Row],[side]]="Sell",Table1[[#This Row],[price]],"0")</f>
        <v>0</v>
      </c>
      <c r="Q435">
        <f>SUMIFS(Table1[quantity],Table1[company_id],Table8[[#This Row],[COMPANY_ID]],Table1[side],"BUY")-SUMIFS(Table1[quantity],Table1[company_id],Table8[[#This Row],[COMPANY_ID]],Table1[side],"SELL")</f>
        <v>0</v>
      </c>
      <c r="R435">
        <f>Table1[[#This Row],[Column2]]-Table1[[#This Row],[Buy-sell]]</f>
        <v>0</v>
      </c>
      <c r="S435" t="str">
        <f>IF(Table1[[#This Row],[Sell-Buy]]&gt;0,"Profit","Loss")</f>
        <v>Loss</v>
      </c>
      <c r="AE435" s="10" t="s">
        <v>916</v>
      </c>
      <c r="AF435" s="10" t="str">
        <f>IF(Table1[[#This Row],[Sell-Buy]]&gt;0,"Profit","Loss")</f>
        <v>Loss</v>
      </c>
      <c r="AG435">
        <f>Table1[[#This Row],[Column2]]-Table1[[#This Row],[Buy-sell]]</f>
        <v>0</v>
      </c>
    </row>
    <row r="436" spans="1:33" x14ac:dyDescent="0.3">
      <c r="A436" t="s">
        <v>1142</v>
      </c>
      <c r="B436" t="s">
        <v>275</v>
      </c>
      <c r="C436" s="1">
        <v>45811.018750000003</v>
      </c>
      <c r="D436" t="s">
        <v>29</v>
      </c>
      <c r="E436" t="s">
        <v>166</v>
      </c>
      <c r="F436">
        <v>429</v>
      </c>
      <c r="G436">
        <v>614.58000000000004</v>
      </c>
      <c r="H436">
        <v>131.83000000000001</v>
      </c>
      <c r="I436" t="s">
        <v>94</v>
      </c>
      <c r="J436" t="s">
        <v>52</v>
      </c>
      <c r="L436" s="1">
        <v>45685</v>
      </c>
      <c r="M436" t="s">
        <v>166</v>
      </c>
      <c r="N436">
        <f>IF(Table1[[#This Row],[side]]="BUY", Table1[[#This Row],[quantity]],-Table1[[#This Row],[quantity]])</f>
        <v>429</v>
      </c>
      <c r="P436" t="str">
        <f>IF(Table1[[#This Row],[side]]="Sell",Table1[[#This Row],[price]],"0")</f>
        <v>0</v>
      </c>
      <c r="Q436">
        <f>SUMIFS(Table1[quantity],Table1[company_id],Table8[[#This Row],[COMPANY_ID]],Table1[side],"BUY")-SUMIFS(Table1[quantity],Table1[company_id],Table8[[#This Row],[COMPANY_ID]],Table1[side],"SELL")</f>
        <v>0</v>
      </c>
      <c r="R436">
        <f>Table1[[#This Row],[Column2]]-Table1[[#This Row],[Buy-sell]]</f>
        <v>0</v>
      </c>
      <c r="S436" t="str">
        <f>IF(Table1[[#This Row],[Sell-Buy]]&gt;0,"Profit","Loss")</f>
        <v>Loss</v>
      </c>
      <c r="AE436" s="9" t="s">
        <v>1062</v>
      </c>
      <c r="AF436" s="10" t="str">
        <f>IF(Table1[[#This Row],[Sell-Buy]]&gt;0,"Profit","Loss")</f>
        <v>Loss</v>
      </c>
      <c r="AG436">
        <f>Table1[[#This Row],[Column2]]-Table1[[#This Row],[Buy-sell]]</f>
        <v>0</v>
      </c>
    </row>
    <row r="437" spans="1:33" x14ac:dyDescent="0.3">
      <c r="A437" t="s">
        <v>1143</v>
      </c>
      <c r="B437" t="s">
        <v>287</v>
      </c>
      <c r="C437" s="1">
        <v>45708.038888888892</v>
      </c>
      <c r="D437" t="s">
        <v>29</v>
      </c>
      <c r="E437" t="s">
        <v>171</v>
      </c>
      <c r="F437">
        <v>55</v>
      </c>
      <c r="G437">
        <v>551.13</v>
      </c>
      <c r="H437">
        <v>15.16</v>
      </c>
      <c r="I437" t="s">
        <v>94</v>
      </c>
      <c r="J437" t="s">
        <v>64</v>
      </c>
      <c r="L437" s="1">
        <v>45782</v>
      </c>
      <c r="N437">
        <f>IF(Table1[[#This Row],[side]]="BUY", Table1[[#This Row],[quantity]],-Table1[[#This Row],[quantity]])</f>
        <v>-55</v>
      </c>
      <c r="O437" t="s">
        <v>171</v>
      </c>
      <c r="P437">
        <f>IF(Table1[[#This Row],[side]]="Sell",Table1[[#This Row],[price]],"0")</f>
        <v>551.13</v>
      </c>
      <c r="Q437">
        <f>SUMIFS(Table1[quantity],Table1[company_id],Table8[[#This Row],[COMPANY_ID]],Table1[side],"BUY")-SUMIFS(Table1[quantity],Table1[company_id],Table8[[#This Row],[COMPANY_ID]],Table1[side],"SELL")</f>
        <v>0</v>
      </c>
      <c r="R437">
        <f>Table1[[#This Row],[Column2]]-Table1[[#This Row],[Buy-sell]]</f>
        <v>551.13</v>
      </c>
      <c r="S437" t="str">
        <f>IF(Table1[[#This Row],[Sell-Buy]]&gt;0,"Profit","Loss")</f>
        <v>Profit</v>
      </c>
      <c r="AE437" s="10" t="s">
        <v>1008</v>
      </c>
      <c r="AF437" s="10" t="str">
        <f>IF(Table1[[#This Row],[Sell-Buy]]&gt;0,"Profit","Loss")</f>
        <v>Profit</v>
      </c>
      <c r="AG437">
        <f>Table1[[#This Row],[Column2]]-Table1[[#This Row],[Buy-sell]]</f>
        <v>551.13</v>
      </c>
    </row>
    <row r="438" spans="1:33" x14ac:dyDescent="0.3">
      <c r="A438" t="s">
        <v>1151</v>
      </c>
      <c r="B438" t="s">
        <v>528</v>
      </c>
      <c r="C438" s="1">
        <v>45749.011111111111</v>
      </c>
      <c r="D438" t="s">
        <v>29</v>
      </c>
      <c r="E438" t="s">
        <v>171</v>
      </c>
      <c r="F438">
        <v>922</v>
      </c>
      <c r="G438">
        <v>582.94000000000005</v>
      </c>
      <c r="H438">
        <v>268.74</v>
      </c>
      <c r="I438" t="s">
        <v>100</v>
      </c>
      <c r="J438" t="s">
        <v>55</v>
      </c>
      <c r="L438" s="1">
        <v>45727</v>
      </c>
      <c r="N438">
        <f>IF(Table1[[#This Row],[side]]="BUY", Table1[[#This Row],[quantity]],-Table1[[#This Row],[quantity]])</f>
        <v>-922</v>
      </c>
      <c r="O438" t="s">
        <v>171</v>
      </c>
      <c r="P438">
        <f>IF(Table1[[#This Row],[side]]="Sell",Table1[[#This Row],[price]],"0")</f>
        <v>582.94000000000005</v>
      </c>
      <c r="Q438">
        <f>SUMIFS(Table1[quantity],Table1[company_id],Table8[[#This Row],[COMPANY_ID]],Table1[side],"BUY")-SUMIFS(Table1[quantity],Table1[company_id],Table8[[#This Row],[COMPANY_ID]],Table1[side],"SELL")</f>
        <v>0</v>
      </c>
      <c r="R438">
        <f>Table1[[#This Row],[Column2]]-Table1[[#This Row],[Buy-sell]]</f>
        <v>582.94000000000005</v>
      </c>
      <c r="S438" t="str">
        <f>IF(Table1[[#This Row],[Sell-Buy]]&gt;0,"Profit","Loss")</f>
        <v>Profit</v>
      </c>
      <c r="AE438" s="9" t="s">
        <v>1108</v>
      </c>
      <c r="AF438" s="10" t="str">
        <f>IF(Table1[[#This Row],[Sell-Buy]]&gt;0,"Profit","Loss")</f>
        <v>Profit</v>
      </c>
      <c r="AG438">
        <f>Table1[[#This Row],[Column2]]-Table1[[#This Row],[Buy-sell]]</f>
        <v>582.94000000000005</v>
      </c>
    </row>
    <row r="439" spans="1:33" x14ac:dyDescent="0.3">
      <c r="A439" t="s">
        <v>675</v>
      </c>
      <c r="B439" t="s">
        <v>315</v>
      </c>
      <c r="C439" s="1">
        <v>45726.023611111108</v>
      </c>
      <c r="D439" t="s">
        <v>33</v>
      </c>
      <c r="E439" t="s">
        <v>166</v>
      </c>
      <c r="F439">
        <v>665</v>
      </c>
      <c r="G439">
        <v>1099.75</v>
      </c>
      <c r="H439">
        <v>365.67</v>
      </c>
      <c r="I439" t="s">
        <v>110</v>
      </c>
      <c r="J439" t="s">
        <v>58</v>
      </c>
      <c r="L439" s="1">
        <v>45681</v>
      </c>
      <c r="M439" t="s">
        <v>166</v>
      </c>
      <c r="N439">
        <f>IF(Table1[[#This Row],[side]]="BUY", Table1[[#This Row],[quantity]],-Table1[[#This Row],[quantity]])</f>
        <v>665</v>
      </c>
      <c r="P439" t="str">
        <f>IF(Table1[[#This Row],[side]]="Sell",Table1[[#This Row],[price]],"0")</f>
        <v>0</v>
      </c>
      <c r="Q439">
        <f>SUMIFS(Table1[quantity],Table1[company_id],Table8[[#This Row],[COMPANY_ID]],Table1[side],"BUY")-SUMIFS(Table1[quantity],Table1[company_id],Table8[[#This Row],[COMPANY_ID]],Table1[side],"SELL")</f>
        <v>0</v>
      </c>
      <c r="R439">
        <f>Table1[[#This Row],[Column2]]-Table1[[#This Row],[Buy-sell]]</f>
        <v>0</v>
      </c>
      <c r="S439" t="str">
        <f>IF(Table1[[#This Row],[Sell-Buy]]&gt;0,"Profit","Loss")</f>
        <v>Loss</v>
      </c>
      <c r="AE439" s="10" t="s">
        <v>1115</v>
      </c>
      <c r="AF439" s="10" t="str">
        <f>IF(Table1[[#This Row],[Sell-Buy]]&gt;0,"Profit","Loss")</f>
        <v>Loss</v>
      </c>
      <c r="AG439">
        <f>Table1[[#This Row],[Column2]]-Table1[[#This Row],[Buy-sell]]</f>
        <v>0</v>
      </c>
    </row>
    <row r="440" spans="1:33" x14ac:dyDescent="0.3">
      <c r="A440" t="s">
        <v>692</v>
      </c>
      <c r="B440" t="s">
        <v>322</v>
      </c>
      <c r="C440" s="1">
        <v>45715.023611111108</v>
      </c>
      <c r="D440" t="s">
        <v>33</v>
      </c>
      <c r="E440" t="s">
        <v>171</v>
      </c>
      <c r="F440">
        <v>867</v>
      </c>
      <c r="G440">
        <v>1028.25</v>
      </c>
      <c r="H440">
        <v>445.75</v>
      </c>
      <c r="I440" t="s">
        <v>142</v>
      </c>
      <c r="J440" t="s">
        <v>55</v>
      </c>
      <c r="L440" s="1">
        <v>45833</v>
      </c>
      <c r="N440">
        <f>IF(Table1[[#This Row],[side]]="BUY", Table1[[#This Row],[quantity]],-Table1[[#This Row],[quantity]])</f>
        <v>-867</v>
      </c>
      <c r="O440" t="s">
        <v>171</v>
      </c>
      <c r="P440">
        <f>IF(Table1[[#This Row],[side]]="Sell",Table1[[#This Row],[price]],"0")</f>
        <v>1028.25</v>
      </c>
      <c r="Q440">
        <f>SUMIFS(Table1[quantity],Table1[company_id],Table8[[#This Row],[COMPANY_ID]],Table1[side],"BUY")-SUMIFS(Table1[quantity],Table1[company_id],Table8[[#This Row],[COMPANY_ID]],Table1[side],"SELL")</f>
        <v>0</v>
      </c>
      <c r="R440">
        <f>Table1[[#This Row],[Column2]]-Table1[[#This Row],[Buy-sell]]</f>
        <v>1028.25</v>
      </c>
      <c r="S440" t="str">
        <f>IF(Table1[[#This Row],[Sell-Buy]]&gt;0,"Profit","Loss")</f>
        <v>Profit</v>
      </c>
      <c r="AE440" s="9" t="s">
        <v>783</v>
      </c>
      <c r="AF440" s="10" t="str">
        <f>IF(Table1[[#This Row],[Sell-Buy]]&gt;0,"Profit","Loss")</f>
        <v>Profit</v>
      </c>
      <c r="AG440">
        <f>Table1[[#This Row],[Column2]]-Table1[[#This Row],[Buy-sell]]</f>
        <v>1028.25</v>
      </c>
    </row>
    <row r="441" spans="1:33" x14ac:dyDescent="0.3">
      <c r="A441" t="s">
        <v>678</v>
      </c>
      <c r="B441" t="s">
        <v>191</v>
      </c>
      <c r="C441" s="1">
        <v>45782.031944444447</v>
      </c>
      <c r="D441" t="s">
        <v>33</v>
      </c>
      <c r="E441" t="s">
        <v>166</v>
      </c>
      <c r="F441">
        <v>331</v>
      </c>
      <c r="G441">
        <v>1369.91</v>
      </c>
      <c r="H441">
        <v>226.72</v>
      </c>
      <c r="I441" t="s">
        <v>124</v>
      </c>
      <c r="J441" t="s">
        <v>76</v>
      </c>
      <c r="L441" s="1">
        <v>45673</v>
      </c>
      <c r="M441" t="s">
        <v>166</v>
      </c>
      <c r="N441">
        <f>IF(Table1[[#This Row],[side]]="BUY", Table1[[#This Row],[quantity]],-Table1[[#This Row],[quantity]])</f>
        <v>331</v>
      </c>
      <c r="P441" t="str">
        <f>IF(Table1[[#This Row],[side]]="Sell",Table1[[#This Row],[price]],"0")</f>
        <v>0</v>
      </c>
      <c r="Q441">
        <f>SUMIFS(Table1[quantity],Table1[company_id],Table8[[#This Row],[COMPANY_ID]],Table1[side],"BUY")-SUMIFS(Table1[quantity],Table1[company_id],Table8[[#This Row],[COMPANY_ID]],Table1[side],"SELL")</f>
        <v>0</v>
      </c>
      <c r="R441">
        <f>Table1[[#This Row],[Column2]]-Table1[[#This Row],[Buy-sell]]</f>
        <v>0</v>
      </c>
      <c r="S441" t="str">
        <f>IF(Table1[[#This Row],[Sell-Buy]]&gt;0,"Profit","Loss")</f>
        <v>Loss</v>
      </c>
      <c r="AE441" s="10" t="s">
        <v>971</v>
      </c>
      <c r="AF441" s="10" t="str">
        <f>IF(Table1[[#This Row],[Sell-Buy]]&gt;0,"Profit","Loss")</f>
        <v>Loss</v>
      </c>
      <c r="AG441">
        <f>Table1[[#This Row],[Column2]]-Table1[[#This Row],[Buy-sell]]</f>
        <v>0</v>
      </c>
    </row>
    <row r="442" spans="1:33" x14ac:dyDescent="0.3">
      <c r="A442" t="s">
        <v>691</v>
      </c>
      <c r="B442" t="s">
        <v>639</v>
      </c>
      <c r="C442" s="1">
        <v>45777.002083333333</v>
      </c>
      <c r="D442" t="s">
        <v>33</v>
      </c>
      <c r="E442" t="s">
        <v>166</v>
      </c>
      <c r="F442">
        <v>485</v>
      </c>
      <c r="G442">
        <v>1377.06</v>
      </c>
      <c r="H442">
        <v>333.94</v>
      </c>
      <c r="I442" t="s">
        <v>97</v>
      </c>
      <c r="J442" t="s">
        <v>64</v>
      </c>
      <c r="L442" s="1">
        <v>45659</v>
      </c>
      <c r="M442" t="s">
        <v>166</v>
      </c>
      <c r="N442">
        <f>IF(Table1[[#This Row],[side]]="BUY", Table1[[#This Row],[quantity]],-Table1[[#This Row],[quantity]])</f>
        <v>485</v>
      </c>
      <c r="P442" t="str">
        <f>IF(Table1[[#This Row],[side]]="Sell",Table1[[#This Row],[price]],"0")</f>
        <v>0</v>
      </c>
      <c r="Q442">
        <f>SUMIFS(Table1[quantity],Table1[company_id],Table8[[#This Row],[COMPANY_ID]],Table1[side],"BUY")-SUMIFS(Table1[quantity],Table1[company_id],Table8[[#This Row],[COMPANY_ID]],Table1[side],"SELL")</f>
        <v>0</v>
      </c>
      <c r="R442">
        <f>Table1[[#This Row],[Column2]]-Table1[[#This Row],[Buy-sell]]</f>
        <v>0</v>
      </c>
      <c r="S442" t="str">
        <f>IF(Table1[[#This Row],[Sell-Buy]]&gt;0,"Profit","Loss")</f>
        <v>Loss</v>
      </c>
      <c r="AE442" s="9" t="s">
        <v>900</v>
      </c>
      <c r="AF442" s="10" t="str">
        <f>IF(Table1[[#This Row],[Sell-Buy]]&gt;0,"Profit","Loss")</f>
        <v>Loss</v>
      </c>
      <c r="AG442">
        <f>Table1[[#This Row],[Column2]]-Table1[[#This Row],[Buy-sell]]</f>
        <v>0</v>
      </c>
    </row>
    <row r="443" spans="1:33" x14ac:dyDescent="0.3">
      <c r="A443" t="s">
        <v>720</v>
      </c>
      <c r="B443" t="s">
        <v>274</v>
      </c>
      <c r="C443" s="1">
        <v>45756.032638888886</v>
      </c>
      <c r="D443" t="s">
        <v>33</v>
      </c>
      <c r="E443" t="s">
        <v>171</v>
      </c>
      <c r="F443">
        <v>24</v>
      </c>
      <c r="G443">
        <v>1251.5899999999999</v>
      </c>
      <c r="H443">
        <v>15.02</v>
      </c>
      <c r="I443" t="s">
        <v>88</v>
      </c>
      <c r="J443" t="s">
        <v>67</v>
      </c>
      <c r="L443" s="1">
        <v>45783</v>
      </c>
      <c r="N443">
        <f>IF(Table1[[#This Row],[side]]="BUY", Table1[[#This Row],[quantity]],-Table1[[#This Row],[quantity]])</f>
        <v>-24</v>
      </c>
      <c r="O443" t="s">
        <v>171</v>
      </c>
      <c r="P443">
        <f>IF(Table1[[#This Row],[side]]="Sell",Table1[[#This Row],[price]],"0")</f>
        <v>1251.5899999999999</v>
      </c>
      <c r="Q443">
        <f>SUMIFS(Table1[quantity],Table1[company_id],Table8[[#This Row],[COMPANY_ID]],Table1[side],"BUY")-SUMIFS(Table1[quantity],Table1[company_id],Table8[[#This Row],[COMPANY_ID]],Table1[side],"SELL")</f>
        <v>0</v>
      </c>
      <c r="R443">
        <f>Table1[[#This Row],[Column2]]-Table1[[#This Row],[Buy-sell]]</f>
        <v>1251.5899999999999</v>
      </c>
      <c r="S443" t="str">
        <f>IF(Table1[[#This Row],[Sell-Buy]]&gt;0,"Profit","Loss")</f>
        <v>Profit</v>
      </c>
      <c r="AE443" s="10" t="s">
        <v>942</v>
      </c>
      <c r="AF443" s="10" t="str">
        <f>IF(Table1[[#This Row],[Sell-Buy]]&gt;0,"Profit","Loss")</f>
        <v>Profit</v>
      </c>
      <c r="AG443">
        <f>Table1[[#This Row],[Column2]]-Table1[[#This Row],[Buy-sell]]</f>
        <v>1251.5899999999999</v>
      </c>
    </row>
    <row r="444" spans="1:33" x14ac:dyDescent="0.3">
      <c r="A444" t="s">
        <v>727</v>
      </c>
      <c r="B444" t="s">
        <v>594</v>
      </c>
      <c r="C444" s="1">
        <v>45812.00277777778</v>
      </c>
      <c r="D444" t="s">
        <v>33</v>
      </c>
      <c r="E444" t="s">
        <v>171</v>
      </c>
      <c r="F444">
        <v>770</v>
      </c>
      <c r="G444">
        <v>1379.83</v>
      </c>
      <c r="H444">
        <v>531.23</v>
      </c>
      <c r="I444" t="s">
        <v>94</v>
      </c>
      <c r="J444" t="s">
        <v>58</v>
      </c>
      <c r="L444" s="1">
        <v>45706</v>
      </c>
      <c r="N444">
        <f>IF(Table1[[#This Row],[side]]="BUY", Table1[[#This Row],[quantity]],-Table1[[#This Row],[quantity]])</f>
        <v>-770</v>
      </c>
      <c r="O444" t="s">
        <v>171</v>
      </c>
      <c r="P444">
        <f>IF(Table1[[#This Row],[side]]="Sell",Table1[[#This Row],[price]],"0")</f>
        <v>1379.83</v>
      </c>
      <c r="Q444">
        <f>SUMIFS(Table1[quantity],Table1[company_id],Table8[[#This Row],[COMPANY_ID]],Table1[side],"BUY")-SUMIFS(Table1[quantity],Table1[company_id],Table8[[#This Row],[COMPANY_ID]],Table1[side],"SELL")</f>
        <v>0</v>
      </c>
      <c r="R444">
        <f>Table1[[#This Row],[Column2]]-Table1[[#This Row],[Buy-sell]]</f>
        <v>1379.83</v>
      </c>
      <c r="S444" t="str">
        <f>IF(Table1[[#This Row],[Sell-Buy]]&gt;0,"Profit","Loss")</f>
        <v>Profit</v>
      </c>
      <c r="AE444" s="9" t="s">
        <v>757</v>
      </c>
      <c r="AF444" s="10" t="str">
        <f>IF(Table1[[#This Row],[Sell-Buy]]&gt;0,"Profit","Loss")</f>
        <v>Profit</v>
      </c>
      <c r="AG444">
        <f>Table1[[#This Row],[Column2]]-Table1[[#This Row],[Buy-sell]]</f>
        <v>1379.83</v>
      </c>
    </row>
    <row r="445" spans="1:33" x14ac:dyDescent="0.3">
      <c r="A445" t="s">
        <v>729</v>
      </c>
      <c r="B445" t="s">
        <v>482</v>
      </c>
      <c r="C445" s="1">
        <v>45785.002083333333</v>
      </c>
      <c r="D445" t="s">
        <v>33</v>
      </c>
      <c r="E445" t="s">
        <v>171</v>
      </c>
      <c r="F445">
        <v>965</v>
      </c>
      <c r="G445">
        <v>1366.78</v>
      </c>
      <c r="H445">
        <v>659.47</v>
      </c>
      <c r="I445" t="s">
        <v>94</v>
      </c>
      <c r="J445" t="s">
        <v>55</v>
      </c>
      <c r="L445" s="1">
        <v>45685</v>
      </c>
      <c r="N445">
        <f>IF(Table1[[#This Row],[side]]="BUY", Table1[[#This Row],[quantity]],-Table1[[#This Row],[quantity]])</f>
        <v>-965</v>
      </c>
      <c r="O445" t="s">
        <v>171</v>
      </c>
      <c r="P445">
        <f>IF(Table1[[#This Row],[side]]="Sell",Table1[[#This Row],[price]],"0")</f>
        <v>1366.78</v>
      </c>
      <c r="Q445">
        <f>SUMIFS(Table1[quantity],Table1[company_id],Table8[[#This Row],[COMPANY_ID]],Table1[side],"BUY")-SUMIFS(Table1[quantity],Table1[company_id],Table8[[#This Row],[COMPANY_ID]],Table1[side],"SELL")</f>
        <v>0</v>
      </c>
      <c r="R445">
        <f>Table1[[#This Row],[Column2]]-Table1[[#This Row],[Buy-sell]]</f>
        <v>1366.78</v>
      </c>
      <c r="S445" t="str">
        <f>IF(Table1[[#This Row],[Sell-Buy]]&gt;0,"Profit","Loss")</f>
        <v>Profit</v>
      </c>
      <c r="AE445" s="10" t="s">
        <v>894</v>
      </c>
      <c r="AF445" s="10" t="str">
        <f>IF(Table1[[#This Row],[Sell-Buy]]&gt;0,"Profit","Loss")</f>
        <v>Profit</v>
      </c>
      <c r="AG445">
        <f>Table1[[#This Row],[Column2]]-Table1[[#This Row],[Buy-sell]]</f>
        <v>1366.78</v>
      </c>
    </row>
    <row r="446" spans="1:33" x14ac:dyDescent="0.3">
      <c r="A446" t="s">
        <v>713</v>
      </c>
      <c r="B446" t="s">
        <v>427</v>
      </c>
      <c r="C446" s="1">
        <v>45790.035416666666</v>
      </c>
      <c r="D446" t="s">
        <v>33</v>
      </c>
      <c r="E446" t="s">
        <v>166</v>
      </c>
      <c r="F446">
        <v>387</v>
      </c>
      <c r="G446">
        <v>1340.37</v>
      </c>
      <c r="H446">
        <v>259.36</v>
      </c>
      <c r="I446" t="s">
        <v>142</v>
      </c>
      <c r="J446" t="s">
        <v>70</v>
      </c>
      <c r="L446" s="1">
        <v>45693</v>
      </c>
      <c r="M446" t="s">
        <v>166</v>
      </c>
      <c r="N446">
        <f>IF(Table1[[#This Row],[side]]="BUY", Table1[[#This Row],[quantity]],-Table1[[#This Row],[quantity]])</f>
        <v>387</v>
      </c>
      <c r="P446" t="str">
        <f>IF(Table1[[#This Row],[side]]="Sell",Table1[[#This Row],[price]],"0")</f>
        <v>0</v>
      </c>
      <c r="Q446">
        <f>SUMIFS(Table1[quantity],Table1[company_id],Table8[[#This Row],[COMPANY_ID]],Table1[side],"BUY")-SUMIFS(Table1[quantity],Table1[company_id],Table8[[#This Row],[COMPANY_ID]],Table1[side],"SELL")</f>
        <v>0</v>
      </c>
      <c r="R446">
        <f>Table1[[#This Row],[Column2]]-Table1[[#This Row],[Buy-sell]]</f>
        <v>0</v>
      </c>
      <c r="S446" t="str">
        <f>IF(Table1[[#This Row],[Sell-Buy]]&gt;0,"Profit","Loss")</f>
        <v>Loss</v>
      </c>
      <c r="AE446" s="9" t="s">
        <v>696</v>
      </c>
      <c r="AF446" s="10" t="str">
        <f>IF(Table1[[#This Row],[Sell-Buy]]&gt;0,"Profit","Loss")</f>
        <v>Loss</v>
      </c>
      <c r="AG446">
        <f>Table1[[#This Row],[Column2]]-Table1[[#This Row],[Buy-sell]]</f>
        <v>0</v>
      </c>
    </row>
    <row r="447" spans="1:33" x14ac:dyDescent="0.3">
      <c r="A447" t="s">
        <v>717</v>
      </c>
      <c r="B447" t="s">
        <v>448</v>
      </c>
      <c r="C447" s="1">
        <v>45671.037499999999</v>
      </c>
      <c r="D447" t="s">
        <v>33</v>
      </c>
      <c r="E447" t="s">
        <v>166</v>
      </c>
      <c r="F447">
        <v>357</v>
      </c>
      <c r="G447">
        <v>996.18</v>
      </c>
      <c r="H447">
        <v>177.82</v>
      </c>
      <c r="I447" t="s">
        <v>124</v>
      </c>
      <c r="J447" t="s">
        <v>64</v>
      </c>
      <c r="L447" s="1">
        <v>45798</v>
      </c>
      <c r="M447" t="s">
        <v>166</v>
      </c>
      <c r="N447">
        <f>IF(Table1[[#This Row],[side]]="BUY", Table1[[#This Row],[quantity]],-Table1[[#This Row],[quantity]])</f>
        <v>357</v>
      </c>
      <c r="P447" t="str">
        <f>IF(Table1[[#This Row],[side]]="Sell",Table1[[#This Row],[price]],"0")</f>
        <v>0</v>
      </c>
      <c r="Q447">
        <f>SUMIFS(Table1[quantity],Table1[company_id],Table8[[#This Row],[COMPANY_ID]],Table1[side],"BUY")-SUMIFS(Table1[quantity],Table1[company_id],Table8[[#This Row],[COMPANY_ID]],Table1[side],"SELL")</f>
        <v>0</v>
      </c>
      <c r="R447">
        <f>Table1[[#This Row],[Column2]]-Table1[[#This Row],[Buy-sell]]</f>
        <v>0</v>
      </c>
      <c r="S447" t="str">
        <f>IF(Table1[[#This Row],[Sell-Buy]]&gt;0,"Profit","Loss")</f>
        <v>Loss</v>
      </c>
      <c r="AE447" s="10" t="s">
        <v>844</v>
      </c>
      <c r="AF447" s="10" t="str">
        <f>IF(Table1[[#This Row],[Sell-Buy]]&gt;0,"Profit","Loss")</f>
        <v>Loss</v>
      </c>
      <c r="AG447">
        <f>Table1[[#This Row],[Column2]]-Table1[[#This Row],[Buy-sell]]</f>
        <v>0</v>
      </c>
    </row>
    <row r="448" spans="1:33" x14ac:dyDescent="0.3">
      <c r="A448" t="s">
        <v>718</v>
      </c>
      <c r="B448" t="s">
        <v>526</v>
      </c>
      <c r="C448" s="1">
        <v>45786.031944444447</v>
      </c>
      <c r="D448" t="s">
        <v>33</v>
      </c>
      <c r="E448" t="s">
        <v>166</v>
      </c>
      <c r="F448">
        <v>156</v>
      </c>
      <c r="G448">
        <v>1330.8</v>
      </c>
      <c r="H448">
        <v>103.8</v>
      </c>
      <c r="I448" t="s">
        <v>118</v>
      </c>
      <c r="J448" t="s">
        <v>70</v>
      </c>
      <c r="L448" s="1">
        <v>45798</v>
      </c>
      <c r="M448" t="s">
        <v>166</v>
      </c>
      <c r="N448">
        <f>IF(Table1[[#This Row],[side]]="BUY", Table1[[#This Row],[quantity]],-Table1[[#This Row],[quantity]])</f>
        <v>156</v>
      </c>
      <c r="P448" t="str">
        <f>IF(Table1[[#This Row],[side]]="Sell",Table1[[#This Row],[price]],"0")</f>
        <v>0</v>
      </c>
      <c r="Q448">
        <f>SUMIFS(Table1[quantity],Table1[company_id],Table8[[#This Row],[COMPANY_ID]],Table1[side],"BUY")-SUMIFS(Table1[quantity],Table1[company_id],Table8[[#This Row],[COMPANY_ID]],Table1[side],"SELL")</f>
        <v>0</v>
      </c>
      <c r="R448">
        <f>Table1[[#This Row],[Column2]]-Table1[[#This Row],[Buy-sell]]</f>
        <v>0</v>
      </c>
      <c r="S448" t="str">
        <f>IF(Table1[[#This Row],[Sell-Buy]]&gt;0,"Profit","Loss")</f>
        <v>Loss</v>
      </c>
      <c r="AE448" s="9" t="s">
        <v>1105</v>
      </c>
      <c r="AF448" s="10" t="str">
        <f>IF(Table1[[#This Row],[Sell-Buy]]&gt;0,"Profit","Loss")</f>
        <v>Loss</v>
      </c>
      <c r="AG448">
        <f>Table1[[#This Row],[Column2]]-Table1[[#This Row],[Buy-sell]]</f>
        <v>0</v>
      </c>
    </row>
    <row r="449" spans="1:33" x14ac:dyDescent="0.3">
      <c r="A449" t="s">
        <v>719</v>
      </c>
      <c r="B449" t="s">
        <v>178</v>
      </c>
      <c r="C449" s="1">
        <v>45778.006944444445</v>
      </c>
      <c r="D449" t="s">
        <v>33</v>
      </c>
      <c r="E449" t="s">
        <v>166</v>
      </c>
      <c r="F449">
        <v>25</v>
      </c>
      <c r="G449">
        <v>1385.23</v>
      </c>
      <c r="H449">
        <v>17.32</v>
      </c>
      <c r="I449" t="s">
        <v>126</v>
      </c>
      <c r="J449" t="s">
        <v>49</v>
      </c>
      <c r="L449" s="1">
        <v>45674</v>
      </c>
      <c r="M449" t="s">
        <v>166</v>
      </c>
      <c r="N449">
        <f>IF(Table1[[#This Row],[side]]="BUY", Table1[[#This Row],[quantity]],-Table1[[#This Row],[quantity]])</f>
        <v>25</v>
      </c>
      <c r="P449" t="str">
        <f>IF(Table1[[#This Row],[side]]="Sell",Table1[[#This Row],[price]],"0")</f>
        <v>0</v>
      </c>
      <c r="Q449">
        <f>SUMIFS(Table1[quantity],Table1[company_id],Table8[[#This Row],[COMPANY_ID]],Table1[side],"BUY")-SUMIFS(Table1[quantity],Table1[company_id],Table8[[#This Row],[COMPANY_ID]],Table1[side],"SELL")</f>
        <v>0</v>
      </c>
      <c r="R449">
        <f>Table1[[#This Row],[Column2]]-Table1[[#This Row],[Buy-sell]]</f>
        <v>0</v>
      </c>
      <c r="S449" t="str">
        <f>IF(Table1[[#This Row],[Sell-Buy]]&gt;0,"Profit","Loss")</f>
        <v>Loss</v>
      </c>
      <c r="AE449" s="10" t="s">
        <v>970</v>
      </c>
      <c r="AF449" s="10" t="str">
        <f>IF(Table1[[#This Row],[Sell-Buy]]&gt;0,"Profit","Loss")</f>
        <v>Loss</v>
      </c>
      <c r="AG449">
        <f>Table1[[#This Row],[Column2]]-Table1[[#This Row],[Buy-sell]]</f>
        <v>0</v>
      </c>
    </row>
    <row r="450" spans="1:33" x14ac:dyDescent="0.3">
      <c r="A450" t="s">
        <v>782</v>
      </c>
      <c r="B450" t="s">
        <v>347</v>
      </c>
      <c r="C450" s="1">
        <v>45756.009722222225</v>
      </c>
      <c r="D450" t="s">
        <v>33</v>
      </c>
      <c r="E450" t="s">
        <v>171</v>
      </c>
      <c r="F450">
        <v>117</v>
      </c>
      <c r="G450">
        <v>1248.3900000000001</v>
      </c>
      <c r="H450">
        <v>73.03</v>
      </c>
      <c r="I450" t="s">
        <v>116</v>
      </c>
      <c r="J450" t="s">
        <v>55</v>
      </c>
      <c r="L450" s="1">
        <v>45783</v>
      </c>
      <c r="N450">
        <f>IF(Table1[[#This Row],[side]]="BUY", Table1[[#This Row],[quantity]],-Table1[[#This Row],[quantity]])</f>
        <v>-117</v>
      </c>
      <c r="O450" t="s">
        <v>171</v>
      </c>
      <c r="P450">
        <f>IF(Table1[[#This Row],[side]]="Sell",Table1[[#This Row],[price]],"0")</f>
        <v>1248.3900000000001</v>
      </c>
      <c r="Q450">
        <f>SUMIFS(Table1[quantity],Table1[company_id],Table8[[#This Row],[COMPANY_ID]],Table1[side],"BUY")-SUMIFS(Table1[quantity],Table1[company_id],Table8[[#This Row],[COMPANY_ID]],Table1[side],"SELL")</f>
        <v>0</v>
      </c>
      <c r="R450">
        <f>Table1[[#This Row],[Column2]]-Table1[[#This Row],[Buy-sell]]</f>
        <v>1248.3900000000001</v>
      </c>
      <c r="S450" t="str">
        <f>IF(Table1[[#This Row],[Sell-Buy]]&gt;0,"Profit","Loss")</f>
        <v>Profit</v>
      </c>
      <c r="AE450" s="9" t="s">
        <v>1064</v>
      </c>
      <c r="AF450" s="10" t="str">
        <f>IF(Table1[[#This Row],[Sell-Buy]]&gt;0,"Profit","Loss")</f>
        <v>Profit</v>
      </c>
      <c r="AG450">
        <f>Table1[[#This Row],[Column2]]-Table1[[#This Row],[Buy-sell]]</f>
        <v>1248.3900000000001</v>
      </c>
    </row>
    <row r="451" spans="1:33" x14ac:dyDescent="0.3">
      <c r="A451" t="s">
        <v>735</v>
      </c>
      <c r="B451" t="s">
        <v>499</v>
      </c>
      <c r="C451" s="1">
        <v>45736.01666666667</v>
      </c>
      <c r="D451" t="s">
        <v>33</v>
      </c>
      <c r="E451" t="s">
        <v>166</v>
      </c>
      <c r="F451">
        <v>808</v>
      </c>
      <c r="G451">
        <v>1238.5999999999999</v>
      </c>
      <c r="H451">
        <v>500.39</v>
      </c>
      <c r="I451" t="s">
        <v>142</v>
      </c>
      <c r="J451" t="s">
        <v>67</v>
      </c>
      <c r="L451" s="1">
        <v>45784</v>
      </c>
      <c r="M451" t="s">
        <v>166</v>
      </c>
      <c r="N451">
        <f>IF(Table1[[#This Row],[side]]="BUY", Table1[[#This Row],[quantity]],-Table1[[#This Row],[quantity]])</f>
        <v>808</v>
      </c>
      <c r="P451" t="str">
        <f>IF(Table1[[#This Row],[side]]="Sell",Table1[[#This Row],[price]],"0")</f>
        <v>0</v>
      </c>
      <c r="Q451">
        <f>SUMIFS(Table1[quantity],Table1[company_id],Table8[[#This Row],[COMPANY_ID]],Table1[side],"BUY")-SUMIFS(Table1[quantity],Table1[company_id],Table8[[#This Row],[COMPANY_ID]],Table1[side],"SELL")</f>
        <v>0</v>
      </c>
      <c r="R451">
        <f>Table1[[#This Row],[Column2]]-Table1[[#This Row],[Buy-sell]]</f>
        <v>0</v>
      </c>
      <c r="S451" t="str">
        <f>IF(Table1[[#This Row],[Sell-Buy]]&gt;0,"Profit","Loss")</f>
        <v>Loss</v>
      </c>
      <c r="AE451" s="10" t="s">
        <v>764</v>
      </c>
      <c r="AF451" s="10" t="str">
        <f>IF(Table1[[#This Row],[Sell-Buy]]&gt;0,"Profit","Loss")</f>
        <v>Loss</v>
      </c>
      <c r="AG451">
        <f>Table1[[#This Row],[Column2]]-Table1[[#This Row],[Buy-sell]]</f>
        <v>0</v>
      </c>
    </row>
    <row r="452" spans="1:33" x14ac:dyDescent="0.3">
      <c r="A452" t="s">
        <v>785</v>
      </c>
      <c r="B452" t="s">
        <v>457</v>
      </c>
      <c r="C452" s="1">
        <v>45694.031944444447</v>
      </c>
      <c r="D452" t="s">
        <v>33</v>
      </c>
      <c r="E452" t="s">
        <v>171</v>
      </c>
      <c r="F452">
        <v>803</v>
      </c>
      <c r="G452">
        <v>1038.8</v>
      </c>
      <c r="H452">
        <v>417.08</v>
      </c>
      <c r="I452" t="s">
        <v>120</v>
      </c>
      <c r="J452" t="s">
        <v>64</v>
      </c>
      <c r="L452" s="1">
        <v>45749</v>
      </c>
      <c r="N452">
        <f>IF(Table1[[#This Row],[side]]="BUY", Table1[[#This Row],[quantity]],-Table1[[#This Row],[quantity]])</f>
        <v>-803</v>
      </c>
      <c r="O452" t="s">
        <v>171</v>
      </c>
      <c r="P452">
        <f>IF(Table1[[#This Row],[side]]="Sell",Table1[[#This Row],[price]],"0")</f>
        <v>1038.8</v>
      </c>
      <c r="Q452">
        <f>SUMIFS(Table1[quantity],Table1[company_id],Table8[[#This Row],[COMPANY_ID]],Table1[side],"BUY")-SUMIFS(Table1[quantity],Table1[company_id],Table8[[#This Row],[COMPANY_ID]],Table1[side],"SELL")</f>
        <v>0</v>
      </c>
      <c r="R452">
        <f>Table1[[#This Row],[Column2]]-Table1[[#This Row],[Buy-sell]]</f>
        <v>1038.8</v>
      </c>
      <c r="S452" t="str">
        <f>IF(Table1[[#This Row],[Sell-Buy]]&gt;0,"Profit","Loss")</f>
        <v>Profit</v>
      </c>
      <c r="AE452" s="9" t="s">
        <v>1099</v>
      </c>
      <c r="AF452" s="10" t="str">
        <f>IF(Table1[[#This Row],[Sell-Buy]]&gt;0,"Profit","Loss")</f>
        <v>Profit</v>
      </c>
      <c r="AG452">
        <f>Table1[[#This Row],[Column2]]-Table1[[#This Row],[Buy-sell]]</f>
        <v>1038.8</v>
      </c>
    </row>
    <row r="453" spans="1:33" x14ac:dyDescent="0.3">
      <c r="A453" t="s">
        <v>740</v>
      </c>
      <c r="B453" t="s">
        <v>481</v>
      </c>
      <c r="C453" s="1">
        <v>45692.008333333331</v>
      </c>
      <c r="D453" t="s">
        <v>33</v>
      </c>
      <c r="E453" t="s">
        <v>166</v>
      </c>
      <c r="F453">
        <v>537</v>
      </c>
      <c r="G453">
        <v>1040.5899999999999</v>
      </c>
      <c r="H453">
        <v>279.39999999999998</v>
      </c>
      <c r="I453" t="s">
        <v>97</v>
      </c>
      <c r="J453" t="s">
        <v>61</v>
      </c>
      <c r="L453" s="1">
        <v>45670</v>
      </c>
      <c r="M453" t="s">
        <v>166</v>
      </c>
      <c r="N453">
        <f>IF(Table1[[#This Row],[side]]="BUY", Table1[[#This Row],[quantity]],-Table1[[#This Row],[quantity]])</f>
        <v>537</v>
      </c>
      <c r="P453" t="str">
        <f>IF(Table1[[#This Row],[side]]="Sell",Table1[[#This Row],[price]],"0")</f>
        <v>0</v>
      </c>
      <c r="Q453">
        <f>SUMIFS(Table1[quantity],Table1[company_id],Table8[[#This Row],[COMPANY_ID]],Table1[side],"BUY")-SUMIFS(Table1[quantity],Table1[company_id],Table8[[#This Row],[COMPANY_ID]],Table1[side],"SELL")</f>
        <v>0</v>
      </c>
      <c r="R453">
        <f>Table1[[#This Row],[Column2]]-Table1[[#This Row],[Buy-sell]]</f>
        <v>0</v>
      </c>
      <c r="S453" t="str">
        <f>IF(Table1[[#This Row],[Sell-Buy]]&gt;0,"Profit","Loss")</f>
        <v>Loss</v>
      </c>
      <c r="AE453" s="10" t="s">
        <v>762</v>
      </c>
      <c r="AF453" s="10" t="str">
        <f>IF(Table1[[#This Row],[Sell-Buy]]&gt;0,"Profit","Loss")</f>
        <v>Loss</v>
      </c>
      <c r="AG453">
        <f>Table1[[#This Row],[Column2]]-Table1[[#This Row],[Buy-sell]]</f>
        <v>0</v>
      </c>
    </row>
    <row r="454" spans="1:33" x14ac:dyDescent="0.3">
      <c r="A454" t="s">
        <v>763</v>
      </c>
      <c r="B454" t="s">
        <v>374</v>
      </c>
      <c r="C454" s="1">
        <v>45791.001388888886</v>
      </c>
      <c r="D454" t="s">
        <v>33</v>
      </c>
      <c r="E454" t="s">
        <v>166</v>
      </c>
      <c r="F454">
        <v>710</v>
      </c>
      <c r="G454">
        <v>1351.68</v>
      </c>
      <c r="H454">
        <v>479.85</v>
      </c>
      <c r="I454" t="s">
        <v>148</v>
      </c>
      <c r="J454" t="s">
        <v>61</v>
      </c>
      <c r="L454" s="1">
        <v>45663</v>
      </c>
      <c r="M454" t="s">
        <v>166</v>
      </c>
      <c r="N454">
        <f>IF(Table1[[#This Row],[side]]="BUY", Table1[[#This Row],[quantity]],-Table1[[#This Row],[quantity]])</f>
        <v>710</v>
      </c>
      <c r="P454" t="str">
        <f>IF(Table1[[#This Row],[side]]="Sell",Table1[[#This Row],[price]],"0")</f>
        <v>0</v>
      </c>
      <c r="Q454">
        <f>SUMIFS(Table1[quantity],Table1[company_id],Table8[[#This Row],[COMPANY_ID]],Table1[side],"BUY")-SUMIFS(Table1[quantity],Table1[company_id],Table8[[#This Row],[COMPANY_ID]],Table1[side],"SELL")</f>
        <v>0</v>
      </c>
      <c r="R454">
        <f>Table1[[#This Row],[Column2]]-Table1[[#This Row],[Buy-sell]]</f>
        <v>0</v>
      </c>
      <c r="S454" t="str">
        <f>IF(Table1[[#This Row],[Sell-Buy]]&gt;0,"Profit","Loss")</f>
        <v>Loss</v>
      </c>
      <c r="AE454" s="9" t="s">
        <v>875</v>
      </c>
      <c r="AF454" s="10" t="str">
        <f>IF(Table1[[#This Row],[Sell-Buy]]&gt;0,"Profit","Loss")</f>
        <v>Loss</v>
      </c>
      <c r="AG454">
        <f>Table1[[#This Row],[Column2]]-Table1[[#This Row],[Buy-sell]]</f>
        <v>0</v>
      </c>
    </row>
    <row r="455" spans="1:33" x14ac:dyDescent="0.3">
      <c r="A455" t="s">
        <v>826</v>
      </c>
      <c r="B455" t="s">
        <v>632</v>
      </c>
      <c r="C455" s="1">
        <v>45783.022222222222</v>
      </c>
      <c r="D455" t="s">
        <v>33</v>
      </c>
      <c r="E455" t="s">
        <v>171</v>
      </c>
      <c r="F455">
        <v>625</v>
      </c>
      <c r="G455">
        <v>1361.27</v>
      </c>
      <c r="H455">
        <v>425.4</v>
      </c>
      <c r="I455" t="s">
        <v>104</v>
      </c>
      <c r="J455" t="s">
        <v>73</v>
      </c>
      <c r="L455" s="1">
        <v>45784</v>
      </c>
      <c r="N455">
        <f>IF(Table1[[#This Row],[side]]="BUY", Table1[[#This Row],[quantity]],-Table1[[#This Row],[quantity]])</f>
        <v>-625</v>
      </c>
      <c r="O455" t="s">
        <v>171</v>
      </c>
      <c r="P455">
        <f>IF(Table1[[#This Row],[side]]="Sell",Table1[[#This Row],[price]],"0")</f>
        <v>1361.27</v>
      </c>
      <c r="Q455">
        <f>SUMIFS(Table1[quantity],Table1[company_id],Table8[[#This Row],[COMPANY_ID]],Table1[side],"BUY")-SUMIFS(Table1[quantity],Table1[company_id],Table8[[#This Row],[COMPANY_ID]],Table1[side],"SELL")</f>
        <v>0</v>
      </c>
      <c r="R455">
        <f>Table1[[#This Row],[Column2]]-Table1[[#This Row],[Buy-sell]]</f>
        <v>1361.27</v>
      </c>
      <c r="S455" t="str">
        <f>IF(Table1[[#This Row],[Sell-Buy]]&gt;0,"Profit","Loss")</f>
        <v>Profit</v>
      </c>
      <c r="AE455" s="10" t="s">
        <v>872</v>
      </c>
      <c r="AF455" s="10" t="str">
        <f>IF(Table1[[#This Row],[Sell-Buy]]&gt;0,"Profit","Loss")</f>
        <v>Profit</v>
      </c>
      <c r="AG455">
        <f>Table1[[#This Row],[Column2]]-Table1[[#This Row],[Buy-sell]]</f>
        <v>1361.27</v>
      </c>
    </row>
    <row r="456" spans="1:33" x14ac:dyDescent="0.3">
      <c r="A456" t="s">
        <v>768</v>
      </c>
      <c r="B456" t="s">
        <v>243</v>
      </c>
      <c r="C456" s="1">
        <v>45754.038194444445</v>
      </c>
      <c r="D456" t="s">
        <v>33</v>
      </c>
      <c r="E456" t="s">
        <v>166</v>
      </c>
      <c r="F456">
        <v>669</v>
      </c>
      <c r="G456">
        <v>1221.3</v>
      </c>
      <c r="H456">
        <v>408.52</v>
      </c>
      <c r="I456" t="s">
        <v>94</v>
      </c>
      <c r="J456" t="s">
        <v>58</v>
      </c>
      <c r="L456" s="1">
        <v>45813</v>
      </c>
      <c r="M456" t="s">
        <v>166</v>
      </c>
      <c r="N456">
        <f>IF(Table1[[#This Row],[side]]="BUY", Table1[[#This Row],[quantity]],-Table1[[#This Row],[quantity]])</f>
        <v>669</v>
      </c>
      <c r="P456" t="str">
        <f>IF(Table1[[#This Row],[side]]="Sell",Table1[[#This Row],[price]],"0")</f>
        <v>0</v>
      </c>
      <c r="Q456">
        <f>SUMIFS(Table1[quantity],Table1[company_id],Table8[[#This Row],[COMPANY_ID]],Table1[side],"BUY")-SUMIFS(Table1[quantity],Table1[company_id],Table8[[#This Row],[COMPANY_ID]],Table1[side],"SELL")</f>
        <v>0</v>
      </c>
      <c r="R456">
        <f>Table1[[#This Row],[Column2]]-Table1[[#This Row],[Buy-sell]]</f>
        <v>0</v>
      </c>
      <c r="S456" t="str">
        <f>IF(Table1[[#This Row],[Sell-Buy]]&gt;0,"Profit","Loss")</f>
        <v>Loss</v>
      </c>
      <c r="AE456" s="9" t="s">
        <v>1012</v>
      </c>
      <c r="AF456" s="10" t="str">
        <f>IF(Table1[[#This Row],[Sell-Buy]]&gt;0,"Profit","Loss")</f>
        <v>Loss</v>
      </c>
      <c r="AG456">
        <f>Table1[[#This Row],[Column2]]-Table1[[#This Row],[Buy-sell]]</f>
        <v>0</v>
      </c>
    </row>
    <row r="457" spans="1:33" x14ac:dyDescent="0.3">
      <c r="A457" t="s">
        <v>846</v>
      </c>
      <c r="B457" t="s">
        <v>634</v>
      </c>
      <c r="C457" s="1">
        <v>45720.022222222222</v>
      </c>
      <c r="D457" t="s">
        <v>33</v>
      </c>
      <c r="E457" t="s">
        <v>171</v>
      </c>
      <c r="F457">
        <v>411</v>
      </c>
      <c r="G457">
        <v>1040.8499999999999</v>
      </c>
      <c r="H457">
        <v>213.89</v>
      </c>
      <c r="I457" t="s">
        <v>100</v>
      </c>
      <c r="J457" t="s">
        <v>76</v>
      </c>
      <c r="L457" s="1">
        <v>45673</v>
      </c>
      <c r="N457">
        <f>IF(Table1[[#This Row],[side]]="BUY", Table1[[#This Row],[quantity]],-Table1[[#This Row],[quantity]])</f>
        <v>-411</v>
      </c>
      <c r="O457" t="s">
        <v>171</v>
      </c>
      <c r="P457">
        <f>IF(Table1[[#This Row],[side]]="Sell",Table1[[#This Row],[price]],"0")</f>
        <v>1040.8499999999999</v>
      </c>
      <c r="Q457">
        <f>SUMIFS(Table1[quantity],Table1[company_id],Table8[[#This Row],[COMPANY_ID]],Table1[side],"BUY")-SUMIFS(Table1[quantity],Table1[company_id],Table8[[#This Row],[COMPANY_ID]],Table1[side],"SELL")</f>
        <v>0</v>
      </c>
      <c r="R457">
        <f>Table1[[#This Row],[Column2]]-Table1[[#This Row],[Buy-sell]]</f>
        <v>1040.8499999999999</v>
      </c>
      <c r="S457" t="str">
        <f>IF(Table1[[#This Row],[Sell-Buy]]&gt;0,"Profit","Loss")</f>
        <v>Profit</v>
      </c>
      <c r="AE457" s="10" t="s">
        <v>827</v>
      </c>
      <c r="AF457" s="10" t="str">
        <f>IF(Table1[[#This Row],[Sell-Buy]]&gt;0,"Profit","Loss")</f>
        <v>Profit</v>
      </c>
      <c r="AG457">
        <f>Table1[[#This Row],[Column2]]-Table1[[#This Row],[Buy-sell]]</f>
        <v>1040.8499999999999</v>
      </c>
    </row>
    <row r="458" spans="1:33" x14ac:dyDescent="0.3">
      <c r="A458" t="s">
        <v>770</v>
      </c>
      <c r="B458" t="s">
        <v>526</v>
      </c>
      <c r="C458" s="1">
        <v>45756.017361111109</v>
      </c>
      <c r="D458" t="s">
        <v>33</v>
      </c>
      <c r="E458" t="s">
        <v>166</v>
      </c>
      <c r="F458">
        <v>970</v>
      </c>
      <c r="G458">
        <v>1250.93</v>
      </c>
      <c r="H458">
        <v>606.70000000000005</v>
      </c>
      <c r="I458" t="s">
        <v>102</v>
      </c>
      <c r="J458" t="s">
        <v>58</v>
      </c>
      <c r="L458" s="1">
        <v>45838</v>
      </c>
      <c r="M458" t="s">
        <v>166</v>
      </c>
      <c r="N458">
        <f>IF(Table1[[#This Row],[side]]="BUY", Table1[[#This Row],[quantity]],-Table1[[#This Row],[quantity]])</f>
        <v>970</v>
      </c>
      <c r="P458" t="str">
        <f>IF(Table1[[#This Row],[side]]="Sell",Table1[[#This Row],[price]],"0")</f>
        <v>0</v>
      </c>
      <c r="Q458">
        <f>SUMIFS(Table1[quantity],Table1[company_id],Table8[[#This Row],[COMPANY_ID]],Table1[side],"BUY")-SUMIFS(Table1[quantity],Table1[company_id],Table8[[#This Row],[COMPANY_ID]],Table1[side],"SELL")</f>
        <v>0</v>
      </c>
      <c r="R458">
        <f>Table1[[#This Row],[Column2]]-Table1[[#This Row],[Buy-sell]]</f>
        <v>0</v>
      </c>
      <c r="S458" t="str">
        <f>IF(Table1[[#This Row],[Sell-Buy]]&gt;0,"Profit","Loss")</f>
        <v>Loss</v>
      </c>
      <c r="AE458" s="9" t="s">
        <v>1053</v>
      </c>
      <c r="AF458" s="10" t="str">
        <f>IF(Table1[[#This Row],[Sell-Buy]]&gt;0,"Profit","Loss")</f>
        <v>Loss</v>
      </c>
      <c r="AG458">
        <f>Table1[[#This Row],[Column2]]-Table1[[#This Row],[Buy-sell]]</f>
        <v>0</v>
      </c>
    </row>
    <row r="459" spans="1:33" x14ac:dyDescent="0.3">
      <c r="A459" t="s">
        <v>859</v>
      </c>
      <c r="B459" t="s">
        <v>304</v>
      </c>
      <c r="C459" s="1">
        <v>45707.027083333334</v>
      </c>
      <c r="D459" t="s">
        <v>33</v>
      </c>
      <c r="E459" t="s">
        <v>171</v>
      </c>
      <c r="F459">
        <v>433</v>
      </c>
      <c r="G459">
        <v>1047.57</v>
      </c>
      <c r="H459">
        <v>226.8</v>
      </c>
      <c r="I459" t="s">
        <v>106</v>
      </c>
      <c r="J459" t="s">
        <v>55</v>
      </c>
      <c r="L459" s="1">
        <v>45755</v>
      </c>
      <c r="N459">
        <f>IF(Table1[[#This Row],[side]]="BUY", Table1[[#This Row],[quantity]],-Table1[[#This Row],[quantity]])</f>
        <v>-433</v>
      </c>
      <c r="O459" t="s">
        <v>171</v>
      </c>
      <c r="P459">
        <f>IF(Table1[[#This Row],[side]]="Sell",Table1[[#This Row],[price]],"0")</f>
        <v>1047.57</v>
      </c>
      <c r="Q459">
        <f>SUMIFS(Table1[quantity],Table1[company_id],Table8[[#This Row],[COMPANY_ID]],Table1[side],"BUY")-SUMIFS(Table1[quantity],Table1[company_id],Table8[[#This Row],[COMPANY_ID]],Table1[side],"SELL")</f>
        <v>0</v>
      </c>
      <c r="R459">
        <f>Table1[[#This Row],[Column2]]-Table1[[#This Row],[Buy-sell]]</f>
        <v>1047.57</v>
      </c>
      <c r="S459" t="str">
        <f>IF(Table1[[#This Row],[Sell-Buy]]&gt;0,"Profit","Loss")</f>
        <v>Profit</v>
      </c>
      <c r="AE459" s="10" t="s">
        <v>876</v>
      </c>
      <c r="AF459" s="10" t="str">
        <f>IF(Table1[[#This Row],[Sell-Buy]]&gt;0,"Profit","Loss")</f>
        <v>Profit</v>
      </c>
      <c r="AG459">
        <f>Table1[[#This Row],[Column2]]-Table1[[#This Row],[Buy-sell]]</f>
        <v>1047.57</v>
      </c>
    </row>
    <row r="460" spans="1:33" x14ac:dyDescent="0.3">
      <c r="A460" t="s">
        <v>872</v>
      </c>
      <c r="B460" t="s">
        <v>616</v>
      </c>
      <c r="C460" s="1">
        <v>45660.032638888886</v>
      </c>
      <c r="D460" t="s">
        <v>33</v>
      </c>
      <c r="E460" t="s">
        <v>171</v>
      </c>
      <c r="F460">
        <v>223</v>
      </c>
      <c r="G460">
        <v>991.56</v>
      </c>
      <c r="H460">
        <v>110.56</v>
      </c>
      <c r="I460" t="s">
        <v>104</v>
      </c>
      <c r="J460" t="s">
        <v>73</v>
      </c>
      <c r="L460" s="1">
        <v>45740</v>
      </c>
      <c r="N460">
        <f>IF(Table1[[#This Row],[side]]="BUY", Table1[[#This Row],[quantity]],-Table1[[#This Row],[quantity]])</f>
        <v>-223</v>
      </c>
      <c r="O460" t="s">
        <v>171</v>
      </c>
      <c r="P460">
        <f>IF(Table1[[#This Row],[side]]="Sell",Table1[[#This Row],[price]],"0")</f>
        <v>991.56</v>
      </c>
      <c r="Q460">
        <f>SUMIFS(Table1[quantity],Table1[company_id],Table8[[#This Row],[COMPANY_ID]],Table1[side],"BUY")-SUMIFS(Table1[quantity],Table1[company_id],Table8[[#This Row],[COMPANY_ID]],Table1[side],"SELL")</f>
        <v>0</v>
      </c>
      <c r="R460">
        <f>Table1[[#This Row],[Column2]]-Table1[[#This Row],[Buy-sell]]</f>
        <v>991.56</v>
      </c>
      <c r="S460" t="str">
        <f>IF(Table1[[#This Row],[Sell-Buy]]&gt;0,"Profit","Loss")</f>
        <v>Profit</v>
      </c>
      <c r="AE460" s="9" t="s">
        <v>969</v>
      </c>
      <c r="AF460" s="10" t="str">
        <f>IF(Table1[[#This Row],[Sell-Buy]]&gt;0,"Profit","Loss")</f>
        <v>Profit</v>
      </c>
      <c r="AG460">
        <f>Table1[[#This Row],[Column2]]-Table1[[#This Row],[Buy-sell]]</f>
        <v>991.56</v>
      </c>
    </row>
    <row r="461" spans="1:33" x14ac:dyDescent="0.3">
      <c r="A461" t="s">
        <v>880</v>
      </c>
      <c r="B461" t="s">
        <v>459</v>
      </c>
      <c r="C461" s="1">
        <v>45700.029861111114</v>
      </c>
      <c r="D461" t="s">
        <v>33</v>
      </c>
      <c r="E461" t="s">
        <v>171</v>
      </c>
      <c r="F461">
        <v>596</v>
      </c>
      <c r="G461">
        <v>1004.33</v>
      </c>
      <c r="H461">
        <v>299.29000000000002</v>
      </c>
      <c r="I461" t="s">
        <v>110</v>
      </c>
      <c r="J461" t="s">
        <v>76</v>
      </c>
      <c r="L461" s="1">
        <v>45730</v>
      </c>
      <c r="N461">
        <f>IF(Table1[[#This Row],[side]]="BUY", Table1[[#This Row],[quantity]],-Table1[[#This Row],[quantity]])</f>
        <v>-596</v>
      </c>
      <c r="O461" t="s">
        <v>171</v>
      </c>
      <c r="P461">
        <f>IF(Table1[[#This Row],[side]]="Sell",Table1[[#This Row],[price]],"0")</f>
        <v>1004.33</v>
      </c>
      <c r="Q461">
        <f>SUMIFS(Table1[quantity],Table1[company_id],Table8[[#This Row],[COMPANY_ID]],Table1[side],"BUY")-SUMIFS(Table1[quantity],Table1[company_id],Table8[[#This Row],[COMPANY_ID]],Table1[side],"SELL")</f>
        <v>0</v>
      </c>
      <c r="R461">
        <f>Table1[[#This Row],[Column2]]-Table1[[#This Row],[Buy-sell]]</f>
        <v>1004.33</v>
      </c>
      <c r="S461" t="str">
        <f>IF(Table1[[#This Row],[Sell-Buy]]&gt;0,"Profit","Loss")</f>
        <v>Profit</v>
      </c>
      <c r="AE461" s="10" t="s">
        <v>831</v>
      </c>
      <c r="AF461" s="10" t="str">
        <f>IF(Table1[[#This Row],[Sell-Buy]]&gt;0,"Profit","Loss")</f>
        <v>Profit</v>
      </c>
      <c r="AG461">
        <f>Table1[[#This Row],[Column2]]-Table1[[#This Row],[Buy-sell]]</f>
        <v>1004.33</v>
      </c>
    </row>
    <row r="462" spans="1:33" x14ac:dyDescent="0.3">
      <c r="A462" t="s">
        <v>815</v>
      </c>
      <c r="B462" t="s">
        <v>592</v>
      </c>
      <c r="C462" s="1">
        <v>45671.025000000001</v>
      </c>
      <c r="D462" t="s">
        <v>33</v>
      </c>
      <c r="E462" t="s">
        <v>166</v>
      </c>
      <c r="F462">
        <v>478</v>
      </c>
      <c r="G462">
        <v>994.1</v>
      </c>
      <c r="H462">
        <v>237.59</v>
      </c>
      <c r="I462" t="s">
        <v>140</v>
      </c>
      <c r="J462" t="s">
        <v>61</v>
      </c>
      <c r="L462" s="1">
        <v>45813</v>
      </c>
      <c r="M462" t="s">
        <v>166</v>
      </c>
      <c r="N462">
        <f>IF(Table1[[#This Row],[side]]="BUY", Table1[[#This Row],[quantity]],-Table1[[#This Row],[quantity]])</f>
        <v>478</v>
      </c>
      <c r="P462" t="str">
        <f>IF(Table1[[#This Row],[side]]="Sell",Table1[[#This Row],[price]],"0")</f>
        <v>0</v>
      </c>
      <c r="Q462">
        <f>SUMIFS(Table1[quantity],Table1[company_id],Table8[[#This Row],[COMPANY_ID]],Table1[side],"BUY")-SUMIFS(Table1[quantity],Table1[company_id],Table8[[#This Row],[COMPANY_ID]],Table1[side],"SELL")</f>
        <v>0</v>
      </c>
      <c r="R462">
        <f>Table1[[#This Row],[Column2]]-Table1[[#This Row],[Buy-sell]]</f>
        <v>0</v>
      </c>
      <c r="S462" t="str">
        <f>IF(Table1[[#This Row],[Sell-Buy]]&gt;0,"Profit","Loss")</f>
        <v>Loss</v>
      </c>
      <c r="AE462" s="9" t="s">
        <v>730</v>
      </c>
      <c r="AF462" s="10" t="str">
        <f>IF(Table1[[#This Row],[Sell-Buy]]&gt;0,"Profit","Loss")</f>
        <v>Loss</v>
      </c>
      <c r="AG462">
        <f>Table1[[#This Row],[Column2]]-Table1[[#This Row],[Buy-sell]]</f>
        <v>0</v>
      </c>
    </row>
    <row r="463" spans="1:33" x14ac:dyDescent="0.3">
      <c r="A463" t="s">
        <v>829</v>
      </c>
      <c r="B463" t="s">
        <v>175</v>
      </c>
      <c r="C463" s="1">
        <v>45805.010416666664</v>
      </c>
      <c r="D463" t="s">
        <v>33</v>
      </c>
      <c r="E463" t="s">
        <v>166</v>
      </c>
      <c r="F463">
        <v>769</v>
      </c>
      <c r="G463">
        <v>1445.49</v>
      </c>
      <c r="H463">
        <v>555.79</v>
      </c>
      <c r="I463" t="s">
        <v>128</v>
      </c>
      <c r="J463" t="s">
        <v>52</v>
      </c>
      <c r="L463" s="1">
        <v>45680</v>
      </c>
      <c r="M463" t="s">
        <v>166</v>
      </c>
      <c r="N463">
        <f>IF(Table1[[#This Row],[side]]="BUY", Table1[[#This Row],[quantity]],-Table1[[#This Row],[quantity]])</f>
        <v>769</v>
      </c>
      <c r="P463" t="str">
        <f>IF(Table1[[#This Row],[side]]="Sell",Table1[[#This Row],[price]],"0")</f>
        <v>0</v>
      </c>
      <c r="Q463">
        <f>SUMIFS(Table1[quantity],Table1[company_id],Table8[[#This Row],[COMPANY_ID]],Table1[side],"BUY")-SUMIFS(Table1[quantity],Table1[company_id],Table8[[#This Row],[COMPANY_ID]],Table1[side],"SELL")</f>
        <v>0</v>
      </c>
      <c r="R463">
        <f>Table1[[#This Row],[Column2]]-Table1[[#This Row],[Buy-sell]]</f>
        <v>0</v>
      </c>
      <c r="S463" t="str">
        <f>IF(Table1[[#This Row],[Sell-Buy]]&gt;0,"Profit","Loss")</f>
        <v>Loss</v>
      </c>
      <c r="AE463" s="10" t="s">
        <v>968</v>
      </c>
      <c r="AF463" s="10" t="str">
        <f>IF(Table1[[#This Row],[Sell-Buy]]&gt;0,"Profit","Loss")</f>
        <v>Loss</v>
      </c>
      <c r="AG463">
        <f>Table1[[#This Row],[Column2]]-Table1[[#This Row],[Buy-sell]]</f>
        <v>0</v>
      </c>
    </row>
    <row r="464" spans="1:33" x14ac:dyDescent="0.3">
      <c r="A464" t="s">
        <v>831</v>
      </c>
      <c r="B464" t="s">
        <v>621</v>
      </c>
      <c r="C464" s="1">
        <v>45828.01458333333</v>
      </c>
      <c r="D464" t="s">
        <v>33</v>
      </c>
      <c r="E464" t="s">
        <v>166</v>
      </c>
      <c r="F464">
        <v>153</v>
      </c>
      <c r="G464">
        <v>1427.43</v>
      </c>
      <c r="H464">
        <v>109.2</v>
      </c>
      <c r="I464" t="s">
        <v>140</v>
      </c>
      <c r="J464" t="s">
        <v>49</v>
      </c>
      <c r="L464" s="1">
        <v>45734</v>
      </c>
      <c r="M464" t="s">
        <v>166</v>
      </c>
      <c r="N464">
        <f>IF(Table1[[#This Row],[side]]="BUY", Table1[[#This Row],[quantity]],-Table1[[#This Row],[quantity]])</f>
        <v>153</v>
      </c>
      <c r="P464" t="str">
        <f>IF(Table1[[#This Row],[side]]="Sell",Table1[[#This Row],[price]],"0")</f>
        <v>0</v>
      </c>
      <c r="Q464">
        <f>SUMIFS(Table1[quantity],Table1[company_id],Table8[[#This Row],[COMPANY_ID]],Table1[side],"BUY")-SUMIFS(Table1[quantity],Table1[company_id],Table8[[#This Row],[COMPANY_ID]],Table1[side],"SELL")</f>
        <v>0</v>
      </c>
      <c r="R464">
        <f>Table1[[#This Row],[Column2]]-Table1[[#This Row],[Buy-sell]]</f>
        <v>0</v>
      </c>
      <c r="S464" t="str">
        <f>IF(Table1[[#This Row],[Sell-Buy]]&gt;0,"Profit","Loss")</f>
        <v>Loss</v>
      </c>
      <c r="AE464" s="9" t="s">
        <v>758</v>
      </c>
      <c r="AF464" s="10" t="str">
        <f>IF(Table1[[#This Row],[Sell-Buy]]&gt;0,"Profit","Loss")</f>
        <v>Loss</v>
      </c>
      <c r="AG464">
        <f>Table1[[#This Row],[Column2]]-Table1[[#This Row],[Buy-sell]]</f>
        <v>0</v>
      </c>
    </row>
    <row r="465" spans="1:33" x14ac:dyDescent="0.3">
      <c r="A465" t="s">
        <v>857</v>
      </c>
      <c r="B465" t="s">
        <v>182</v>
      </c>
      <c r="C465" s="1">
        <v>45715.013888888891</v>
      </c>
      <c r="D465" t="s">
        <v>33</v>
      </c>
      <c r="E465" t="s">
        <v>166</v>
      </c>
      <c r="F465">
        <v>51</v>
      </c>
      <c r="G465">
        <v>1030.5899999999999</v>
      </c>
      <c r="H465">
        <v>26.28</v>
      </c>
      <c r="I465" t="s">
        <v>148</v>
      </c>
      <c r="J465" t="s">
        <v>49</v>
      </c>
      <c r="L465" s="1">
        <v>45798</v>
      </c>
      <c r="M465" t="s">
        <v>166</v>
      </c>
      <c r="N465">
        <f>IF(Table1[[#This Row],[side]]="BUY", Table1[[#This Row],[quantity]],-Table1[[#This Row],[quantity]])</f>
        <v>51</v>
      </c>
      <c r="P465" t="str">
        <f>IF(Table1[[#This Row],[side]]="Sell",Table1[[#This Row],[price]],"0")</f>
        <v>0</v>
      </c>
      <c r="Q465">
        <f>SUMIFS(Table1[quantity],Table1[company_id],Table8[[#This Row],[COMPANY_ID]],Table1[side],"BUY")-SUMIFS(Table1[quantity],Table1[company_id],Table8[[#This Row],[COMPANY_ID]],Table1[side],"SELL")</f>
        <v>0</v>
      </c>
      <c r="R465">
        <f>Table1[[#This Row],[Column2]]-Table1[[#This Row],[Buy-sell]]</f>
        <v>0</v>
      </c>
      <c r="S465" t="str">
        <f>IF(Table1[[#This Row],[Sell-Buy]]&gt;0,"Profit","Loss")</f>
        <v>Loss</v>
      </c>
      <c r="AE465" s="10" t="s">
        <v>765</v>
      </c>
      <c r="AF465" s="10" t="str">
        <f>IF(Table1[[#This Row],[Sell-Buy]]&gt;0,"Profit","Loss")</f>
        <v>Loss</v>
      </c>
      <c r="AG465">
        <f>Table1[[#This Row],[Column2]]-Table1[[#This Row],[Buy-sell]]</f>
        <v>0</v>
      </c>
    </row>
    <row r="466" spans="1:33" x14ac:dyDescent="0.3">
      <c r="A466" t="s">
        <v>909</v>
      </c>
      <c r="B466" t="s">
        <v>265</v>
      </c>
      <c r="C466" s="1">
        <v>45762.004166666666</v>
      </c>
      <c r="D466" t="s">
        <v>33</v>
      </c>
      <c r="E466" t="s">
        <v>166</v>
      </c>
      <c r="F466">
        <v>987</v>
      </c>
      <c r="G466">
        <v>1315.26</v>
      </c>
      <c r="H466">
        <v>649.08000000000004</v>
      </c>
      <c r="I466" t="s">
        <v>124</v>
      </c>
      <c r="J466" t="s">
        <v>76</v>
      </c>
      <c r="L466" s="1">
        <v>45688</v>
      </c>
      <c r="M466" t="s">
        <v>166</v>
      </c>
      <c r="N466">
        <f>IF(Table1[[#This Row],[side]]="BUY", Table1[[#This Row],[quantity]],-Table1[[#This Row],[quantity]])</f>
        <v>987</v>
      </c>
      <c r="P466" t="str">
        <f>IF(Table1[[#This Row],[side]]="Sell",Table1[[#This Row],[price]],"0")</f>
        <v>0</v>
      </c>
      <c r="Q466">
        <f>SUMIFS(Table1[quantity],Table1[company_id],Table8[[#This Row],[COMPANY_ID]],Table1[side],"BUY")-SUMIFS(Table1[quantity],Table1[company_id],Table8[[#This Row],[COMPANY_ID]],Table1[side],"SELL")</f>
        <v>0</v>
      </c>
      <c r="R466">
        <f>Table1[[#This Row],[Column2]]-Table1[[#This Row],[Buy-sell]]</f>
        <v>0</v>
      </c>
      <c r="S466" t="str">
        <f>IF(Table1[[#This Row],[Sell-Buy]]&gt;0,"Profit","Loss")</f>
        <v>Loss</v>
      </c>
      <c r="AE466" s="9" t="s">
        <v>901</v>
      </c>
      <c r="AF466" s="10" t="str">
        <f>IF(Table1[[#This Row],[Sell-Buy]]&gt;0,"Profit","Loss")</f>
        <v>Loss</v>
      </c>
      <c r="AG466">
        <f>Table1[[#This Row],[Column2]]-Table1[[#This Row],[Buy-sell]]</f>
        <v>0</v>
      </c>
    </row>
    <row r="467" spans="1:33" x14ac:dyDescent="0.3">
      <c r="A467" t="s">
        <v>924</v>
      </c>
      <c r="B467" t="s">
        <v>197</v>
      </c>
      <c r="C467" s="1">
        <v>45817.027777777781</v>
      </c>
      <c r="D467" t="s">
        <v>33</v>
      </c>
      <c r="E467" t="s">
        <v>166</v>
      </c>
      <c r="F467">
        <v>213</v>
      </c>
      <c r="G467">
        <v>1358.28</v>
      </c>
      <c r="H467">
        <v>144.66</v>
      </c>
      <c r="I467" t="s">
        <v>114</v>
      </c>
      <c r="J467" t="s">
        <v>55</v>
      </c>
      <c r="L467" s="1">
        <v>45728</v>
      </c>
      <c r="M467" t="s">
        <v>166</v>
      </c>
      <c r="N467">
        <f>IF(Table1[[#This Row],[side]]="BUY", Table1[[#This Row],[quantity]],-Table1[[#This Row],[quantity]])</f>
        <v>213</v>
      </c>
      <c r="P467" t="str">
        <f>IF(Table1[[#This Row],[side]]="Sell",Table1[[#This Row],[price]],"0")</f>
        <v>0</v>
      </c>
      <c r="Q467">
        <f>SUMIFS(Table1[quantity],Table1[company_id],Table8[[#This Row],[COMPANY_ID]],Table1[side],"BUY")-SUMIFS(Table1[quantity],Table1[company_id],Table8[[#This Row],[COMPANY_ID]],Table1[side],"SELL")</f>
        <v>0</v>
      </c>
      <c r="R467">
        <f>Table1[[#This Row],[Column2]]-Table1[[#This Row],[Buy-sell]]</f>
        <v>0</v>
      </c>
      <c r="S467" t="str">
        <f>IF(Table1[[#This Row],[Sell-Buy]]&gt;0,"Profit","Loss")</f>
        <v>Loss</v>
      </c>
      <c r="AE467" s="10" t="s">
        <v>1074</v>
      </c>
      <c r="AF467" s="10" t="str">
        <f>IF(Table1[[#This Row],[Sell-Buy]]&gt;0,"Profit","Loss")</f>
        <v>Loss</v>
      </c>
      <c r="AG467">
        <f>Table1[[#This Row],[Column2]]-Table1[[#This Row],[Buy-sell]]</f>
        <v>0</v>
      </c>
    </row>
    <row r="468" spans="1:33" x14ac:dyDescent="0.3">
      <c r="A468" t="s">
        <v>929</v>
      </c>
      <c r="B468" t="s">
        <v>561</v>
      </c>
      <c r="C468" s="1">
        <v>45672.022916666669</v>
      </c>
      <c r="D468" t="s">
        <v>33</v>
      </c>
      <c r="E468" t="s">
        <v>166</v>
      </c>
      <c r="F468">
        <v>880</v>
      </c>
      <c r="G468">
        <v>977.17</v>
      </c>
      <c r="H468">
        <v>429.95</v>
      </c>
      <c r="I468" t="s">
        <v>144</v>
      </c>
      <c r="J468" t="s">
        <v>73</v>
      </c>
      <c r="L468" s="1">
        <v>45814</v>
      </c>
      <c r="M468" t="s">
        <v>166</v>
      </c>
      <c r="N468">
        <f>IF(Table1[[#This Row],[side]]="BUY", Table1[[#This Row],[quantity]],-Table1[[#This Row],[quantity]])</f>
        <v>880</v>
      </c>
      <c r="P468" t="str">
        <f>IF(Table1[[#This Row],[side]]="Sell",Table1[[#This Row],[price]],"0")</f>
        <v>0</v>
      </c>
      <c r="Q468">
        <f>SUMIFS(Table1[quantity],Table1[company_id],Table8[[#This Row],[COMPANY_ID]],Table1[side],"BUY")-SUMIFS(Table1[quantity],Table1[company_id],Table8[[#This Row],[COMPANY_ID]],Table1[side],"SELL")</f>
        <v>0</v>
      </c>
      <c r="R468">
        <f>Table1[[#This Row],[Column2]]-Table1[[#This Row],[Buy-sell]]</f>
        <v>0</v>
      </c>
      <c r="S468" t="str">
        <f>IF(Table1[[#This Row],[Sell-Buy]]&gt;0,"Profit","Loss")</f>
        <v>Loss</v>
      </c>
      <c r="AE468" s="9" t="s">
        <v>1065</v>
      </c>
      <c r="AF468" s="10" t="str">
        <f>IF(Table1[[#This Row],[Sell-Buy]]&gt;0,"Profit","Loss")</f>
        <v>Loss</v>
      </c>
      <c r="AG468">
        <f>Table1[[#This Row],[Column2]]-Table1[[#This Row],[Buy-sell]]</f>
        <v>0</v>
      </c>
    </row>
    <row r="469" spans="1:33" x14ac:dyDescent="0.3">
      <c r="A469" t="s">
        <v>931</v>
      </c>
      <c r="B469" t="s">
        <v>400</v>
      </c>
      <c r="C469" s="1">
        <v>45818.031944444447</v>
      </c>
      <c r="D469" t="s">
        <v>33</v>
      </c>
      <c r="E469" t="s">
        <v>166</v>
      </c>
      <c r="F469">
        <v>285</v>
      </c>
      <c r="G469">
        <v>1390.08</v>
      </c>
      <c r="H469">
        <v>198.09</v>
      </c>
      <c r="I469" t="s">
        <v>136</v>
      </c>
      <c r="J469" t="s">
        <v>58</v>
      </c>
      <c r="L469" s="1">
        <v>45820</v>
      </c>
      <c r="M469" t="s">
        <v>166</v>
      </c>
      <c r="N469">
        <f>IF(Table1[[#This Row],[side]]="BUY", Table1[[#This Row],[quantity]],-Table1[[#This Row],[quantity]])</f>
        <v>285</v>
      </c>
      <c r="P469" t="str">
        <f>IF(Table1[[#This Row],[side]]="Sell",Table1[[#This Row],[price]],"0")</f>
        <v>0</v>
      </c>
      <c r="Q469">
        <f>SUMIFS(Table1[quantity],Table1[company_id],Table8[[#This Row],[COMPANY_ID]],Table1[side],"BUY")-SUMIFS(Table1[quantity],Table1[company_id],Table8[[#This Row],[COMPANY_ID]],Table1[side],"SELL")</f>
        <v>0</v>
      </c>
      <c r="R469">
        <f>Table1[[#This Row],[Column2]]-Table1[[#This Row],[Buy-sell]]</f>
        <v>0</v>
      </c>
      <c r="S469" t="str">
        <f>IF(Table1[[#This Row],[Sell-Buy]]&gt;0,"Profit","Loss")</f>
        <v>Loss</v>
      </c>
      <c r="AE469" s="10" t="s">
        <v>1162</v>
      </c>
      <c r="AF469" s="10" t="str">
        <f>IF(Table1[[#This Row],[Sell-Buy]]&gt;0,"Profit","Loss")</f>
        <v>Loss</v>
      </c>
      <c r="AG469">
        <f>Table1[[#This Row],[Column2]]-Table1[[#This Row],[Buy-sell]]</f>
        <v>0</v>
      </c>
    </row>
    <row r="470" spans="1:33" x14ac:dyDescent="0.3">
      <c r="A470" t="s">
        <v>892</v>
      </c>
      <c r="B470" t="s">
        <v>460</v>
      </c>
      <c r="C470" s="1">
        <v>45754.036805555559</v>
      </c>
      <c r="D470" t="s">
        <v>33</v>
      </c>
      <c r="E470" t="s">
        <v>171</v>
      </c>
      <c r="F470">
        <v>786</v>
      </c>
      <c r="G470">
        <v>1223.3599999999999</v>
      </c>
      <c r="H470">
        <v>480.78</v>
      </c>
      <c r="I470" t="s">
        <v>91</v>
      </c>
      <c r="J470" t="s">
        <v>76</v>
      </c>
      <c r="L470" s="1">
        <v>45716</v>
      </c>
      <c r="N470">
        <f>IF(Table1[[#This Row],[side]]="BUY", Table1[[#This Row],[quantity]],-Table1[[#This Row],[quantity]])</f>
        <v>-786</v>
      </c>
      <c r="O470" t="s">
        <v>171</v>
      </c>
      <c r="P470">
        <f>IF(Table1[[#This Row],[side]]="Sell",Table1[[#This Row],[price]],"0")</f>
        <v>1223.3599999999999</v>
      </c>
      <c r="Q470">
        <f>SUMIFS(Table1[quantity],Table1[company_id],Table8[[#This Row],[COMPANY_ID]],Table1[side],"BUY")-SUMIFS(Table1[quantity],Table1[company_id],Table8[[#This Row],[COMPANY_ID]],Table1[side],"SELL")</f>
        <v>0</v>
      </c>
      <c r="R470">
        <f>Table1[[#This Row],[Column2]]-Table1[[#This Row],[Buy-sell]]</f>
        <v>1223.3599999999999</v>
      </c>
      <c r="S470" t="str">
        <f>IF(Table1[[#This Row],[Sell-Buy]]&gt;0,"Profit","Loss")</f>
        <v>Profit</v>
      </c>
      <c r="AE470" s="9" t="s">
        <v>974</v>
      </c>
      <c r="AF470" s="10" t="str">
        <f>IF(Table1[[#This Row],[Sell-Buy]]&gt;0,"Profit","Loss")</f>
        <v>Profit</v>
      </c>
      <c r="AG470">
        <f>Table1[[#This Row],[Column2]]-Table1[[#This Row],[Buy-sell]]</f>
        <v>1223.3599999999999</v>
      </c>
    </row>
    <row r="471" spans="1:33" x14ac:dyDescent="0.3">
      <c r="A471" t="s">
        <v>903</v>
      </c>
      <c r="B471" t="s">
        <v>663</v>
      </c>
      <c r="C471" s="1">
        <v>45832.032638888886</v>
      </c>
      <c r="D471" t="s">
        <v>33</v>
      </c>
      <c r="E471" t="s">
        <v>171</v>
      </c>
      <c r="F471">
        <v>76</v>
      </c>
      <c r="G471">
        <v>1382.74</v>
      </c>
      <c r="H471">
        <v>52.54</v>
      </c>
      <c r="I471" t="s">
        <v>146</v>
      </c>
      <c r="J471" t="s">
        <v>70</v>
      </c>
      <c r="L471" s="1">
        <v>45835</v>
      </c>
      <c r="N471">
        <f>IF(Table1[[#This Row],[side]]="BUY", Table1[[#This Row],[quantity]],-Table1[[#This Row],[quantity]])</f>
        <v>-76</v>
      </c>
      <c r="O471" t="s">
        <v>171</v>
      </c>
      <c r="P471">
        <f>IF(Table1[[#This Row],[side]]="Sell",Table1[[#This Row],[price]],"0")</f>
        <v>1382.74</v>
      </c>
      <c r="Q471">
        <f>SUMIFS(Table1[quantity],Table1[company_id],Table8[[#This Row],[COMPANY_ID]],Table1[side],"BUY")-SUMIFS(Table1[quantity],Table1[company_id],Table8[[#This Row],[COMPANY_ID]],Table1[side],"SELL")</f>
        <v>0</v>
      </c>
      <c r="R471">
        <f>Table1[[#This Row],[Column2]]-Table1[[#This Row],[Buy-sell]]</f>
        <v>1382.74</v>
      </c>
      <c r="S471" t="str">
        <f>IF(Table1[[#This Row],[Sell-Buy]]&gt;0,"Profit","Loss")</f>
        <v>Profit</v>
      </c>
      <c r="AE471" s="10" t="s">
        <v>982</v>
      </c>
      <c r="AF471" s="10" t="str">
        <f>IF(Table1[[#This Row],[Sell-Buy]]&gt;0,"Profit","Loss")</f>
        <v>Profit</v>
      </c>
      <c r="AG471">
        <f>Table1[[#This Row],[Column2]]-Table1[[#This Row],[Buy-sell]]</f>
        <v>1382.74</v>
      </c>
    </row>
    <row r="472" spans="1:33" x14ac:dyDescent="0.3">
      <c r="A472" t="s">
        <v>952</v>
      </c>
      <c r="B472" t="s">
        <v>200</v>
      </c>
      <c r="C472" s="1">
        <v>45728.040277777778</v>
      </c>
      <c r="D472" t="s">
        <v>33</v>
      </c>
      <c r="E472" t="s">
        <v>171</v>
      </c>
      <c r="F472">
        <v>782</v>
      </c>
      <c r="G472">
        <v>1105.99</v>
      </c>
      <c r="H472">
        <v>432.44</v>
      </c>
      <c r="I472" t="s">
        <v>94</v>
      </c>
      <c r="J472" t="s">
        <v>49</v>
      </c>
      <c r="L472" s="1">
        <v>45719</v>
      </c>
      <c r="N472">
        <f>IF(Table1[[#This Row],[side]]="BUY", Table1[[#This Row],[quantity]],-Table1[[#This Row],[quantity]])</f>
        <v>-782</v>
      </c>
      <c r="O472" t="s">
        <v>171</v>
      </c>
      <c r="P472">
        <f>IF(Table1[[#This Row],[side]]="Sell",Table1[[#This Row],[price]],"0")</f>
        <v>1105.99</v>
      </c>
      <c r="Q472">
        <f>SUMIFS(Table1[quantity],Table1[company_id],Table8[[#This Row],[COMPANY_ID]],Table1[side],"BUY")-SUMIFS(Table1[quantity],Table1[company_id],Table8[[#This Row],[COMPANY_ID]],Table1[side],"SELL")</f>
        <v>0</v>
      </c>
      <c r="R472">
        <f>Table1[[#This Row],[Column2]]-Table1[[#This Row],[Buy-sell]]</f>
        <v>1105.99</v>
      </c>
      <c r="S472" t="str">
        <f>IF(Table1[[#This Row],[Sell-Buy]]&gt;0,"Profit","Loss")</f>
        <v>Profit</v>
      </c>
      <c r="AE472" s="9" t="s">
        <v>1173</v>
      </c>
      <c r="AF472" s="10" t="str">
        <f>IF(Table1[[#This Row],[Sell-Buy]]&gt;0,"Profit","Loss")</f>
        <v>Profit</v>
      </c>
      <c r="AG472">
        <f>Table1[[#This Row],[Column2]]-Table1[[#This Row],[Buy-sell]]</f>
        <v>1105.99</v>
      </c>
    </row>
    <row r="473" spans="1:33" x14ac:dyDescent="0.3">
      <c r="A473" t="s">
        <v>954</v>
      </c>
      <c r="B473" t="s">
        <v>644</v>
      </c>
      <c r="C473" s="1">
        <v>45754.03402777778</v>
      </c>
      <c r="D473" t="s">
        <v>33</v>
      </c>
      <c r="E473" t="s">
        <v>166</v>
      </c>
      <c r="F473">
        <v>481</v>
      </c>
      <c r="G473">
        <v>1220.02</v>
      </c>
      <c r="H473">
        <v>293.41000000000003</v>
      </c>
      <c r="I473" t="s">
        <v>94</v>
      </c>
      <c r="J473" t="s">
        <v>49</v>
      </c>
      <c r="L473" s="1">
        <v>45825</v>
      </c>
      <c r="M473" t="s">
        <v>166</v>
      </c>
      <c r="N473">
        <f>IF(Table1[[#This Row],[side]]="BUY", Table1[[#This Row],[quantity]],-Table1[[#This Row],[quantity]])</f>
        <v>481</v>
      </c>
      <c r="P473" t="str">
        <f>IF(Table1[[#This Row],[side]]="Sell",Table1[[#This Row],[price]],"0")</f>
        <v>0</v>
      </c>
      <c r="Q473">
        <f>SUMIFS(Table1[quantity],Table1[company_id],Table8[[#This Row],[COMPANY_ID]],Table1[side],"BUY")-SUMIFS(Table1[quantity],Table1[company_id],Table8[[#This Row],[COMPANY_ID]],Table1[side],"SELL")</f>
        <v>0</v>
      </c>
      <c r="R473">
        <f>Table1[[#This Row],[Column2]]-Table1[[#This Row],[Buy-sell]]</f>
        <v>0</v>
      </c>
      <c r="S473" t="str">
        <f>IF(Table1[[#This Row],[Sell-Buy]]&gt;0,"Profit","Loss")</f>
        <v>Loss</v>
      </c>
      <c r="AE473" s="10" t="s">
        <v>826</v>
      </c>
      <c r="AF473" s="10" t="str">
        <f>IF(Table1[[#This Row],[Sell-Buy]]&gt;0,"Profit","Loss")</f>
        <v>Loss</v>
      </c>
      <c r="AG473">
        <f>Table1[[#This Row],[Column2]]-Table1[[#This Row],[Buy-sell]]</f>
        <v>0</v>
      </c>
    </row>
    <row r="474" spans="1:33" x14ac:dyDescent="0.3">
      <c r="A474" t="s">
        <v>960</v>
      </c>
      <c r="B474" t="s">
        <v>589</v>
      </c>
      <c r="C474" s="1">
        <v>45800.023611111108</v>
      </c>
      <c r="D474" t="s">
        <v>33</v>
      </c>
      <c r="E474" t="s">
        <v>166</v>
      </c>
      <c r="F474">
        <v>449</v>
      </c>
      <c r="G474">
        <v>1416.58</v>
      </c>
      <c r="H474">
        <v>318.02</v>
      </c>
      <c r="I474" t="s">
        <v>122</v>
      </c>
      <c r="J474" t="s">
        <v>76</v>
      </c>
      <c r="L474" s="1">
        <v>45687</v>
      </c>
      <c r="M474" t="s">
        <v>166</v>
      </c>
      <c r="N474">
        <f>IF(Table1[[#This Row],[side]]="BUY", Table1[[#This Row],[quantity]],-Table1[[#This Row],[quantity]])</f>
        <v>449</v>
      </c>
      <c r="P474" t="str">
        <f>IF(Table1[[#This Row],[side]]="Sell",Table1[[#This Row],[price]],"0")</f>
        <v>0</v>
      </c>
      <c r="Q474">
        <f>SUMIFS(Table1[quantity],Table1[company_id],Table8[[#This Row],[COMPANY_ID]],Table1[side],"BUY")-SUMIFS(Table1[quantity],Table1[company_id],Table8[[#This Row],[COMPANY_ID]],Table1[side],"SELL")</f>
        <v>0</v>
      </c>
      <c r="R474">
        <f>Table1[[#This Row],[Column2]]-Table1[[#This Row],[Buy-sell]]</f>
        <v>0</v>
      </c>
      <c r="S474" t="str">
        <f>IF(Table1[[#This Row],[Sell-Buy]]&gt;0,"Profit","Loss")</f>
        <v>Loss</v>
      </c>
      <c r="AE474" s="9" t="s">
        <v>736</v>
      </c>
      <c r="AF474" s="10" t="str">
        <f>IF(Table1[[#This Row],[Sell-Buy]]&gt;0,"Profit","Loss")</f>
        <v>Loss</v>
      </c>
      <c r="AG474">
        <f>Table1[[#This Row],[Column2]]-Table1[[#This Row],[Buy-sell]]</f>
        <v>0</v>
      </c>
    </row>
    <row r="475" spans="1:33" x14ac:dyDescent="0.3">
      <c r="A475" t="s">
        <v>982</v>
      </c>
      <c r="B475" t="s">
        <v>630</v>
      </c>
      <c r="C475" s="1">
        <v>45819.018750000003</v>
      </c>
      <c r="D475" t="s">
        <v>33</v>
      </c>
      <c r="E475" t="s">
        <v>171</v>
      </c>
      <c r="F475">
        <v>614</v>
      </c>
      <c r="G475">
        <v>1370.03</v>
      </c>
      <c r="H475">
        <v>420.6</v>
      </c>
      <c r="I475" t="s">
        <v>134</v>
      </c>
      <c r="J475" t="s">
        <v>55</v>
      </c>
      <c r="L475" s="1">
        <v>45699</v>
      </c>
      <c r="N475">
        <f>IF(Table1[[#This Row],[side]]="BUY", Table1[[#This Row],[quantity]],-Table1[[#This Row],[quantity]])</f>
        <v>-614</v>
      </c>
      <c r="O475" t="s">
        <v>171</v>
      </c>
      <c r="P475">
        <f>IF(Table1[[#This Row],[side]]="Sell",Table1[[#This Row],[price]],"0")</f>
        <v>1370.03</v>
      </c>
      <c r="Q475">
        <f>SUMIFS(Table1[quantity],Table1[company_id],Table8[[#This Row],[COMPANY_ID]],Table1[side],"BUY")-SUMIFS(Table1[quantity],Table1[company_id],Table8[[#This Row],[COMPANY_ID]],Table1[side],"SELL")</f>
        <v>0</v>
      </c>
      <c r="R475">
        <f>Table1[[#This Row],[Column2]]-Table1[[#This Row],[Buy-sell]]</f>
        <v>1370.03</v>
      </c>
      <c r="S475" t="str">
        <f>IF(Table1[[#This Row],[Sell-Buy]]&gt;0,"Profit","Loss")</f>
        <v>Profit</v>
      </c>
      <c r="AE475" s="10" t="s">
        <v>965</v>
      </c>
      <c r="AF475" s="10" t="str">
        <f>IF(Table1[[#This Row],[Sell-Buy]]&gt;0,"Profit","Loss")</f>
        <v>Profit</v>
      </c>
      <c r="AG475">
        <f>Table1[[#This Row],[Column2]]-Table1[[#This Row],[Buy-sell]]</f>
        <v>1370.03</v>
      </c>
    </row>
    <row r="476" spans="1:33" x14ac:dyDescent="0.3">
      <c r="A476" t="s">
        <v>983</v>
      </c>
      <c r="B476" t="s">
        <v>534</v>
      </c>
      <c r="C476" s="1">
        <v>45797.027083333334</v>
      </c>
      <c r="D476" t="s">
        <v>33</v>
      </c>
      <c r="E476" t="s">
        <v>171</v>
      </c>
      <c r="F476">
        <v>270</v>
      </c>
      <c r="G476">
        <v>1435.97</v>
      </c>
      <c r="H476">
        <v>193.86</v>
      </c>
      <c r="I476" t="s">
        <v>102</v>
      </c>
      <c r="J476" t="s">
        <v>55</v>
      </c>
      <c r="L476" s="1">
        <v>45741</v>
      </c>
      <c r="N476">
        <f>IF(Table1[[#This Row],[side]]="BUY", Table1[[#This Row],[quantity]],-Table1[[#This Row],[quantity]])</f>
        <v>-270</v>
      </c>
      <c r="O476" t="s">
        <v>171</v>
      </c>
      <c r="P476">
        <f>IF(Table1[[#This Row],[side]]="Sell",Table1[[#This Row],[price]],"0")</f>
        <v>1435.97</v>
      </c>
      <c r="Q476">
        <f>SUMIFS(Table1[quantity],Table1[company_id],Table8[[#This Row],[COMPANY_ID]],Table1[side],"BUY")-SUMIFS(Table1[quantity],Table1[company_id],Table8[[#This Row],[COMPANY_ID]],Table1[side],"SELL")</f>
        <v>0</v>
      </c>
      <c r="R476">
        <f>Table1[[#This Row],[Column2]]-Table1[[#This Row],[Buy-sell]]</f>
        <v>1435.97</v>
      </c>
      <c r="S476" t="str">
        <f>IF(Table1[[#This Row],[Sell-Buy]]&gt;0,"Profit","Loss")</f>
        <v>Profit</v>
      </c>
      <c r="AE476" s="9" t="s">
        <v>846</v>
      </c>
      <c r="AF476" s="10" t="str">
        <f>IF(Table1[[#This Row],[Sell-Buy]]&gt;0,"Profit","Loss")</f>
        <v>Profit</v>
      </c>
      <c r="AG476">
        <f>Table1[[#This Row],[Column2]]-Table1[[#This Row],[Buy-sell]]</f>
        <v>1435.97</v>
      </c>
    </row>
    <row r="477" spans="1:33" x14ac:dyDescent="0.3">
      <c r="A477" t="s">
        <v>988</v>
      </c>
      <c r="B477" t="s">
        <v>388</v>
      </c>
      <c r="C477" s="1">
        <v>45765</v>
      </c>
      <c r="D477" t="s">
        <v>33</v>
      </c>
      <c r="E477" t="s">
        <v>166</v>
      </c>
      <c r="F477">
        <v>629</v>
      </c>
      <c r="G477">
        <v>1348.43</v>
      </c>
      <c r="H477">
        <v>424.08</v>
      </c>
      <c r="I477" t="s">
        <v>114</v>
      </c>
      <c r="J477" t="s">
        <v>55</v>
      </c>
      <c r="L477" s="1">
        <v>45833</v>
      </c>
      <c r="M477" t="s">
        <v>166</v>
      </c>
      <c r="N477">
        <f>IF(Table1[[#This Row],[side]]="BUY", Table1[[#This Row],[quantity]],-Table1[[#This Row],[quantity]])</f>
        <v>629</v>
      </c>
      <c r="P477" t="str">
        <f>IF(Table1[[#This Row],[side]]="Sell",Table1[[#This Row],[price]],"0")</f>
        <v>0</v>
      </c>
      <c r="Q477">
        <f>SUMIFS(Table1[quantity],Table1[company_id],Table8[[#This Row],[COMPANY_ID]],Table1[side],"BUY")-SUMIFS(Table1[quantity],Table1[company_id],Table8[[#This Row],[COMPANY_ID]],Table1[side],"SELL")</f>
        <v>0</v>
      </c>
      <c r="R477">
        <f>Table1[[#This Row],[Column2]]-Table1[[#This Row],[Buy-sell]]</f>
        <v>0</v>
      </c>
      <c r="S477" t="str">
        <f>IF(Table1[[#This Row],[Sell-Buy]]&gt;0,"Profit","Loss")</f>
        <v>Loss</v>
      </c>
      <c r="AE477" s="10" t="s">
        <v>936</v>
      </c>
      <c r="AF477" s="10" t="str">
        <f>IF(Table1[[#This Row],[Sell-Buy]]&gt;0,"Profit","Loss")</f>
        <v>Loss</v>
      </c>
      <c r="AG477">
        <f>Table1[[#This Row],[Column2]]-Table1[[#This Row],[Buy-sell]]</f>
        <v>0</v>
      </c>
    </row>
    <row r="478" spans="1:33" x14ac:dyDescent="0.3">
      <c r="A478" t="s">
        <v>990</v>
      </c>
      <c r="B478" t="s">
        <v>401</v>
      </c>
      <c r="C478" s="1">
        <v>45699.039583333331</v>
      </c>
      <c r="D478" t="s">
        <v>33</v>
      </c>
      <c r="E478" t="s">
        <v>171</v>
      </c>
      <c r="F478">
        <v>31</v>
      </c>
      <c r="G478">
        <v>1041.8599999999999</v>
      </c>
      <c r="H478">
        <v>16.149999999999999</v>
      </c>
      <c r="I478" t="s">
        <v>106</v>
      </c>
      <c r="J478" t="s">
        <v>61</v>
      </c>
      <c r="L478" s="1">
        <v>45727</v>
      </c>
      <c r="N478">
        <f>IF(Table1[[#This Row],[side]]="BUY", Table1[[#This Row],[quantity]],-Table1[[#This Row],[quantity]])</f>
        <v>-31</v>
      </c>
      <c r="O478" t="s">
        <v>171</v>
      </c>
      <c r="P478">
        <f>IF(Table1[[#This Row],[side]]="Sell",Table1[[#This Row],[price]],"0")</f>
        <v>1041.8599999999999</v>
      </c>
      <c r="Q478">
        <f>SUMIFS(Table1[quantity],Table1[company_id],Table8[[#This Row],[COMPANY_ID]],Table1[side],"BUY")-SUMIFS(Table1[quantity],Table1[company_id],Table8[[#This Row],[COMPANY_ID]],Table1[side],"SELL")</f>
        <v>0</v>
      </c>
      <c r="R478">
        <f>Table1[[#This Row],[Column2]]-Table1[[#This Row],[Buy-sell]]</f>
        <v>1041.8599999999999</v>
      </c>
      <c r="S478" t="str">
        <f>IF(Table1[[#This Row],[Sell-Buy]]&gt;0,"Profit","Loss")</f>
        <v>Profit</v>
      </c>
      <c r="AE478" s="9" t="s">
        <v>1091</v>
      </c>
      <c r="AF478" s="10" t="str">
        <f>IF(Table1[[#This Row],[Sell-Buy]]&gt;0,"Profit","Loss")</f>
        <v>Profit</v>
      </c>
      <c r="AG478">
        <f>Table1[[#This Row],[Column2]]-Table1[[#This Row],[Buy-sell]]</f>
        <v>1041.8599999999999</v>
      </c>
    </row>
    <row r="479" spans="1:33" x14ac:dyDescent="0.3">
      <c r="A479" t="s">
        <v>1007</v>
      </c>
      <c r="B479" t="s">
        <v>176</v>
      </c>
      <c r="C479" s="1">
        <v>45818.018750000003</v>
      </c>
      <c r="D479" t="s">
        <v>33</v>
      </c>
      <c r="E479" t="s">
        <v>166</v>
      </c>
      <c r="F479">
        <v>108</v>
      </c>
      <c r="G479">
        <v>1392.33</v>
      </c>
      <c r="H479">
        <v>75.19</v>
      </c>
      <c r="I479" t="s">
        <v>130</v>
      </c>
      <c r="J479" t="s">
        <v>67</v>
      </c>
      <c r="L479" s="1">
        <v>45681</v>
      </c>
      <c r="M479" t="s">
        <v>166</v>
      </c>
      <c r="N479">
        <f>IF(Table1[[#This Row],[side]]="BUY", Table1[[#This Row],[quantity]],-Table1[[#This Row],[quantity]])</f>
        <v>108</v>
      </c>
      <c r="P479" t="str">
        <f>IF(Table1[[#This Row],[side]]="Sell",Table1[[#This Row],[price]],"0")</f>
        <v>0</v>
      </c>
      <c r="Q479">
        <f>SUMIFS(Table1[quantity],Table1[company_id],Table8[[#This Row],[COMPANY_ID]],Table1[side],"BUY")-SUMIFS(Table1[quantity],Table1[company_id],Table8[[#This Row],[COMPANY_ID]],Table1[side],"SELL")</f>
        <v>0</v>
      </c>
      <c r="R479">
        <f>Table1[[#This Row],[Column2]]-Table1[[#This Row],[Buy-sell]]</f>
        <v>0</v>
      </c>
      <c r="S479" t="str">
        <f>IF(Table1[[#This Row],[Sell-Buy]]&gt;0,"Profit","Loss")</f>
        <v>Loss</v>
      </c>
      <c r="AE479" s="10" t="s">
        <v>1024</v>
      </c>
      <c r="AF479" s="10" t="str">
        <f>IF(Table1[[#This Row],[Sell-Buy]]&gt;0,"Profit","Loss")</f>
        <v>Loss</v>
      </c>
      <c r="AG479">
        <f>Table1[[#This Row],[Column2]]-Table1[[#This Row],[Buy-sell]]</f>
        <v>0</v>
      </c>
    </row>
    <row r="480" spans="1:33" x14ac:dyDescent="0.3">
      <c r="A480" t="s">
        <v>1015</v>
      </c>
      <c r="B480" t="s">
        <v>263</v>
      </c>
      <c r="C480" s="1">
        <v>45721.017361111109</v>
      </c>
      <c r="D480" t="s">
        <v>33</v>
      </c>
      <c r="E480" t="s">
        <v>166</v>
      </c>
      <c r="F480">
        <v>799</v>
      </c>
      <c r="G480">
        <v>1063.53</v>
      </c>
      <c r="H480">
        <v>424.88</v>
      </c>
      <c r="I480" t="s">
        <v>102</v>
      </c>
      <c r="J480" t="s">
        <v>61</v>
      </c>
      <c r="L480" s="1">
        <v>45798</v>
      </c>
      <c r="M480" t="s">
        <v>166</v>
      </c>
      <c r="N480">
        <f>IF(Table1[[#This Row],[side]]="BUY", Table1[[#This Row],[quantity]],-Table1[[#This Row],[quantity]])</f>
        <v>799</v>
      </c>
      <c r="P480" t="str">
        <f>IF(Table1[[#This Row],[side]]="Sell",Table1[[#This Row],[price]],"0")</f>
        <v>0</v>
      </c>
      <c r="Q480">
        <f>SUMIFS(Table1[quantity],Table1[company_id],Table8[[#This Row],[COMPANY_ID]],Table1[side],"BUY")-SUMIFS(Table1[quantity],Table1[company_id],Table8[[#This Row],[COMPANY_ID]],Table1[side],"SELL")</f>
        <v>0</v>
      </c>
      <c r="R480">
        <f>Table1[[#This Row],[Column2]]-Table1[[#This Row],[Buy-sell]]</f>
        <v>0</v>
      </c>
      <c r="S480" t="str">
        <f>IF(Table1[[#This Row],[Sell-Buy]]&gt;0,"Profit","Loss")</f>
        <v>Loss</v>
      </c>
      <c r="AE480" s="9" t="s">
        <v>691</v>
      </c>
      <c r="AF480" s="10" t="str">
        <f>IF(Table1[[#This Row],[Sell-Buy]]&gt;0,"Profit","Loss")</f>
        <v>Loss</v>
      </c>
      <c r="AG480">
        <f>Table1[[#This Row],[Column2]]-Table1[[#This Row],[Buy-sell]]</f>
        <v>0</v>
      </c>
    </row>
    <row r="481" spans="1:33" x14ac:dyDescent="0.3">
      <c r="A481" t="s">
        <v>1035</v>
      </c>
      <c r="B481" t="s">
        <v>201</v>
      </c>
      <c r="C481" s="1">
        <v>45677.026388888888</v>
      </c>
      <c r="D481" t="s">
        <v>33</v>
      </c>
      <c r="E481" t="s">
        <v>166</v>
      </c>
      <c r="F481">
        <v>65</v>
      </c>
      <c r="G481">
        <v>963.26</v>
      </c>
      <c r="H481">
        <v>31.31</v>
      </c>
      <c r="I481" t="s">
        <v>116</v>
      </c>
      <c r="J481" t="s">
        <v>76</v>
      </c>
      <c r="L481" s="1">
        <v>45658</v>
      </c>
      <c r="M481" t="s">
        <v>166</v>
      </c>
      <c r="N481">
        <f>IF(Table1[[#This Row],[side]]="BUY", Table1[[#This Row],[quantity]],-Table1[[#This Row],[quantity]])</f>
        <v>65</v>
      </c>
      <c r="P481" t="str">
        <f>IF(Table1[[#This Row],[side]]="Sell",Table1[[#This Row],[price]],"0")</f>
        <v>0</v>
      </c>
      <c r="Q481">
        <f>SUMIFS(Table1[quantity],Table1[company_id],Table8[[#This Row],[COMPANY_ID]],Table1[side],"BUY")-SUMIFS(Table1[quantity],Table1[company_id],Table8[[#This Row],[COMPANY_ID]],Table1[side],"SELL")</f>
        <v>0</v>
      </c>
      <c r="R481">
        <f>Table1[[#This Row],[Column2]]-Table1[[#This Row],[Buy-sell]]</f>
        <v>0</v>
      </c>
      <c r="S481" t="str">
        <f>IF(Table1[[#This Row],[Sell-Buy]]&gt;0,"Profit","Loss")</f>
        <v>Loss</v>
      </c>
      <c r="AE481" s="10" t="s">
        <v>910</v>
      </c>
      <c r="AF481" s="10" t="str">
        <f>IF(Table1[[#This Row],[Sell-Buy]]&gt;0,"Profit","Loss")</f>
        <v>Loss</v>
      </c>
      <c r="AG481">
        <f>Table1[[#This Row],[Column2]]-Table1[[#This Row],[Buy-sell]]</f>
        <v>0</v>
      </c>
    </row>
    <row r="482" spans="1:33" x14ac:dyDescent="0.3">
      <c r="A482" t="s">
        <v>1048</v>
      </c>
      <c r="B482" t="s">
        <v>173</v>
      </c>
      <c r="C482" s="1">
        <v>45742.033333333333</v>
      </c>
      <c r="D482" t="s">
        <v>33</v>
      </c>
      <c r="E482" t="s">
        <v>166</v>
      </c>
      <c r="F482">
        <v>480</v>
      </c>
      <c r="G482">
        <v>1276.74</v>
      </c>
      <c r="H482">
        <v>306.42</v>
      </c>
      <c r="I482" t="s">
        <v>114</v>
      </c>
      <c r="J482" t="s">
        <v>76</v>
      </c>
      <c r="L482" s="1">
        <v>45786</v>
      </c>
      <c r="M482" t="s">
        <v>166</v>
      </c>
      <c r="N482">
        <f>IF(Table1[[#This Row],[side]]="BUY", Table1[[#This Row],[quantity]],-Table1[[#This Row],[quantity]])</f>
        <v>480</v>
      </c>
      <c r="P482" t="str">
        <f>IF(Table1[[#This Row],[side]]="Sell",Table1[[#This Row],[price]],"0")</f>
        <v>0</v>
      </c>
      <c r="Q482">
        <f>SUMIFS(Table1[quantity],Table1[company_id],Table8[[#This Row],[COMPANY_ID]],Table1[side],"BUY")-SUMIFS(Table1[quantity],Table1[company_id],Table8[[#This Row],[COMPANY_ID]],Table1[side],"SELL")</f>
        <v>0</v>
      </c>
      <c r="R482">
        <f>Table1[[#This Row],[Column2]]-Table1[[#This Row],[Buy-sell]]</f>
        <v>0</v>
      </c>
      <c r="S482" t="str">
        <f>IF(Table1[[#This Row],[Sell-Buy]]&gt;0,"Profit","Loss")</f>
        <v>Loss</v>
      </c>
      <c r="AE482" s="9" t="s">
        <v>777</v>
      </c>
      <c r="AF482" s="10" t="str">
        <f>IF(Table1[[#This Row],[Sell-Buy]]&gt;0,"Profit","Loss")</f>
        <v>Loss</v>
      </c>
      <c r="AG482">
        <f>Table1[[#This Row],[Column2]]-Table1[[#This Row],[Buy-sell]]</f>
        <v>0</v>
      </c>
    </row>
    <row r="483" spans="1:33" x14ac:dyDescent="0.3">
      <c r="A483" t="s">
        <v>1052</v>
      </c>
      <c r="B483" t="s">
        <v>183</v>
      </c>
      <c r="C483" s="1">
        <v>45715.006249999999</v>
      </c>
      <c r="D483" t="s">
        <v>33</v>
      </c>
      <c r="E483" t="s">
        <v>171</v>
      </c>
      <c r="F483">
        <v>871</v>
      </c>
      <c r="G483">
        <v>1030.92</v>
      </c>
      <c r="H483">
        <v>448.97</v>
      </c>
      <c r="I483" t="s">
        <v>112</v>
      </c>
      <c r="J483" t="s">
        <v>64</v>
      </c>
      <c r="L483" s="1">
        <v>45827</v>
      </c>
      <c r="N483">
        <f>IF(Table1[[#This Row],[side]]="BUY", Table1[[#This Row],[quantity]],-Table1[[#This Row],[quantity]])</f>
        <v>-871</v>
      </c>
      <c r="O483" t="s">
        <v>171</v>
      </c>
      <c r="P483">
        <f>IF(Table1[[#This Row],[side]]="Sell",Table1[[#This Row],[price]],"0")</f>
        <v>1030.92</v>
      </c>
      <c r="Q483">
        <f>SUMIFS(Table1[quantity],Table1[company_id],Table8[[#This Row],[COMPANY_ID]],Table1[side],"BUY")-SUMIFS(Table1[quantity],Table1[company_id],Table8[[#This Row],[COMPANY_ID]],Table1[side],"SELL")</f>
        <v>0</v>
      </c>
      <c r="R483">
        <f>Table1[[#This Row],[Column2]]-Table1[[#This Row],[Buy-sell]]</f>
        <v>1030.92</v>
      </c>
      <c r="S483" t="str">
        <f>IF(Table1[[#This Row],[Sell-Buy]]&gt;0,"Profit","Loss")</f>
        <v>Profit</v>
      </c>
      <c r="AE483" s="10" t="s">
        <v>1138</v>
      </c>
      <c r="AF483" s="10" t="str">
        <f>IF(Table1[[#This Row],[Sell-Buy]]&gt;0,"Profit","Loss")</f>
        <v>Profit</v>
      </c>
      <c r="AG483">
        <f>Table1[[#This Row],[Column2]]-Table1[[#This Row],[Buy-sell]]</f>
        <v>1030.92</v>
      </c>
    </row>
    <row r="484" spans="1:33" x14ac:dyDescent="0.3">
      <c r="A484" t="s">
        <v>1061</v>
      </c>
      <c r="B484" t="s">
        <v>408</v>
      </c>
      <c r="C484" s="1">
        <v>45824.00277777778</v>
      </c>
      <c r="D484" t="s">
        <v>33</v>
      </c>
      <c r="E484" t="s">
        <v>171</v>
      </c>
      <c r="F484">
        <v>171</v>
      </c>
      <c r="G484">
        <v>1366.97</v>
      </c>
      <c r="H484">
        <v>116.88</v>
      </c>
      <c r="I484" t="s">
        <v>142</v>
      </c>
      <c r="J484" t="s">
        <v>70</v>
      </c>
      <c r="L484" s="1">
        <v>45728</v>
      </c>
      <c r="N484">
        <f>IF(Table1[[#This Row],[side]]="BUY", Table1[[#This Row],[quantity]],-Table1[[#This Row],[quantity]])</f>
        <v>-171</v>
      </c>
      <c r="O484" t="s">
        <v>171</v>
      </c>
      <c r="P484">
        <f>IF(Table1[[#This Row],[side]]="Sell",Table1[[#This Row],[price]],"0")</f>
        <v>1366.97</v>
      </c>
      <c r="Q484">
        <f>SUMIFS(Table1[quantity],Table1[company_id],Table8[[#This Row],[COMPANY_ID]],Table1[side],"BUY")-SUMIFS(Table1[quantity],Table1[company_id],Table8[[#This Row],[COMPANY_ID]],Table1[side],"SELL")</f>
        <v>0</v>
      </c>
      <c r="R484">
        <f>Table1[[#This Row],[Column2]]-Table1[[#This Row],[Buy-sell]]</f>
        <v>1366.97</v>
      </c>
      <c r="S484" t="str">
        <f>IF(Table1[[#This Row],[Sell-Buy]]&gt;0,"Profit","Loss")</f>
        <v>Profit</v>
      </c>
      <c r="AE484" s="9" t="s">
        <v>1049</v>
      </c>
      <c r="AF484" s="10" t="str">
        <f>IF(Table1[[#This Row],[Sell-Buy]]&gt;0,"Profit","Loss")</f>
        <v>Profit</v>
      </c>
      <c r="AG484">
        <f>Table1[[#This Row],[Column2]]-Table1[[#This Row],[Buy-sell]]</f>
        <v>1366.97</v>
      </c>
    </row>
    <row r="485" spans="1:33" x14ac:dyDescent="0.3">
      <c r="A485" t="s">
        <v>1081</v>
      </c>
      <c r="B485" t="s">
        <v>242</v>
      </c>
      <c r="C485" s="1">
        <v>45762.037499999999</v>
      </c>
      <c r="D485" t="s">
        <v>33</v>
      </c>
      <c r="E485" t="s">
        <v>166</v>
      </c>
      <c r="F485">
        <v>262</v>
      </c>
      <c r="G485">
        <v>1316.42</v>
      </c>
      <c r="H485">
        <v>172.45</v>
      </c>
      <c r="I485" t="s">
        <v>140</v>
      </c>
      <c r="J485" t="s">
        <v>73</v>
      </c>
      <c r="L485" s="1">
        <v>45702</v>
      </c>
      <c r="M485" t="s">
        <v>166</v>
      </c>
      <c r="N485">
        <f>IF(Table1[[#This Row],[side]]="BUY", Table1[[#This Row],[quantity]],-Table1[[#This Row],[quantity]])</f>
        <v>262</v>
      </c>
      <c r="P485" t="str">
        <f>IF(Table1[[#This Row],[side]]="Sell",Table1[[#This Row],[price]],"0")</f>
        <v>0</v>
      </c>
      <c r="Q485">
        <f>SUMIFS(Table1[quantity],Table1[company_id],Table8[[#This Row],[COMPANY_ID]],Table1[side],"BUY")-SUMIFS(Table1[quantity],Table1[company_id],Table8[[#This Row],[COMPANY_ID]],Table1[side],"SELL")</f>
        <v>0</v>
      </c>
      <c r="R485">
        <f>Table1[[#This Row],[Column2]]-Table1[[#This Row],[Buy-sell]]</f>
        <v>0</v>
      </c>
      <c r="S485" t="str">
        <f>IF(Table1[[#This Row],[Sell-Buy]]&gt;0,"Profit","Loss")</f>
        <v>Loss</v>
      </c>
      <c r="AE485" s="10" t="s">
        <v>873</v>
      </c>
      <c r="AF485" s="10" t="str">
        <f>IF(Table1[[#This Row],[Sell-Buy]]&gt;0,"Profit","Loss")</f>
        <v>Loss</v>
      </c>
      <c r="AG485">
        <f>Table1[[#This Row],[Column2]]-Table1[[#This Row],[Buy-sell]]</f>
        <v>0</v>
      </c>
    </row>
    <row r="486" spans="1:33" x14ac:dyDescent="0.3">
      <c r="A486" t="s">
        <v>1082</v>
      </c>
      <c r="B486" t="s">
        <v>544</v>
      </c>
      <c r="C486" s="1">
        <v>45733.027777777781</v>
      </c>
      <c r="D486" t="s">
        <v>33</v>
      </c>
      <c r="E486" t="s">
        <v>166</v>
      </c>
      <c r="F486">
        <v>40</v>
      </c>
      <c r="G486">
        <v>1172.33</v>
      </c>
      <c r="H486">
        <v>23.45</v>
      </c>
      <c r="I486" t="s">
        <v>144</v>
      </c>
      <c r="J486" t="s">
        <v>58</v>
      </c>
      <c r="L486" s="1">
        <v>45756</v>
      </c>
      <c r="M486" t="s">
        <v>166</v>
      </c>
      <c r="N486">
        <f>IF(Table1[[#This Row],[side]]="BUY", Table1[[#This Row],[quantity]],-Table1[[#This Row],[quantity]])</f>
        <v>40</v>
      </c>
      <c r="P486" t="str">
        <f>IF(Table1[[#This Row],[side]]="Sell",Table1[[#This Row],[price]],"0")</f>
        <v>0</v>
      </c>
      <c r="Q486">
        <f>SUMIFS(Table1[quantity],Table1[company_id],Table8[[#This Row],[COMPANY_ID]],Table1[side],"BUY")-SUMIFS(Table1[quantity],Table1[company_id],Table8[[#This Row],[COMPANY_ID]],Table1[side],"SELL")</f>
        <v>0</v>
      </c>
      <c r="R486">
        <f>Table1[[#This Row],[Column2]]-Table1[[#This Row],[Buy-sell]]</f>
        <v>0</v>
      </c>
      <c r="S486" t="str">
        <f>IF(Table1[[#This Row],[Sell-Buy]]&gt;0,"Profit","Loss")</f>
        <v>Loss</v>
      </c>
      <c r="AE486" s="9" t="s">
        <v>915</v>
      </c>
      <c r="AF486" s="10" t="str">
        <f>IF(Table1[[#This Row],[Sell-Buy]]&gt;0,"Profit","Loss")</f>
        <v>Loss</v>
      </c>
      <c r="AG486">
        <f>Table1[[#This Row],[Column2]]-Table1[[#This Row],[Buy-sell]]</f>
        <v>0</v>
      </c>
    </row>
    <row r="487" spans="1:33" x14ac:dyDescent="0.3">
      <c r="A487" t="s">
        <v>1084</v>
      </c>
      <c r="B487" t="s">
        <v>557</v>
      </c>
      <c r="C487" s="1">
        <v>45685.006944444445</v>
      </c>
      <c r="D487" t="s">
        <v>33</v>
      </c>
      <c r="E487" t="s">
        <v>166</v>
      </c>
      <c r="F487">
        <v>300</v>
      </c>
      <c r="G487">
        <v>948.66</v>
      </c>
      <c r="H487">
        <v>142.30000000000001</v>
      </c>
      <c r="I487" t="s">
        <v>130</v>
      </c>
      <c r="J487" t="s">
        <v>61</v>
      </c>
      <c r="L487" s="1">
        <v>45698</v>
      </c>
      <c r="M487" t="s">
        <v>166</v>
      </c>
      <c r="N487">
        <f>IF(Table1[[#This Row],[side]]="BUY", Table1[[#This Row],[quantity]],-Table1[[#This Row],[quantity]])</f>
        <v>300</v>
      </c>
      <c r="P487" t="str">
        <f>IF(Table1[[#This Row],[side]]="Sell",Table1[[#This Row],[price]],"0")</f>
        <v>0</v>
      </c>
      <c r="Q487">
        <f>SUMIFS(Table1[quantity],Table1[company_id],Table8[[#This Row],[COMPANY_ID]],Table1[side],"BUY")-SUMIFS(Table1[quantity],Table1[company_id],Table8[[#This Row],[COMPANY_ID]],Table1[side],"SELL")</f>
        <v>0</v>
      </c>
      <c r="R487">
        <f>Table1[[#This Row],[Column2]]-Table1[[#This Row],[Buy-sell]]</f>
        <v>0</v>
      </c>
      <c r="S487" t="str">
        <f>IF(Table1[[#This Row],[Sell-Buy]]&gt;0,"Profit","Loss")</f>
        <v>Loss</v>
      </c>
      <c r="AE487" s="10" t="s">
        <v>681</v>
      </c>
      <c r="AF487" s="10" t="str">
        <f>IF(Table1[[#This Row],[Sell-Buy]]&gt;0,"Profit","Loss")</f>
        <v>Loss</v>
      </c>
      <c r="AG487">
        <f>Table1[[#This Row],[Column2]]-Table1[[#This Row],[Buy-sell]]</f>
        <v>0</v>
      </c>
    </row>
    <row r="488" spans="1:33" x14ac:dyDescent="0.3">
      <c r="A488" t="s">
        <v>1095</v>
      </c>
      <c r="B488" t="s">
        <v>206</v>
      </c>
      <c r="C488" s="1">
        <v>45742.025000000001</v>
      </c>
      <c r="D488" t="s">
        <v>33</v>
      </c>
      <c r="E488" t="s">
        <v>166</v>
      </c>
      <c r="F488">
        <v>866</v>
      </c>
      <c r="G488">
        <v>1276.9000000000001</v>
      </c>
      <c r="H488">
        <v>552.9</v>
      </c>
      <c r="I488" t="s">
        <v>112</v>
      </c>
      <c r="J488" t="s">
        <v>49</v>
      </c>
      <c r="L488" s="1">
        <v>45814</v>
      </c>
      <c r="M488" t="s">
        <v>166</v>
      </c>
      <c r="N488">
        <f>IF(Table1[[#This Row],[side]]="BUY", Table1[[#This Row],[quantity]],-Table1[[#This Row],[quantity]])</f>
        <v>866</v>
      </c>
      <c r="P488" t="str">
        <f>IF(Table1[[#This Row],[side]]="Sell",Table1[[#This Row],[price]],"0")</f>
        <v>0</v>
      </c>
      <c r="Q488">
        <f>SUMIFS(Table1[quantity],Table1[company_id],Table8[[#This Row],[COMPANY_ID]],Table1[side],"BUY")-SUMIFS(Table1[quantity],Table1[company_id],Table8[[#This Row],[COMPANY_ID]],Table1[side],"SELL")</f>
        <v>0</v>
      </c>
      <c r="R488">
        <f>Table1[[#This Row],[Column2]]-Table1[[#This Row],[Buy-sell]]</f>
        <v>0</v>
      </c>
      <c r="S488" t="str">
        <f>IF(Table1[[#This Row],[Sell-Buy]]&gt;0,"Profit","Loss")</f>
        <v>Loss</v>
      </c>
      <c r="AE488" s="9" t="s">
        <v>954</v>
      </c>
      <c r="AF488" s="10" t="str">
        <f>IF(Table1[[#This Row],[Sell-Buy]]&gt;0,"Profit","Loss")</f>
        <v>Loss</v>
      </c>
      <c r="AG488">
        <f>Table1[[#This Row],[Column2]]-Table1[[#This Row],[Buy-sell]]</f>
        <v>0</v>
      </c>
    </row>
    <row r="489" spans="1:33" x14ac:dyDescent="0.3">
      <c r="A489" t="s">
        <v>1115</v>
      </c>
      <c r="B489" t="s">
        <v>600</v>
      </c>
      <c r="C489" s="1">
        <v>45805.018055555556</v>
      </c>
      <c r="D489" t="s">
        <v>33</v>
      </c>
      <c r="E489" t="s">
        <v>171</v>
      </c>
      <c r="F489">
        <v>390</v>
      </c>
      <c r="G489">
        <v>1446.06</v>
      </c>
      <c r="H489">
        <v>281.98</v>
      </c>
      <c r="I489" t="s">
        <v>114</v>
      </c>
      <c r="J489" t="s">
        <v>49</v>
      </c>
      <c r="L489" s="1">
        <v>45821</v>
      </c>
      <c r="N489">
        <f>IF(Table1[[#This Row],[side]]="BUY", Table1[[#This Row],[quantity]],-Table1[[#This Row],[quantity]])</f>
        <v>-390</v>
      </c>
      <c r="O489" t="s">
        <v>171</v>
      </c>
      <c r="P489">
        <f>IF(Table1[[#This Row],[side]]="Sell",Table1[[#This Row],[price]],"0")</f>
        <v>1446.06</v>
      </c>
      <c r="Q489">
        <f>SUMIFS(Table1[quantity],Table1[company_id],Table8[[#This Row],[COMPANY_ID]],Table1[side],"BUY")-SUMIFS(Table1[quantity],Table1[company_id],Table8[[#This Row],[COMPANY_ID]],Table1[side],"SELL")</f>
        <v>0</v>
      </c>
      <c r="R489">
        <f>Table1[[#This Row],[Column2]]-Table1[[#This Row],[Buy-sell]]</f>
        <v>1446.06</v>
      </c>
      <c r="S489" t="str">
        <f>IF(Table1[[#This Row],[Sell-Buy]]&gt;0,"Profit","Loss")</f>
        <v>Profit</v>
      </c>
      <c r="AE489" s="10" t="s">
        <v>803</v>
      </c>
      <c r="AF489" s="10" t="str">
        <f>IF(Table1[[#This Row],[Sell-Buy]]&gt;0,"Profit","Loss")</f>
        <v>Profit</v>
      </c>
      <c r="AG489">
        <f>Table1[[#This Row],[Column2]]-Table1[[#This Row],[Buy-sell]]</f>
        <v>1446.06</v>
      </c>
    </row>
    <row r="490" spans="1:33" x14ac:dyDescent="0.3">
      <c r="A490" t="s">
        <v>1122</v>
      </c>
      <c r="B490" t="s">
        <v>660</v>
      </c>
      <c r="C490" s="1">
        <v>45758.008333333331</v>
      </c>
      <c r="D490" t="s">
        <v>33</v>
      </c>
      <c r="E490" t="s">
        <v>166</v>
      </c>
      <c r="F490">
        <v>644</v>
      </c>
      <c r="G490">
        <v>1284.57</v>
      </c>
      <c r="H490">
        <v>413.63</v>
      </c>
      <c r="I490" t="s">
        <v>140</v>
      </c>
      <c r="J490" t="s">
        <v>49</v>
      </c>
      <c r="L490" s="1">
        <v>45783</v>
      </c>
      <c r="M490" t="s">
        <v>166</v>
      </c>
      <c r="N490">
        <f>IF(Table1[[#This Row],[side]]="BUY", Table1[[#This Row],[quantity]],-Table1[[#This Row],[quantity]])</f>
        <v>644</v>
      </c>
      <c r="P490" t="str">
        <f>IF(Table1[[#This Row],[side]]="Sell",Table1[[#This Row],[price]],"0")</f>
        <v>0</v>
      </c>
      <c r="Q490">
        <f>SUMIFS(Table1[quantity],Table1[company_id],Table8[[#This Row],[COMPANY_ID]],Table1[side],"BUY")-SUMIFS(Table1[quantity],Table1[company_id],Table8[[#This Row],[COMPANY_ID]],Table1[side],"SELL")</f>
        <v>0</v>
      </c>
      <c r="R490">
        <f>Table1[[#This Row],[Column2]]-Table1[[#This Row],[Buy-sell]]</f>
        <v>0</v>
      </c>
      <c r="S490" t="str">
        <f>IF(Table1[[#This Row],[Sell-Buy]]&gt;0,"Profit","Loss")</f>
        <v>Loss</v>
      </c>
      <c r="AE490" s="9" t="s">
        <v>737</v>
      </c>
      <c r="AF490" s="10" t="str">
        <f>IF(Table1[[#This Row],[Sell-Buy]]&gt;0,"Profit","Loss")</f>
        <v>Loss</v>
      </c>
      <c r="AG490">
        <f>Table1[[#This Row],[Column2]]-Table1[[#This Row],[Buy-sell]]</f>
        <v>0</v>
      </c>
    </row>
    <row r="491" spans="1:33" x14ac:dyDescent="0.3">
      <c r="A491" t="s">
        <v>1124</v>
      </c>
      <c r="B491" t="s">
        <v>348</v>
      </c>
      <c r="C491" s="1">
        <v>45825.040277777778</v>
      </c>
      <c r="D491" t="s">
        <v>33</v>
      </c>
      <c r="E491" t="s">
        <v>166</v>
      </c>
      <c r="F491">
        <v>91</v>
      </c>
      <c r="G491">
        <v>1372.73</v>
      </c>
      <c r="H491">
        <v>62.46</v>
      </c>
      <c r="I491" t="s">
        <v>138</v>
      </c>
      <c r="J491" t="s">
        <v>55</v>
      </c>
      <c r="L491" s="1">
        <v>45747</v>
      </c>
      <c r="M491" t="s">
        <v>166</v>
      </c>
      <c r="N491">
        <f>IF(Table1[[#This Row],[side]]="BUY", Table1[[#This Row],[quantity]],-Table1[[#This Row],[quantity]])</f>
        <v>91</v>
      </c>
      <c r="P491" t="str">
        <f>IF(Table1[[#This Row],[side]]="Sell",Table1[[#This Row],[price]],"0")</f>
        <v>0</v>
      </c>
      <c r="Q491">
        <f>SUMIFS(Table1[quantity],Table1[company_id],Table8[[#This Row],[COMPANY_ID]],Table1[side],"BUY")-SUMIFS(Table1[quantity],Table1[company_id],Table8[[#This Row],[COMPANY_ID]],Table1[side],"SELL")</f>
        <v>0</v>
      </c>
      <c r="R491">
        <f>Table1[[#This Row],[Column2]]-Table1[[#This Row],[Buy-sell]]</f>
        <v>0</v>
      </c>
      <c r="S491" t="str">
        <f>IF(Table1[[#This Row],[Sell-Buy]]&gt;0,"Profit","Loss")</f>
        <v>Loss</v>
      </c>
      <c r="AE491" s="10" t="s">
        <v>1153</v>
      </c>
      <c r="AF491" s="10" t="str">
        <f>IF(Table1[[#This Row],[Sell-Buy]]&gt;0,"Profit","Loss")</f>
        <v>Loss</v>
      </c>
      <c r="AG491">
        <f>Table1[[#This Row],[Column2]]-Table1[[#This Row],[Buy-sell]]</f>
        <v>0</v>
      </c>
    </row>
    <row r="492" spans="1:33" x14ac:dyDescent="0.3">
      <c r="A492" t="s">
        <v>1126</v>
      </c>
      <c r="B492" t="s">
        <v>277</v>
      </c>
      <c r="C492" s="1">
        <v>45693.038194444445</v>
      </c>
      <c r="D492" t="s">
        <v>33</v>
      </c>
      <c r="E492" t="s">
        <v>171</v>
      </c>
      <c r="F492">
        <v>721</v>
      </c>
      <c r="G492">
        <v>1041.8800000000001</v>
      </c>
      <c r="H492">
        <v>375.6</v>
      </c>
      <c r="I492" t="s">
        <v>108</v>
      </c>
      <c r="J492" t="s">
        <v>52</v>
      </c>
      <c r="L492" s="1">
        <v>45819</v>
      </c>
      <c r="N492">
        <f>IF(Table1[[#This Row],[side]]="BUY", Table1[[#This Row],[quantity]],-Table1[[#This Row],[quantity]])</f>
        <v>-721</v>
      </c>
      <c r="O492" t="s">
        <v>171</v>
      </c>
      <c r="P492">
        <f>IF(Table1[[#This Row],[side]]="Sell",Table1[[#This Row],[price]],"0")</f>
        <v>1041.8800000000001</v>
      </c>
      <c r="Q492">
        <f>SUMIFS(Table1[quantity],Table1[company_id],Table8[[#This Row],[COMPANY_ID]],Table1[side],"BUY")-SUMIFS(Table1[quantity],Table1[company_id],Table8[[#This Row],[COMPANY_ID]],Table1[side],"SELL")</f>
        <v>0</v>
      </c>
      <c r="R492">
        <f>Table1[[#This Row],[Column2]]-Table1[[#This Row],[Buy-sell]]</f>
        <v>1041.8800000000001</v>
      </c>
      <c r="S492" t="str">
        <f>IF(Table1[[#This Row],[Sell-Buy]]&gt;0,"Profit","Loss")</f>
        <v>Profit</v>
      </c>
      <c r="AE492" s="9" t="s">
        <v>1141</v>
      </c>
      <c r="AF492" s="10" t="str">
        <f>IF(Table1[[#This Row],[Sell-Buy]]&gt;0,"Profit","Loss")</f>
        <v>Profit</v>
      </c>
      <c r="AG492">
        <f>Table1[[#This Row],[Column2]]-Table1[[#This Row],[Buy-sell]]</f>
        <v>1041.8800000000001</v>
      </c>
    </row>
    <row r="493" spans="1:33" x14ac:dyDescent="0.3">
      <c r="A493" t="s">
        <v>1137</v>
      </c>
      <c r="B493" t="s">
        <v>401</v>
      </c>
      <c r="C493" s="1">
        <v>45708.001388888886</v>
      </c>
      <c r="D493" t="s">
        <v>33</v>
      </c>
      <c r="E493" t="s">
        <v>171</v>
      </c>
      <c r="F493">
        <v>696</v>
      </c>
      <c r="G493">
        <v>1058.01</v>
      </c>
      <c r="H493">
        <v>368.19</v>
      </c>
      <c r="I493" t="s">
        <v>128</v>
      </c>
      <c r="J493" t="s">
        <v>64</v>
      </c>
      <c r="L493" s="1">
        <v>45786</v>
      </c>
      <c r="N493">
        <f>IF(Table1[[#This Row],[side]]="BUY", Table1[[#This Row],[quantity]],-Table1[[#This Row],[quantity]])</f>
        <v>-696</v>
      </c>
      <c r="O493" t="s">
        <v>171</v>
      </c>
      <c r="P493">
        <f>IF(Table1[[#This Row],[side]]="Sell",Table1[[#This Row],[price]],"0")</f>
        <v>1058.01</v>
      </c>
      <c r="Q493">
        <f>SUMIFS(Table1[quantity],Table1[company_id],Table8[[#This Row],[COMPANY_ID]],Table1[side],"BUY")-SUMIFS(Table1[quantity],Table1[company_id],Table8[[#This Row],[COMPANY_ID]],Table1[side],"SELL")</f>
        <v>0</v>
      </c>
      <c r="R493">
        <f>Table1[[#This Row],[Column2]]-Table1[[#This Row],[Buy-sell]]</f>
        <v>1058.01</v>
      </c>
      <c r="S493" t="str">
        <f>IF(Table1[[#This Row],[Sell-Buy]]&gt;0,"Profit","Loss")</f>
        <v>Profit</v>
      </c>
      <c r="AE493" s="10" t="s">
        <v>769</v>
      </c>
      <c r="AF493" s="10" t="str">
        <f>IF(Table1[[#This Row],[Sell-Buy]]&gt;0,"Profit","Loss")</f>
        <v>Profit</v>
      </c>
      <c r="AG493">
        <f>Table1[[#This Row],[Column2]]-Table1[[#This Row],[Buy-sell]]</f>
        <v>1058.01</v>
      </c>
    </row>
    <row r="494" spans="1:33" x14ac:dyDescent="0.3">
      <c r="A494" t="s">
        <v>1140</v>
      </c>
      <c r="B494" t="s">
        <v>230</v>
      </c>
      <c r="C494" s="1">
        <v>45714.030555555553</v>
      </c>
      <c r="D494" t="s">
        <v>33</v>
      </c>
      <c r="E494" t="s">
        <v>171</v>
      </c>
      <c r="F494">
        <v>167</v>
      </c>
      <c r="G494">
        <v>1061.79</v>
      </c>
      <c r="H494">
        <v>88.66</v>
      </c>
      <c r="I494" t="s">
        <v>142</v>
      </c>
      <c r="J494" t="s">
        <v>67</v>
      </c>
      <c r="L494" s="1">
        <v>45763</v>
      </c>
      <c r="N494">
        <f>IF(Table1[[#This Row],[side]]="BUY", Table1[[#This Row],[quantity]],-Table1[[#This Row],[quantity]])</f>
        <v>-167</v>
      </c>
      <c r="O494" t="s">
        <v>171</v>
      </c>
      <c r="P494">
        <f>IF(Table1[[#This Row],[side]]="Sell",Table1[[#This Row],[price]],"0")</f>
        <v>1061.79</v>
      </c>
      <c r="Q494">
        <f>SUMIFS(Table1[quantity],Table1[company_id],Table8[[#This Row],[COMPANY_ID]],Table1[side],"BUY")-SUMIFS(Table1[quantity],Table1[company_id],Table8[[#This Row],[COMPANY_ID]],Table1[side],"SELL")</f>
        <v>0</v>
      </c>
      <c r="R494">
        <f>Table1[[#This Row],[Column2]]-Table1[[#This Row],[Buy-sell]]</f>
        <v>1061.79</v>
      </c>
      <c r="S494" t="str">
        <f>IF(Table1[[#This Row],[Sell-Buy]]&gt;0,"Profit","Loss")</f>
        <v>Profit</v>
      </c>
      <c r="AE494" s="9" t="s">
        <v>687</v>
      </c>
      <c r="AF494" s="10" t="str">
        <f>IF(Table1[[#This Row],[Sell-Buy]]&gt;0,"Profit","Loss")</f>
        <v>Profit</v>
      </c>
      <c r="AG494">
        <f>Table1[[#This Row],[Column2]]-Table1[[#This Row],[Buy-sell]]</f>
        <v>1061.79</v>
      </c>
    </row>
    <row r="495" spans="1:33" x14ac:dyDescent="0.3">
      <c r="A495" t="s">
        <v>1146</v>
      </c>
      <c r="B495" t="s">
        <v>402</v>
      </c>
      <c r="C495" s="1">
        <v>45673.03402777778</v>
      </c>
      <c r="D495" t="s">
        <v>33</v>
      </c>
      <c r="E495" t="s">
        <v>171</v>
      </c>
      <c r="F495">
        <v>823</v>
      </c>
      <c r="G495">
        <v>974.03</v>
      </c>
      <c r="H495">
        <v>400.81</v>
      </c>
      <c r="I495" t="s">
        <v>114</v>
      </c>
      <c r="J495" t="s">
        <v>67</v>
      </c>
      <c r="L495" s="1">
        <v>45681</v>
      </c>
      <c r="N495">
        <f>IF(Table1[[#This Row],[side]]="BUY", Table1[[#This Row],[quantity]],-Table1[[#This Row],[quantity]])</f>
        <v>-823</v>
      </c>
      <c r="O495" t="s">
        <v>171</v>
      </c>
      <c r="P495">
        <f>IF(Table1[[#This Row],[side]]="Sell",Table1[[#This Row],[price]],"0")</f>
        <v>974.03</v>
      </c>
      <c r="Q495">
        <f>SUMIFS(Table1[quantity],Table1[company_id],Table8[[#This Row],[COMPANY_ID]],Table1[side],"BUY")-SUMIFS(Table1[quantity],Table1[company_id],Table8[[#This Row],[COMPANY_ID]],Table1[side],"SELL")</f>
        <v>0</v>
      </c>
      <c r="R495">
        <f>Table1[[#This Row],[Column2]]-Table1[[#This Row],[Buy-sell]]</f>
        <v>974.03</v>
      </c>
      <c r="S495" t="str">
        <f>IF(Table1[[#This Row],[Sell-Buy]]&gt;0,"Profit","Loss")</f>
        <v>Profit</v>
      </c>
      <c r="AE495" s="10" t="s">
        <v>1122</v>
      </c>
      <c r="AF495" s="10" t="str">
        <f>IF(Table1[[#This Row],[Sell-Buy]]&gt;0,"Profit","Loss")</f>
        <v>Profit</v>
      </c>
      <c r="AG495">
        <f>Table1[[#This Row],[Column2]]-Table1[[#This Row],[Buy-sell]]</f>
        <v>974.03</v>
      </c>
    </row>
    <row r="496" spans="1:33" x14ac:dyDescent="0.3">
      <c r="A496" t="s">
        <v>1155</v>
      </c>
      <c r="B496" t="s">
        <v>478</v>
      </c>
      <c r="C496" s="1">
        <v>45684.026388888888</v>
      </c>
      <c r="D496" t="s">
        <v>33</v>
      </c>
      <c r="E496" t="s">
        <v>166</v>
      </c>
      <c r="F496">
        <v>858</v>
      </c>
      <c r="G496">
        <v>979.96</v>
      </c>
      <c r="H496">
        <v>420.4</v>
      </c>
      <c r="I496" t="s">
        <v>148</v>
      </c>
      <c r="J496" t="s">
        <v>61</v>
      </c>
      <c r="L496" s="1">
        <v>45714</v>
      </c>
      <c r="M496" t="s">
        <v>166</v>
      </c>
      <c r="N496">
        <f>IF(Table1[[#This Row],[side]]="BUY", Table1[[#This Row],[quantity]],-Table1[[#This Row],[quantity]])</f>
        <v>858</v>
      </c>
      <c r="P496" t="str">
        <f>IF(Table1[[#This Row],[side]]="Sell",Table1[[#This Row],[price]],"0")</f>
        <v>0</v>
      </c>
      <c r="Q496">
        <f>SUMIFS(Table1[quantity],Table1[company_id],Table8[[#This Row],[COMPANY_ID]],Table1[side],"BUY")-SUMIFS(Table1[quantity],Table1[company_id],Table8[[#This Row],[COMPANY_ID]],Table1[side],"SELL")</f>
        <v>0</v>
      </c>
      <c r="R496">
        <f>Table1[[#This Row],[Column2]]-Table1[[#This Row],[Buy-sell]]</f>
        <v>0</v>
      </c>
      <c r="S496" t="str">
        <f>IF(Table1[[#This Row],[Sell-Buy]]&gt;0,"Profit","Loss")</f>
        <v>Loss</v>
      </c>
      <c r="AE496" s="9" t="s">
        <v>1135</v>
      </c>
      <c r="AF496" s="10" t="str">
        <f>IF(Table1[[#This Row],[Sell-Buy]]&gt;0,"Profit","Loss")</f>
        <v>Loss</v>
      </c>
      <c r="AG496">
        <f>Table1[[#This Row],[Column2]]-Table1[[#This Row],[Buy-sell]]</f>
        <v>0</v>
      </c>
    </row>
    <row r="497" spans="1:33" x14ac:dyDescent="0.3">
      <c r="A497" t="s">
        <v>1158</v>
      </c>
      <c r="B497" t="s">
        <v>522</v>
      </c>
      <c r="C497" s="1">
        <v>45686.034722222219</v>
      </c>
      <c r="D497" t="s">
        <v>33</v>
      </c>
      <c r="E497" t="s">
        <v>171</v>
      </c>
      <c r="F497">
        <v>61</v>
      </c>
      <c r="G497">
        <v>973.26</v>
      </c>
      <c r="H497">
        <v>29.68</v>
      </c>
      <c r="I497" t="s">
        <v>108</v>
      </c>
      <c r="J497" t="s">
        <v>73</v>
      </c>
      <c r="L497" s="1">
        <v>45819</v>
      </c>
      <c r="N497">
        <f>IF(Table1[[#This Row],[side]]="BUY", Table1[[#This Row],[quantity]],-Table1[[#This Row],[quantity]])</f>
        <v>-61</v>
      </c>
      <c r="O497" t="s">
        <v>171</v>
      </c>
      <c r="P497">
        <f>IF(Table1[[#This Row],[side]]="Sell",Table1[[#This Row],[price]],"0")</f>
        <v>973.26</v>
      </c>
      <c r="Q497">
        <f>SUMIFS(Table1[quantity],Table1[company_id],Table8[[#This Row],[COMPANY_ID]],Table1[side],"BUY")-SUMIFS(Table1[quantity],Table1[company_id],Table8[[#This Row],[COMPANY_ID]],Table1[side],"SELL")</f>
        <v>0</v>
      </c>
      <c r="R497">
        <f>Table1[[#This Row],[Column2]]-Table1[[#This Row],[Buy-sell]]</f>
        <v>973.26</v>
      </c>
      <c r="S497" t="str">
        <f>IF(Table1[[#This Row],[Sell-Buy]]&gt;0,"Profit","Loss")</f>
        <v>Profit</v>
      </c>
      <c r="AE497" s="10" t="s">
        <v>903</v>
      </c>
      <c r="AF497" s="10" t="str">
        <f>IF(Table1[[#This Row],[Sell-Buy]]&gt;0,"Profit","Loss")</f>
        <v>Profit</v>
      </c>
      <c r="AG497">
        <f>Table1[[#This Row],[Column2]]-Table1[[#This Row],[Buy-sell]]</f>
        <v>973.26</v>
      </c>
    </row>
    <row r="498" spans="1:33" x14ac:dyDescent="0.3">
      <c r="A498" t="s">
        <v>1159</v>
      </c>
      <c r="B498" t="s">
        <v>499</v>
      </c>
      <c r="C498" s="1">
        <v>45751.001388888886</v>
      </c>
      <c r="D498" t="s">
        <v>33</v>
      </c>
      <c r="E498" t="s">
        <v>166</v>
      </c>
      <c r="F498">
        <v>515</v>
      </c>
      <c r="G498">
        <v>1214.01</v>
      </c>
      <c r="H498">
        <v>312.61</v>
      </c>
      <c r="I498" t="s">
        <v>116</v>
      </c>
      <c r="J498" t="s">
        <v>61</v>
      </c>
      <c r="L498" s="1">
        <v>45665</v>
      </c>
      <c r="M498" t="s">
        <v>166</v>
      </c>
      <c r="N498">
        <f>IF(Table1[[#This Row],[side]]="BUY", Table1[[#This Row],[quantity]],-Table1[[#This Row],[quantity]])</f>
        <v>515</v>
      </c>
      <c r="P498" t="str">
        <f>IF(Table1[[#This Row],[side]]="Sell",Table1[[#This Row],[price]],"0")</f>
        <v>0</v>
      </c>
      <c r="Q498">
        <f>SUMIFS(Table1[quantity],Table1[company_id],Table8[[#This Row],[COMPANY_ID]],Table1[side],"BUY")-SUMIFS(Table1[quantity],Table1[company_id],Table8[[#This Row],[COMPANY_ID]],Table1[side],"SELL")</f>
        <v>0</v>
      </c>
      <c r="R498">
        <f>Table1[[#This Row],[Column2]]-Table1[[#This Row],[Buy-sell]]</f>
        <v>0</v>
      </c>
      <c r="S498" t="str">
        <f>IF(Table1[[#This Row],[Sell-Buy]]&gt;0,"Profit","Loss")</f>
        <v>Loss</v>
      </c>
      <c r="AE498" s="9" t="s">
        <v>1039</v>
      </c>
      <c r="AF498" s="10" t="str">
        <f>IF(Table1[[#This Row],[Sell-Buy]]&gt;0,"Profit","Loss")</f>
        <v>Loss</v>
      </c>
      <c r="AG498">
        <f>Table1[[#This Row],[Column2]]-Table1[[#This Row],[Buy-sell]]</f>
        <v>0</v>
      </c>
    </row>
    <row r="499" spans="1:33" x14ac:dyDescent="0.3">
      <c r="A499" t="s">
        <v>1164</v>
      </c>
      <c r="B499" t="s">
        <v>495</v>
      </c>
      <c r="C499" s="1">
        <v>45741.01666666667</v>
      </c>
      <c r="D499" t="s">
        <v>33</v>
      </c>
      <c r="E499" t="s">
        <v>171</v>
      </c>
      <c r="F499">
        <v>460</v>
      </c>
      <c r="G499">
        <v>1285.6500000000001</v>
      </c>
      <c r="H499">
        <v>295.7</v>
      </c>
      <c r="I499" t="s">
        <v>120</v>
      </c>
      <c r="J499" t="s">
        <v>55</v>
      </c>
      <c r="L499" s="1">
        <v>45743</v>
      </c>
      <c r="N499">
        <f>IF(Table1[[#This Row],[side]]="BUY", Table1[[#This Row],[quantity]],-Table1[[#This Row],[quantity]])</f>
        <v>-460</v>
      </c>
      <c r="O499" t="s">
        <v>171</v>
      </c>
      <c r="P499">
        <f>IF(Table1[[#This Row],[side]]="Sell",Table1[[#This Row],[price]],"0")</f>
        <v>1285.6500000000001</v>
      </c>
      <c r="Q499">
        <f>SUMIFS(Table1[quantity],Table1[company_id],Table8[[#This Row],[COMPANY_ID]],Table1[side],"BUY")-SUMIFS(Table1[quantity],Table1[company_id],Table8[[#This Row],[COMPANY_ID]],Table1[side],"SELL")</f>
        <v>0</v>
      </c>
      <c r="R499">
        <f>Table1[[#This Row],[Column2]]-Table1[[#This Row],[Buy-sell]]</f>
        <v>1285.6500000000001</v>
      </c>
      <c r="S499" t="str">
        <f>IF(Table1[[#This Row],[Sell-Buy]]&gt;0,"Profit","Loss")</f>
        <v>Profit</v>
      </c>
      <c r="AE499" s="10" t="s">
        <v>1101</v>
      </c>
      <c r="AF499" s="10" t="str">
        <f>IF(Table1[[#This Row],[Sell-Buy]]&gt;0,"Profit","Loss")</f>
        <v>Profit</v>
      </c>
      <c r="AG499">
        <f>Table1[[#This Row],[Column2]]-Table1[[#This Row],[Buy-sell]]</f>
        <v>1285.6500000000001</v>
      </c>
    </row>
    <row r="500" spans="1:33" x14ac:dyDescent="0.3">
      <c r="A500" t="s">
        <v>1168</v>
      </c>
      <c r="B500" t="s">
        <v>180</v>
      </c>
      <c r="C500" s="1">
        <v>45778.027777777781</v>
      </c>
      <c r="D500" t="s">
        <v>33</v>
      </c>
      <c r="E500" t="s">
        <v>166</v>
      </c>
      <c r="F500">
        <v>630</v>
      </c>
      <c r="G500">
        <v>1384.02</v>
      </c>
      <c r="H500">
        <v>435.97</v>
      </c>
      <c r="I500" t="s">
        <v>114</v>
      </c>
      <c r="J500" t="s">
        <v>61</v>
      </c>
      <c r="L500" s="1">
        <v>45741</v>
      </c>
      <c r="M500" t="s">
        <v>166</v>
      </c>
      <c r="N500">
        <f>IF(Table1[[#This Row],[side]]="BUY", Table1[[#This Row],[quantity]],-Table1[[#This Row],[quantity]])</f>
        <v>630</v>
      </c>
      <c r="P500" t="str">
        <f>IF(Table1[[#This Row],[side]]="Sell",Table1[[#This Row],[price]],"0")</f>
        <v>0</v>
      </c>
      <c r="Q500">
        <f>SUMIFS(Table1[quantity],Table1[company_id],Table8[[#This Row],[COMPANY_ID]],Table1[side],"BUY")-SUMIFS(Table1[quantity],Table1[company_id],Table8[[#This Row],[COMPANY_ID]],Table1[side],"SELL")</f>
        <v>0</v>
      </c>
      <c r="R500">
        <f>Table1[[#This Row],[Column2]]-Table1[[#This Row],[Buy-sell]]</f>
        <v>0</v>
      </c>
      <c r="S500" t="str">
        <f>IF(Table1[[#This Row],[Sell-Buy]]&gt;0,"Profit","Loss")</f>
        <v>Loss</v>
      </c>
      <c r="AE500" s="9" t="s">
        <v>807</v>
      </c>
      <c r="AF500" s="10" t="str">
        <f>IF(Table1[[#This Row],[Sell-Buy]]&gt;0,"Profit","Loss")</f>
        <v>Loss</v>
      </c>
      <c r="AG500">
        <f>Table1[[#This Row],[Column2]]-Table1[[#This Row],[Buy-sell]]</f>
        <v>0</v>
      </c>
    </row>
    <row r="501" spans="1:33" x14ac:dyDescent="0.3">
      <c r="A501" t="s">
        <v>1169</v>
      </c>
      <c r="B501" t="s">
        <v>306</v>
      </c>
      <c r="C501" s="1">
        <v>45699.005555555559</v>
      </c>
      <c r="D501" t="s">
        <v>33</v>
      </c>
      <c r="E501" t="s">
        <v>166</v>
      </c>
      <c r="F501">
        <v>965</v>
      </c>
      <c r="G501">
        <v>1038.82</v>
      </c>
      <c r="H501">
        <v>501.23</v>
      </c>
      <c r="I501" t="s">
        <v>97</v>
      </c>
      <c r="J501" t="s">
        <v>49</v>
      </c>
      <c r="L501" s="1">
        <v>45694</v>
      </c>
      <c r="M501" t="s">
        <v>166</v>
      </c>
      <c r="N501">
        <f>IF(Table1[[#This Row],[side]]="BUY", Table1[[#This Row],[quantity]],-Table1[[#This Row],[quantity]])</f>
        <v>965</v>
      </c>
      <c r="P501" t="str">
        <f>IF(Table1[[#This Row],[side]]="Sell",Table1[[#This Row],[price]],"0")</f>
        <v>0</v>
      </c>
      <c r="Q501">
        <f>SUMIFS(Table1[quantity],Table1[company_id],Table8[[#This Row],[COMPANY_ID]],Table1[side],"BUY")-SUMIFS(Table1[quantity],Table1[company_id],Table8[[#This Row],[COMPANY_ID]],Table1[side],"SELL")</f>
        <v>0</v>
      </c>
      <c r="R501">
        <f>Table1[[#This Row],[Column2]]-Table1[[#This Row],[Buy-sell]]</f>
        <v>0</v>
      </c>
      <c r="S501" t="str">
        <f>IF(Table1[[#This Row],[Sell-Buy]]&gt;0,"Profit","Loss")</f>
        <v>Loss</v>
      </c>
      <c r="AE501" s="11" t="s">
        <v>922</v>
      </c>
      <c r="AF501" s="11" t="str">
        <f>IF(Table1[[#This Row],[Sell-Buy]]&gt;0,"Profit","Loss")</f>
        <v>Loss</v>
      </c>
      <c r="AG501">
        <f>Table1[[#This Row],[Column2]]-Table1[[#This Row],[Buy-sell]]</f>
        <v>0</v>
      </c>
    </row>
  </sheetData>
  <phoneticPr fontId="2" type="noConversion"/>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7BD2-642C-4B6C-A888-1A4757532D59}">
  <dimension ref="A1:C6"/>
  <sheetViews>
    <sheetView workbookViewId="0"/>
  </sheetViews>
  <sheetFormatPr defaultRowHeight="14.4" x14ac:dyDescent="0.3"/>
  <cols>
    <col min="1" max="1" width="13.6640625" bestFit="1" customWidth="1"/>
    <col min="2" max="2" width="15.44140625" bestFit="1" customWidth="1"/>
    <col min="3" max="3" width="11.5546875" bestFit="1" customWidth="1"/>
  </cols>
  <sheetData>
    <row r="1" spans="1:3" x14ac:dyDescent="0.3">
      <c r="A1" t="s">
        <v>1</v>
      </c>
      <c r="B1" t="s">
        <v>0</v>
      </c>
      <c r="C1" t="s">
        <v>669</v>
      </c>
    </row>
    <row r="2" spans="1:3" x14ac:dyDescent="0.3">
      <c r="A2" t="s">
        <v>18</v>
      </c>
      <c r="B2" s="1">
        <v>45798</v>
      </c>
      <c r="C2">
        <v>1.5</v>
      </c>
    </row>
    <row r="3" spans="1:3" x14ac:dyDescent="0.3">
      <c r="A3" t="s">
        <v>33</v>
      </c>
      <c r="B3" s="1">
        <v>45793</v>
      </c>
      <c r="C3">
        <v>2</v>
      </c>
    </row>
    <row r="4" spans="1:3" x14ac:dyDescent="0.3">
      <c r="A4" t="s">
        <v>18</v>
      </c>
      <c r="B4" s="1">
        <v>45821</v>
      </c>
      <c r="C4">
        <v>2</v>
      </c>
    </row>
    <row r="5" spans="1:3" x14ac:dyDescent="0.3">
      <c r="A5" t="s">
        <v>6</v>
      </c>
      <c r="B5" s="1">
        <v>45797</v>
      </c>
      <c r="C5">
        <v>1.5</v>
      </c>
    </row>
    <row r="6" spans="1:3" x14ac:dyDescent="0.3">
      <c r="A6" t="s">
        <v>33</v>
      </c>
      <c r="B6" s="1">
        <v>45782</v>
      </c>
      <c r="C6">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64987-FF84-41D7-B645-417B98DAE0DF}">
  <dimension ref="A1:D11"/>
  <sheetViews>
    <sheetView workbookViewId="0"/>
  </sheetViews>
  <sheetFormatPr defaultRowHeight="14.4" x14ac:dyDescent="0.3"/>
  <cols>
    <col min="1" max="1" width="13.109375" bestFit="1" customWidth="1"/>
    <col min="2" max="2" width="13.6640625" bestFit="1" customWidth="1"/>
    <col min="3" max="3" width="15.44140625" bestFit="1" customWidth="1"/>
    <col min="4" max="4" width="10.33203125" bestFit="1" customWidth="1"/>
  </cols>
  <sheetData>
    <row r="1" spans="1:4" x14ac:dyDescent="0.3">
      <c r="A1" t="s">
        <v>46</v>
      </c>
      <c r="B1" t="s">
        <v>1</v>
      </c>
      <c r="C1" t="s">
        <v>0</v>
      </c>
      <c r="D1" t="s">
        <v>161</v>
      </c>
    </row>
    <row r="2" spans="1:4" x14ac:dyDescent="0.3">
      <c r="A2" t="s">
        <v>76</v>
      </c>
      <c r="B2" t="s">
        <v>29</v>
      </c>
      <c r="C2" s="1">
        <v>45706</v>
      </c>
      <c r="D2">
        <v>916</v>
      </c>
    </row>
    <row r="3" spans="1:4" x14ac:dyDescent="0.3">
      <c r="A3" t="s">
        <v>67</v>
      </c>
      <c r="B3" t="s">
        <v>14</v>
      </c>
      <c r="C3" s="1">
        <v>45763</v>
      </c>
      <c r="D3">
        <v>202</v>
      </c>
    </row>
    <row r="4" spans="1:4" x14ac:dyDescent="0.3">
      <c r="A4" t="s">
        <v>67</v>
      </c>
      <c r="B4" t="s">
        <v>26</v>
      </c>
      <c r="C4" s="1">
        <v>45737</v>
      </c>
      <c r="D4">
        <v>833</v>
      </c>
    </row>
    <row r="5" spans="1:4" x14ac:dyDescent="0.3">
      <c r="A5" t="s">
        <v>49</v>
      </c>
      <c r="B5" t="s">
        <v>18</v>
      </c>
      <c r="C5" s="1">
        <v>45716</v>
      </c>
      <c r="D5">
        <v>908</v>
      </c>
    </row>
    <row r="6" spans="1:4" x14ac:dyDescent="0.3">
      <c r="A6" t="s">
        <v>52</v>
      </c>
      <c r="B6" t="s">
        <v>33</v>
      </c>
      <c r="C6" s="1">
        <v>45707</v>
      </c>
      <c r="D6">
        <v>809</v>
      </c>
    </row>
    <row r="7" spans="1:4" x14ac:dyDescent="0.3">
      <c r="A7" t="s">
        <v>70</v>
      </c>
      <c r="B7" t="s">
        <v>18</v>
      </c>
      <c r="C7" s="1">
        <v>45709</v>
      </c>
      <c r="D7">
        <v>345</v>
      </c>
    </row>
    <row r="8" spans="1:4" x14ac:dyDescent="0.3">
      <c r="A8" t="s">
        <v>61</v>
      </c>
      <c r="B8" t="s">
        <v>6</v>
      </c>
      <c r="C8" s="1">
        <v>45813</v>
      </c>
      <c r="D8">
        <v>934</v>
      </c>
    </row>
    <row r="9" spans="1:4" x14ac:dyDescent="0.3">
      <c r="A9" t="s">
        <v>58</v>
      </c>
      <c r="B9" t="s">
        <v>6</v>
      </c>
      <c r="C9" s="1">
        <v>45776</v>
      </c>
      <c r="D9">
        <v>618</v>
      </c>
    </row>
    <row r="10" spans="1:4" x14ac:dyDescent="0.3">
      <c r="A10" t="s">
        <v>70</v>
      </c>
      <c r="B10" t="s">
        <v>26</v>
      </c>
      <c r="C10" s="1">
        <v>45667</v>
      </c>
      <c r="D10">
        <v>896</v>
      </c>
    </row>
    <row r="11" spans="1:4" x14ac:dyDescent="0.3">
      <c r="A11" t="s">
        <v>73</v>
      </c>
      <c r="B11" t="s">
        <v>14</v>
      </c>
      <c r="C11" s="1">
        <v>45715</v>
      </c>
      <c r="D11">
        <v>479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7AA7D-1C17-466C-8DD8-617D39A027B0}">
  <dimension ref="A1:K501"/>
  <sheetViews>
    <sheetView workbookViewId="0"/>
  </sheetViews>
  <sheetFormatPr defaultRowHeight="14.4" x14ac:dyDescent="0.3"/>
  <cols>
    <col min="1" max="1" width="10.33203125" bestFit="1" customWidth="1"/>
    <col min="2" max="2" width="15.44140625" bestFit="1" customWidth="1"/>
    <col min="3" max="3" width="13.6640625" bestFit="1" customWidth="1"/>
    <col min="4" max="4" width="6.5546875" bestFit="1" customWidth="1"/>
    <col min="5" max="5" width="10.33203125" bestFit="1" customWidth="1"/>
    <col min="6" max="6" width="8.21875" bestFit="1" customWidth="1"/>
    <col min="7" max="7" width="12.5546875" bestFit="1" customWidth="1"/>
    <col min="8" max="8" width="12" bestFit="1" customWidth="1"/>
    <col min="9" max="9" width="10.88671875" bestFit="1" customWidth="1"/>
    <col min="10" max="10" width="13.109375" bestFit="1" customWidth="1"/>
    <col min="11" max="11" width="15.44140625" bestFit="1" customWidth="1"/>
  </cols>
  <sheetData>
    <row r="1" spans="1:11" x14ac:dyDescent="0.3">
      <c r="A1" t="s">
        <v>158</v>
      </c>
      <c r="B1" t="s">
        <v>159</v>
      </c>
      <c r="C1" t="s">
        <v>1</v>
      </c>
      <c r="D1" t="s">
        <v>160</v>
      </c>
      <c r="E1" t="s">
        <v>161</v>
      </c>
      <c r="F1" t="s">
        <v>162</v>
      </c>
      <c r="G1" t="s">
        <v>163</v>
      </c>
      <c r="H1" t="s">
        <v>164</v>
      </c>
      <c r="I1" t="s">
        <v>85</v>
      </c>
      <c r="J1" t="s">
        <v>46</v>
      </c>
      <c r="K1" t="s">
        <v>0</v>
      </c>
    </row>
    <row r="2" spans="1:11" x14ac:dyDescent="0.3">
      <c r="A2" t="s">
        <v>165</v>
      </c>
      <c r="B2" s="1">
        <v>45713</v>
      </c>
      <c r="C2" t="s">
        <v>11</v>
      </c>
      <c r="D2" t="s">
        <v>166</v>
      </c>
      <c r="E2">
        <v>827</v>
      </c>
      <c r="F2" t="s">
        <v>167</v>
      </c>
      <c r="G2" t="s">
        <v>168</v>
      </c>
      <c r="I2" t="s">
        <v>97</v>
      </c>
      <c r="J2" t="s">
        <v>64</v>
      </c>
      <c r="K2" s="1">
        <v>45716</v>
      </c>
    </row>
    <row r="3" spans="1:11" x14ac:dyDescent="0.3">
      <c r="A3" t="s">
        <v>169</v>
      </c>
      <c r="B3" s="1">
        <v>45726</v>
      </c>
      <c r="C3" t="s">
        <v>26</v>
      </c>
      <c r="D3" t="s">
        <v>166</v>
      </c>
      <c r="E3">
        <v>665</v>
      </c>
      <c r="F3" t="s">
        <v>167</v>
      </c>
      <c r="G3" t="s">
        <v>168</v>
      </c>
      <c r="I3" t="s">
        <v>104</v>
      </c>
      <c r="J3" t="s">
        <v>64</v>
      </c>
      <c r="K3" s="1">
        <v>45791</v>
      </c>
    </row>
    <row r="4" spans="1:11" x14ac:dyDescent="0.3">
      <c r="A4" t="s">
        <v>170</v>
      </c>
      <c r="B4" s="1">
        <v>45832</v>
      </c>
      <c r="C4" t="s">
        <v>29</v>
      </c>
      <c r="D4" t="s">
        <v>171</v>
      </c>
      <c r="E4">
        <v>787</v>
      </c>
      <c r="F4" t="s">
        <v>167</v>
      </c>
      <c r="G4" t="s">
        <v>168</v>
      </c>
      <c r="I4" t="s">
        <v>130</v>
      </c>
      <c r="J4" t="s">
        <v>64</v>
      </c>
      <c r="K4" s="1">
        <v>45800</v>
      </c>
    </row>
    <row r="5" spans="1:11" x14ac:dyDescent="0.3">
      <c r="A5" t="s">
        <v>172</v>
      </c>
      <c r="B5" s="1">
        <v>45687</v>
      </c>
      <c r="C5" t="s">
        <v>11</v>
      </c>
      <c r="D5" t="s">
        <v>166</v>
      </c>
      <c r="E5">
        <v>194</v>
      </c>
      <c r="F5" t="s">
        <v>167</v>
      </c>
      <c r="G5" t="s">
        <v>168</v>
      </c>
      <c r="I5" t="s">
        <v>102</v>
      </c>
      <c r="J5" t="s">
        <v>73</v>
      </c>
      <c r="K5" s="1">
        <v>45805</v>
      </c>
    </row>
    <row r="6" spans="1:11" x14ac:dyDescent="0.3">
      <c r="A6" t="s">
        <v>173</v>
      </c>
      <c r="B6" s="1">
        <v>45782</v>
      </c>
      <c r="C6" t="s">
        <v>14</v>
      </c>
      <c r="D6" t="s">
        <v>166</v>
      </c>
      <c r="E6">
        <v>331</v>
      </c>
      <c r="F6" t="s">
        <v>167</v>
      </c>
      <c r="G6" t="s">
        <v>168</v>
      </c>
      <c r="I6" t="s">
        <v>128</v>
      </c>
      <c r="J6" t="s">
        <v>70</v>
      </c>
      <c r="K6" s="1">
        <v>45723</v>
      </c>
    </row>
    <row r="7" spans="1:11" x14ac:dyDescent="0.3">
      <c r="A7" t="s">
        <v>174</v>
      </c>
      <c r="B7" s="1">
        <v>45749</v>
      </c>
      <c r="C7" t="s">
        <v>6</v>
      </c>
      <c r="D7" t="s">
        <v>166</v>
      </c>
      <c r="E7">
        <v>330</v>
      </c>
      <c r="F7" t="s">
        <v>167</v>
      </c>
      <c r="G7" t="s">
        <v>168</v>
      </c>
      <c r="I7" t="s">
        <v>114</v>
      </c>
      <c r="J7" t="s">
        <v>64</v>
      </c>
      <c r="K7" s="1">
        <v>45713</v>
      </c>
    </row>
    <row r="8" spans="1:11" x14ac:dyDescent="0.3">
      <c r="A8" t="s">
        <v>175</v>
      </c>
      <c r="B8" s="1">
        <v>45765</v>
      </c>
      <c r="C8" t="s">
        <v>26</v>
      </c>
      <c r="D8" t="s">
        <v>166</v>
      </c>
      <c r="E8">
        <v>203</v>
      </c>
      <c r="F8" t="s">
        <v>167</v>
      </c>
      <c r="G8" t="s">
        <v>168</v>
      </c>
      <c r="I8" t="s">
        <v>91</v>
      </c>
      <c r="J8" t="s">
        <v>52</v>
      </c>
      <c r="K8" s="1">
        <v>45819</v>
      </c>
    </row>
    <row r="9" spans="1:11" x14ac:dyDescent="0.3">
      <c r="A9" t="s">
        <v>176</v>
      </c>
      <c r="B9" s="1">
        <v>45835</v>
      </c>
      <c r="C9" t="s">
        <v>33</v>
      </c>
      <c r="D9" t="s">
        <v>166</v>
      </c>
      <c r="E9">
        <v>323</v>
      </c>
      <c r="F9" t="s">
        <v>167</v>
      </c>
      <c r="G9" t="s">
        <v>168</v>
      </c>
      <c r="I9" t="s">
        <v>102</v>
      </c>
      <c r="J9" t="s">
        <v>73</v>
      </c>
      <c r="K9" s="1">
        <v>45778</v>
      </c>
    </row>
    <row r="10" spans="1:11" x14ac:dyDescent="0.3">
      <c r="A10" t="s">
        <v>177</v>
      </c>
      <c r="B10" s="1">
        <v>45834</v>
      </c>
      <c r="C10" t="s">
        <v>22</v>
      </c>
      <c r="D10" t="s">
        <v>171</v>
      </c>
      <c r="E10">
        <v>857</v>
      </c>
      <c r="F10" t="s">
        <v>167</v>
      </c>
      <c r="G10" t="s">
        <v>168</v>
      </c>
      <c r="I10" t="s">
        <v>122</v>
      </c>
      <c r="J10" t="s">
        <v>52</v>
      </c>
      <c r="K10" s="1">
        <v>45803</v>
      </c>
    </row>
    <row r="11" spans="1:11" x14ac:dyDescent="0.3">
      <c r="A11" t="s">
        <v>178</v>
      </c>
      <c r="B11" s="1">
        <v>45803</v>
      </c>
      <c r="C11" t="s">
        <v>33</v>
      </c>
      <c r="D11" t="s">
        <v>166</v>
      </c>
      <c r="E11">
        <v>764</v>
      </c>
      <c r="F11" t="s">
        <v>167</v>
      </c>
      <c r="G11" t="s">
        <v>168</v>
      </c>
      <c r="I11" t="s">
        <v>150</v>
      </c>
      <c r="J11" t="s">
        <v>67</v>
      </c>
      <c r="K11" s="1">
        <v>45758</v>
      </c>
    </row>
    <row r="12" spans="1:11" x14ac:dyDescent="0.3">
      <c r="A12" t="s">
        <v>179</v>
      </c>
      <c r="B12" s="1">
        <v>45778</v>
      </c>
      <c r="C12" t="s">
        <v>33</v>
      </c>
      <c r="D12" t="s">
        <v>166</v>
      </c>
      <c r="E12">
        <v>151</v>
      </c>
      <c r="F12" t="s">
        <v>167</v>
      </c>
      <c r="G12" t="s">
        <v>168</v>
      </c>
      <c r="I12" t="s">
        <v>122</v>
      </c>
      <c r="J12" t="s">
        <v>73</v>
      </c>
      <c r="K12" s="1">
        <v>45714</v>
      </c>
    </row>
    <row r="13" spans="1:11" x14ac:dyDescent="0.3">
      <c r="A13" t="s">
        <v>180</v>
      </c>
      <c r="B13" s="1">
        <v>45768</v>
      </c>
      <c r="C13" t="s">
        <v>6</v>
      </c>
      <c r="D13" t="s">
        <v>166</v>
      </c>
      <c r="E13">
        <v>52</v>
      </c>
      <c r="F13" t="s">
        <v>167</v>
      </c>
      <c r="G13" t="s">
        <v>168</v>
      </c>
      <c r="I13" t="s">
        <v>120</v>
      </c>
      <c r="J13" t="s">
        <v>52</v>
      </c>
      <c r="K13" s="1">
        <v>45814</v>
      </c>
    </row>
    <row r="14" spans="1:11" x14ac:dyDescent="0.3">
      <c r="A14" t="s">
        <v>181</v>
      </c>
      <c r="B14" s="1">
        <v>45701</v>
      </c>
      <c r="C14" t="s">
        <v>6</v>
      </c>
      <c r="D14" t="s">
        <v>166</v>
      </c>
      <c r="E14">
        <v>945</v>
      </c>
      <c r="F14" t="s">
        <v>167</v>
      </c>
      <c r="G14" t="s">
        <v>168</v>
      </c>
      <c r="I14" t="s">
        <v>148</v>
      </c>
      <c r="J14" t="s">
        <v>55</v>
      </c>
      <c r="K14" s="1">
        <v>45806</v>
      </c>
    </row>
    <row r="15" spans="1:11" x14ac:dyDescent="0.3">
      <c r="A15" t="s">
        <v>182</v>
      </c>
      <c r="B15" s="1">
        <v>45782</v>
      </c>
      <c r="C15" t="s">
        <v>18</v>
      </c>
      <c r="D15" t="s">
        <v>166</v>
      </c>
      <c r="E15">
        <v>81</v>
      </c>
      <c r="F15" t="s">
        <v>167</v>
      </c>
      <c r="G15" t="s">
        <v>168</v>
      </c>
      <c r="I15" t="s">
        <v>148</v>
      </c>
      <c r="J15" t="s">
        <v>49</v>
      </c>
      <c r="K15" s="1">
        <v>45764</v>
      </c>
    </row>
    <row r="16" spans="1:11" x14ac:dyDescent="0.3">
      <c r="A16" t="s">
        <v>183</v>
      </c>
      <c r="B16" s="1">
        <v>45733</v>
      </c>
      <c r="C16" t="s">
        <v>26</v>
      </c>
      <c r="D16" t="s">
        <v>166</v>
      </c>
      <c r="E16">
        <v>353</v>
      </c>
      <c r="F16" t="s">
        <v>167</v>
      </c>
      <c r="G16" t="s">
        <v>168</v>
      </c>
      <c r="I16" t="s">
        <v>112</v>
      </c>
      <c r="J16" t="s">
        <v>73</v>
      </c>
      <c r="K16" s="1">
        <v>45700</v>
      </c>
    </row>
    <row r="17" spans="1:11" x14ac:dyDescent="0.3">
      <c r="A17" t="s">
        <v>184</v>
      </c>
      <c r="B17" s="1">
        <v>45812</v>
      </c>
      <c r="C17" t="s">
        <v>11</v>
      </c>
      <c r="D17" t="s">
        <v>166</v>
      </c>
      <c r="E17">
        <v>138</v>
      </c>
      <c r="F17" t="s">
        <v>167</v>
      </c>
      <c r="G17" t="s">
        <v>168</v>
      </c>
      <c r="I17" t="s">
        <v>132</v>
      </c>
      <c r="J17" t="s">
        <v>52</v>
      </c>
      <c r="K17" s="1">
        <v>45709</v>
      </c>
    </row>
    <row r="18" spans="1:11" x14ac:dyDescent="0.3">
      <c r="A18" t="s">
        <v>185</v>
      </c>
      <c r="B18" s="1">
        <v>45807</v>
      </c>
      <c r="C18" t="s">
        <v>6</v>
      </c>
      <c r="D18" t="s">
        <v>171</v>
      </c>
      <c r="E18">
        <v>213</v>
      </c>
      <c r="F18" t="s">
        <v>167</v>
      </c>
      <c r="G18" t="s">
        <v>168</v>
      </c>
      <c r="I18" t="s">
        <v>130</v>
      </c>
      <c r="J18" t="s">
        <v>67</v>
      </c>
      <c r="K18" s="1">
        <v>45761</v>
      </c>
    </row>
    <row r="19" spans="1:11" x14ac:dyDescent="0.3">
      <c r="A19" t="s">
        <v>186</v>
      </c>
      <c r="B19" s="1">
        <v>45777</v>
      </c>
      <c r="C19" t="s">
        <v>22</v>
      </c>
      <c r="D19" t="s">
        <v>166</v>
      </c>
      <c r="E19">
        <v>485</v>
      </c>
      <c r="F19" t="s">
        <v>167</v>
      </c>
      <c r="G19" t="s">
        <v>168</v>
      </c>
      <c r="I19" t="s">
        <v>118</v>
      </c>
      <c r="J19" t="s">
        <v>55</v>
      </c>
      <c r="K19" s="1">
        <v>45735</v>
      </c>
    </row>
    <row r="20" spans="1:11" x14ac:dyDescent="0.3">
      <c r="A20" t="s">
        <v>187</v>
      </c>
      <c r="B20" s="1">
        <v>45715</v>
      </c>
      <c r="C20" t="s">
        <v>26</v>
      </c>
      <c r="D20" t="s">
        <v>171</v>
      </c>
      <c r="E20">
        <v>867</v>
      </c>
      <c r="F20" t="s">
        <v>167</v>
      </c>
      <c r="G20" t="s">
        <v>168</v>
      </c>
      <c r="I20" t="s">
        <v>126</v>
      </c>
      <c r="J20" t="s">
        <v>73</v>
      </c>
      <c r="K20" s="1">
        <v>45786</v>
      </c>
    </row>
    <row r="21" spans="1:11" x14ac:dyDescent="0.3">
      <c r="A21" t="s">
        <v>188</v>
      </c>
      <c r="B21" s="1">
        <v>45712</v>
      </c>
      <c r="C21" t="s">
        <v>22</v>
      </c>
      <c r="D21" t="s">
        <v>171</v>
      </c>
      <c r="E21">
        <v>444</v>
      </c>
      <c r="F21" t="s">
        <v>167</v>
      </c>
      <c r="G21" t="s">
        <v>168</v>
      </c>
      <c r="I21" t="s">
        <v>110</v>
      </c>
      <c r="J21" t="s">
        <v>52</v>
      </c>
      <c r="K21" s="1">
        <v>45741</v>
      </c>
    </row>
    <row r="22" spans="1:11" x14ac:dyDescent="0.3">
      <c r="A22" t="s">
        <v>189</v>
      </c>
      <c r="B22" s="1">
        <v>45672</v>
      </c>
      <c r="C22" t="s">
        <v>29</v>
      </c>
      <c r="D22" t="s">
        <v>166</v>
      </c>
      <c r="E22">
        <v>815</v>
      </c>
      <c r="F22" t="s">
        <v>167</v>
      </c>
      <c r="G22" t="s">
        <v>168</v>
      </c>
      <c r="I22" t="s">
        <v>104</v>
      </c>
      <c r="J22" t="s">
        <v>58</v>
      </c>
      <c r="K22" s="1">
        <v>45835</v>
      </c>
    </row>
    <row r="23" spans="1:11" x14ac:dyDescent="0.3">
      <c r="A23" t="s">
        <v>190</v>
      </c>
      <c r="B23" s="1">
        <v>45757</v>
      </c>
      <c r="C23" t="s">
        <v>26</v>
      </c>
      <c r="D23" t="s">
        <v>166</v>
      </c>
      <c r="E23">
        <v>452</v>
      </c>
      <c r="F23" t="s">
        <v>167</v>
      </c>
      <c r="G23" t="s">
        <v>168</v>
      </c>
      <c r="I23" t="s">
        <v>122</v>
      </c>
      <c r="J23" t="s">
        <v>67</v>
      </c>
      <c r="K23" s="1">
        <v>45785</v>
      </c>
    </row>
    <row r="24" spans="1:11" x14ac:dyDescent="0.3">
      <c r="A24" t="s">
        <v>191</v>
      </c>
      <c r="B24" s="1">
        <v>45799</v>
      </c>
      <c r="C24" t="s">
        <v>33</v>
      </c>
      <c r="D24" t="s">
        <v>171</v>
      </c>
      <c r="E24">
        <v>887</v>
      </c>
      <c r="F24" t="s">
        <v>167</v>
      </c>
      <c r="G24" t="s">
        <v>168</v>
      </c>
      <c r="I24" t="s">
        <v>140</v>
      </c>
      <c r="J24" t="s">
        <v>58</v>
      </c>
      <c r="K24" s="1">
        <v>45756</v>
      </c>
    </row>
    <row r="25" spans="1:11" x14ac:dyDescent="0.3">
      <c r="A25" t="s">
        <v>192</v>
      </c>
      <c r="B25" s="1">
        <v>45821</v>
      </c>
      <c r="C25" t="s">
        <v>33</v>
      </c>
      <c r="D25" t="s">
        <v>171</v>
      </c>
      <c r="E25">
        <v>575</v>
      </c>
      <c r="F25" t="s">
        <v>167</v>
      </c>
      <c r="G25" t="s">
        <v>168</v>
      </c>
      <c r="I25" t="s">
        <v>112</v>
      </c>
      <c r="J25" t="s">
        <v>55</v>
      </c>
      <c r="K25" s="1">
        <v>45814</v>
      </c>
    </row>
    <row r="26" spans="1:11" x14ac:dyDescent="0.3">
      <c r="A26" t="s">
        <v>193</v>
      </c>
      <c r="B26" s="1">
        <v>45811</v>
      </c>
      <c r="C26" t="s">
        <v>29</v>
      </c>
      <c r="D26" t="s">
        <v>171</v>
      </c>
      <c r="E26">
        <v>643</v>
      </c>
      <c r="F26" t="s">
        <v>167</v>
      </c>
      <c r="G26" t="s">
        <v>168</v>
      </c>
      <c r="I26" t="s">
        <v>128</v>
      </c>
      <c r="J26" t="s">
        <v>61</v>
      </c>
      <c r="K26" s="1">
        <v>45680</v>
      </c>
    </row>
    <row r="27" spans="1:11" x14ac:dyDescent="0.3">
      <c r="A27" t="s">
        <v>194</v>
      </c>
      <c r="B27" s="1">
        <v>45693</v>
      </c>
      <c r="C27" t="s">
        <v>14</v>
      </c>
      <c r="D27" t="s">
        <v>166</v>
      </c>
      <c r="E27">
        <v>930</v>
      </c>
      <c r="F27" t="s">
        <v>167</v>
      </c>
      <c r="G27" t="s">
        <v>168</v>
      </c>
      <c r="I27" t="s">
        <v>126</v>
      </c>
      <c r="J27" t="s">
        <v>49</v>
      </c>
      <c r="K27" s="1">
        <v>45681</v>
      </c>
    </row>
    <row r="28" spans="1:11" x14ac:dyDescent="0.3">
      <c r="A28" t="s">
        <v>195</v>
      </c>
      <c r="B28" s="1">
        <v>45706</v>
      </c>
      <c r="C28" t="s">
        <v>22</v>
      </c>
      <c r="D28" t="s">
        <v>166</v>
      </c>
      <c r="E28">
        <v>807</v>
      </c>
      <c r="F28" t="s">
        <v>167</v>
      </c>
      <c r="G28" t="s">
        <v>168</v>
      </c>
      <c r="I28" t="s">
        <v>104</v>
      </c>
      <c r="J28" t="s">
        <v>73</v>
      </c>
      <c r="K28" s="1">
        <v>45737</v>
      </c>
    </row>
    <row r="29" spans="1:11" x14ac:dyDescent="0.3">
      <c r="A29" t="s">
        <v>196</v>
      </c>
      <c r="B29" s="1">
        <v>45799</v>
      </c>
      <c r="C29" t="s">
        <v>6</v>
      </c>
      <c r="D29" t="s">
        <v>171</v>
      </c>
      <c r="E29">
        <v>627</v>
      </c>
      <c r="F29" t="s">
        <v>167</v>
      </c>
      <c r="G29" t="s">
        <v>168</v>
      </c>
      <c r="I29" t="s">
        <v>100</v>
      </c>
      <c r="J29" t="s">
        <v>73</v>
      </c>
      <c r="K29" s="1">
        <v>45825</v>
      </c>
    </row>
    <row r="30" spans="1:11" x14ac:dyDescent="0.3">
      <c r="A30" t="s">
        <v>197</v>
      </c>
      <c r="B30" s="1">
        <v>45778</v>
      </c>
      <c r="C30" t="s">
        <v>6</v>
      </c>
      <c r="D30" t="s">
        <v>166</v>
      </c>
      <c r="E30">
        <v>226</v>
      </c>
      <c r="F30" t="s">
        <v>167</v>
      </c>
      <c r="G30" t="s">
        <v>168</v>
      </c>
      <c r="I30" t="s">
        <v>142</v>
      </c>
      <c r="J30" t="s">
        <v>64</v>
      </c>
      <c r="K30" s="1">
        <v>45678</v>
      </c>
    </row>
    <row r="31" spans="1:11" x14ac:dyDescent="0.3">
      <c r="A31" t="s">
        <v>198</v>
      </c>
      <c r="B31" s="1">
        <v>45832</v>
      </c>
      <c r="C31" t="s">
        <v>14</v>
      </c>
      <c r="D31" t="s">
        <v>166</v>
      </c>
      <c r="E31">
        <v>315</v>
      </c>
      <c r="F31" t="s">
        <v>167</v>
      </c>
      <c r="G31" t="s">
        <v>168</v>
      </c>
      <c r="I31" t="s">
        <v>97</v>
      </c>
      <c r="J31" t="s">
        <v>64</v>
      </c>
      <c r="K31" s="1">
        <v>45833</v>
      </c>
    </row>
    <row r="32" spans="1:11" x14ac:dyDescent="0.3">
      <c r="A32" t="s">
        <v>199</v>
      </c>
      <c r="B32" s="1">
        <v>45663</v>
      </c>
      <c r="C32" t="s">
        <v>18</v>
      </c>
      <c r="D32" t="s">
        <v>171</v>
      </c>
      <c r="E32">
        <v>922</v>
      </c>
      <c r="F32" t="s">
        <v>167</v>
      </c>
      <c r="G32" t="s">
        <v>168</v>
      </c>
      <c r="I32" t="s">
        <v>106</v>
      </c>
      <c r="J32" t="s">
        <v>73</v>
      </c>
      <c r="K32" s="1">
        <v>45734</v>
      </c>
    </row>
    <row r="33" spans="1:11" x14ac:dyDescent="0.3">
      <c r="A33" t="s">
        <v>200</v>
      </c>
      <c r="B33" s="1">
        <v>45667</v>
      </c>
      <c r="C33" t="s">
        <v>33</v>
      </c>
      <c r="D33" t="s">
        <v>166</v>
      </c>
      <c r="E33">
        <v>774</v>
      </c>
      <c r="F33" t="s">
        <v>167</v>
      </c>
      <c r="G33" t="s">
        <v>168</v>
      </c>
      <c r="I33" t="s">
        <v>120</v>
      </c>
      <c r="J33" t="s">
        <v>55</v>
      </c>
      <c r="K33" s="1">
        <v>45713</v>
      </c>
    </row>
    <row r="34" spans="1:11" x14ac:dyDescent="0.3">
      <c r="A34" t="s">
        <v>201</v>
      </c>
      <c r="B34" s="1">
        <v>45694</v>
      </c>
      <c r="C34" t="s">
        <v>6</v>
      </c>
      <c r="D34" t="s">
        <v>171</v>
      </c>
      <c r="E34">
        <v>553</v>
      </c>
      <c r="F34" t="s">
        <v>167</v>
      </c>
      <c r="G34" t="s">
        <v>168</v>
      </c>
      <c r="I34" t="s">
        <v>104</v>
      </c>
      <c r="J34" t="s">
        <v>73</v>
      </c>
      <c r="K34" s="1">
        <v>45681</v>
      </c>
    </row>
    <row r="35" spans="1:11" x14ac:dyDescent="0.3">
      <c r="A35" t="s">
        <v>202</v>
      </c>
      <c r="B35" s="1">
        <v>45680</v>
      </c>
      <c r="C35" t="s">
        <v>22</v>
      </c>
      <c r="D35" t="s">
        <v>171</v>
      </c>
      <c r="E35">
        <v>560</v>
      </c>
      <c r="F35" t="s">
        <v>167</v>
      </c>
      <c r="G35" t="s">
        <v>168</v>
      </c>
      <c r="I35" t="s">
        <v>128</v>
      </c>
      <c r="J35" t="s">
        <v>58</v>
      </c>
      <c r="K35" s="1">
        <v>45825</v>
      </c>
    </row>
    <row r="36" spans="1:11" x14ac:dyDescent="0.3">
      <c r="A36" t="s">
        <v>203</v>
      </c>
      <c r="B36" s="1">
        <v>45687</v>
      </c>
      <c r="C36" t="s">
        <v>33</v>
      </c>
      <c r="D36" t="s">
        <v>171</v>
      </c>
      <c r="E36">
        <v>212</v>
      </c>
      <c r="F36" t="s">
        <v>167</v>
      </c>
      <c r="G36" t="s">
        <v>168</v>
      </c>
      <c r="I36" t="s">
        <v>116</v>
      </c>
      <c r="J36" t="s">
        <v>76</v>
      </c>
      <c r="K36" s="1">
        <v>45786</v>
      </c>
    </row>
    <row r="37" spans="1:11" x14ac:dyDescent="0.3">
      <c r="A37" t="s">
        <v>204</v>
      </c>
      <c r="B37" s="1">
        <v>45778</v>
      </c>
      <c r="C37" t="s">
        <v>33</v>
      </c>
      <c r="D37" t="s">
        <v>166</v>
      </c>
      <c r="E37">
        <v>99</v>
      </c>
      <c r="F37" t="s">
        <v>167</v>
      </c>
      <c r="G37" t="s">
        <v>168</v>
      </c>
      <c r="I37" t="s">
        <v>132</v>
      </c>
      <c r="J37" t="s">
        <v>52</v>
      </c>
      <c r="K37" s="1">
        <v>45715</v>
      </c>
    </row>
    <row r="38" spans="1:11" x14ac:dyDescent="0.3">
      <c r="A38" t="s">
        <v>205</v>
      </c>
      <c r="B38" s="1">
        <v>45798</v>
      </c>
      <c r="C38" t="s">
        <v>22</v>
      </c>
      <c r="D38" t="s">
        <v>171</v>
      </c>
      <c r="E38">
        <v>923</v>
      </c>
      <c r="F38" t="s">
        <v>167</v>
      </c>
      <c r="G38" t="s">
        <v>168</v>
      </c>
      <c r="I38" t="s">
        <v>118</v>
      </c>
      <c r="J38" t="s">
        <v>67</v>
      </c>
      <c r="K38" s="1">
        <v>45747</v>
      </c>
    </row>
    <row r="39" spans="1:11" x14ac:dyDescent="0.3">
      <c r="A39" t="s">
        <v>206</v>
      </c>
      <c r="B39" s="1">
        <v>45763</v>
      </c>
      <c r="C39" t="s">
        <v>14</v>
      </c>
      <c r="D39" t="s">
        <v>166</v>
      </c>
      <c r="E39">
        <v>768</v>
      </c>
      <c r="F39" t="s">
        <v>167</v>
      </c>
      <c r="G39" t="s">
        <v>168</v>
      </c>
      <c r="I39" t="s">
        <v>128</v>
      </c>
      <c r="J39" t="s">
        <v>58</v>
      </c>
      <c r="K39" s="1">
        <v>45713</v>
      </c>
    </row>
    <row r="40" spans="1:11" x14ac:dyDescent="0.3">
      <c r="A40" t="s">
        <v>207</v>
      </c>
      <c r="B40" s="1">
        <v>45820</v>
      </c>
      <c r="C40" t="s">
        <v>22</v>
      </c>
      <c r="D40" t="s">
        <v>171</v>
      </c>
      <c r="E40">
        <v>181</v>
      </c>
      <c r="F40" t="s">
        <v>167</v>
      </c>
      <c r="G40" t="s">
        <v>168</v>
      </c>
      <c r="I40" t="s">
        <v>122</v>
      </c>
      <c r="J40" t="s">
        <v>67</v>
      </c>
      <c r="K40" s="1">
        <v>45733</v>
      </c>
    </row>
    <row r="41" spans="1:11" x14ac:dyDescent="0.3">
      <c r="A41" t="s">
        <v>208</v>
      </c>
      <c r="B41" s="1">
        <v>45790</v>
      </c>
      <c r="C41" t="s">
        <v>11</v>
      </c>
      <c r="D41" t="s">
        <v>166</v>
      </c>
      <c r="E41">
        <v>387</v>
      </c>
      <c r="F41" t="s">
        <v>167</v>
      </c>
      <c r="G41" t="s">
        <v>168</v>
      </c>
      <c r="I41" t="s">
        <v>122</v>
      </c>
      <c r="J41" t="s">
        <v>64</v>
      </c>
      <c r="K41" s="1">
        <v>45694</v>
      </c>
    </row>
    <row r="42" spans="1:11" x14ac:dyDescent="0.3">
      <c r="A42" t="s">
        <v>209</v>
      </c>
      <c r="B42" s="1">
        <v>45786</v>
      </c>
      <c r="C42" t="s">
        <v>11</v>
      </c>
      <c r="D42" t="s">
        <v>171</v>
      </c>
      <c r="E42">
        <v>993</v>
      </c>
      <c r="F42" t="s">
        <v>167</v>
      </c>
      <c r="G42" t="s">
        <v>168</v>
      </c>
      <c r="I42" t="s">
        <v>128</v>
      </c>
      <c r="J42" t="s">
        <v>61</v>
      </c>
      <c r="K42" s="1">
        <v>45741</v>
      </c>
    </row>
    <row r="43" spans="1:11" x14ac:dyDescent="0.3">
      <c r="A43" t="s">
        <v>210</v>
      </c>
      <c r="B43" s="1">
        <v>45790</v>
      </c>
      <c r="C43" t="s">
        <v>29</v>
      </c>
      <c r="D43" t="s">
        <v>171</v>
      </c>
      <c r="E43">
        <v>919</v>
      </c>
      <c r="F43" t="s">
        <v>167</v>
      </c>
      <c r="G43" t="s">
        <v>168</v>
      </c>
      <c r="I43" t="s">
        <v>132</v>
      </c>
      <c r="J43" t="s">
        <v>55</v>
      </c>
      <c r="K43" s="1">
        <v>45740</v>
      </c>
    </row>
    <row r="44" spans="1:11" x14ac:dyDescent="0.3">
      <c r="A44" t="s">
        <v>211</v>
      </c>
      <c r="B44" s="1">
        <v>45715</v>
      </c>
      <c r="C44" t="s">
        <v>22</v>
      </c>
      <c r="D44" t="s">
        <v>166</v>
      </c>
      <c r="E44">
        <v>62</v>
      </c>
      <c r="F44" t="s">
        <v>167</v>
      </c>
      <c r="G44" t="s">
        <v>168</v>
      </c>
      <c r="I44" t="s">
        <v>112</v>
      </c>
      <c r="J44" t="s">
        <v>49</v>
      </c>
      <c r="K44" s="1">
        <v>45728</v>
      </c>
    </row>
    <row r="45" spans="1:11" x14ac:dyDescent="0.3">
      <c r="A45" t="s">
        <v>212</v>
      </c>
      <c r="B45" s="1">
        <v>45671</v>
      </c>
      <c r="C45" t="s">
        <v>18</v>
      </c>
      <c r="D45" t="s">
        <v>166</v>
      </c>
      <c r="E45">
        <v>357</v>
      </c>
      <c r="F45" t="s">
        <v>167</v>
      </c>
      <c r="G45" t="s">
        <v>168</v>
      </c>
      <c r="I45" t="s">
        <v>144</v>
      </c>
      <c r="J45" t="s">
        <v>49</v>
      </c>
      <c r="K45" s="1">
        <v>45736</v>
      </c>
    </row>
    <row r="46" spans="1:11" x14ac:dyDescent="0.3">
      <c r="A46" t="s">
        <v>213</v>
      </c>
      <c r="B46" s="1">
        <v>45786</v>
      </c>
      <c r="C46" t="s">
        <v>29</v>
      </c>
      <c r="D46" t="s">
        <v>166</v>
      </c>
      <c r="E46">
        <v>156</v>
      </c>
      <c r="F46" t="s">
        <v>167</v>
      </c>
      <c r="G46" t="s">
        <v>168</v>
      </c>
      <c r="I46" t="s">
        <v>88</v>
      </c>
      <c r="J46" t="s">
        <v>58</v>
      </c>
      <c r="K46" s="1">
        <v>45789</v>
      </c>
    </row>
    <row r="47" spans="1:11" x14ac:dyDescent="0.3">
      <c r="A47" t="s">
        <v>214</v>
      </c>
      <c r="B47" s="1">
        <v>45778</v>
      </c>
      <c r="C47" t="s">
        <v>29</v>
      </c>
      <c r="D47" t="s">
        <v>166</v>
      </c>
      <c r="E47">
        <v>25</v>
      </c>
      <c r="F47" t="s">
        <v>167</v>
      </c>
      <c r="G47" t="s">
        <v>168</v>
      </c>
      <c r="I47" t="s">
        <v>114</v>
      </c>
      <c r="J47" t="s">
        <v>73</v>
      </c>
      <c r="K47" s="1">
        <v>45743</v>
      </c>
    </row>
    <row r="48" spans="1:11" x14ac:dyDescent="0.3">
      <c r="A48" t="s">
        <v>215</v>
      </c>
      <c r="B48" s="1">
        <v>45756</v>
      </c>
      <c r="C48" t="s">
        <v>6</v>
      </c>
      <c r="D48" t="s">
        <v>171</v>
      </c>
      <c r="E48">
        <v>24</v>
      </c>
      <c r="F48" t="s">
        <v>167</v>
      </c>
      <c r="G48" t="s">
        <v>168</v>
      </c>
      <c r="I48" t="s">
        <v>128</v>
      </c>
      <c r="J48" t="s">
        <v>49</v>
      </c>
      <c r="K48" s="1">
        <v>45838</v>
      </c>
    </row>
    <row r="49" spans="1:11" x14ac:dyDescent="0.3">
      <c r="A49" t="s">
        <v>216</v>
      </c>
      <c r="B49" s="1">
        <v>45811</v>
      </c>
      <c r="C49" t="s">
        <v>22</v>
      </c>
      <c r="D49" t="s">
        <v>166</v>
      </c>
      <c r="E49">
        <v>721</v>
      </c>
      <c r="F49" t="s">
        <v>167</v>
      </c>
      <c r="G49" t="s">
        <v>168</v>
      </c>
      <c r="I49" t="s">
        <v>126</v>
      </c>
      <c r="J49" t="s">
        <v>49</v>
      </c>
      <c r="K49" s="1">
        <v>45726</v>
      </c>
    </row>
    <row r="50" spans="1:11" x14ac:dyDescent="0.3">
      <c r="A50" t="s">
        <v>217</v>
      </c>
      <c r="B50" s="1">
        <v>45813</v>
      </c>
      <c r="C50" t="s">
        <v>33</v>
      </c>
      <c r="D50" t="s">
        <v>166</v>
      </c>
      <c r="E50">
        <v>855</v>
      </c>
      <c r="F50" t="s">
        <v>167</v>
      </c>
      <c r="G50" t="s">
        <v>168</v>
      </c>
      <c r="I50" t="s">
        <v>88</v>
      </c>
      <c r="J50" t="s">
        <v>61</v>
      </c>
      <c r="K50" s="1">
        <v>45679</v>
      </c>
    </row>
    <row r="51" spans="1:11" x14ac:dyDescent="0.3">
      <c r="A51" t="s">
        <v>218</v>
      </c>
      <c r="B51" s="1">
        <v>45716</v>
      </c>
      <c r="C51" t="s">
        <v>29</v>
      </c>
      <c r="D51" t="s">
        <v>166</v>
      </c>
      <c r="E51">
        <v>855</v>
      </c>
      <c r="F51" t="s">
        <v>167</v>
      </c>
      <c r="G51" t="s">
        <v>168</v>
      </c>
      <c r="I51" t="s">
        <v>128</v>
      </c>
      <c r="J51" t="s">
        <v>76</v>
      </c>
      <c r="K51" s="1">
        <v>45810</v>
      </c>
    </row>
    <row r="52" spans="1:11" x14ac:dyDescent="0.3">
      <c r="A52" t="s">
        <v>219</v>
      </c>
      <c r="B52" s="1">
        <v>45735</v>
      </c>
      <c r="C52" t="s">
        <v>22</v>
      </c>
      <c r="D52" t="s">
        <v>171</v>
      </c>
      <c r="E52">
        <v>164</v>
      </c>
      <c r="F52" t="s">
        <v>167</v>
      </c>
      <c r="G52" t="s">
        <v>168</v>
      </c>
      <c r="I52" t="s">
        <v>97</v>
      </c>
      <c r="J52" t="s">
        <v>73</v>
      </c>
      <c r="K52" s="1">
        <v>45784</v>
      </c>
    </row>
    <row r="53" spans="1:11" x14ac:dyDescent="0.3">
      <c r="A53" t="s">
        <v>220</v>
      </c>
      <c r="B53" s="1">
        <v>45750</v>
      </c>
      <c r="C53" t="s">
        <v>6</v>
      </c>
      <c r="D53" t="s">
        <v>171</v>
      </c>
      <c r="E53">
        <v>931</v>
      </c>
      <c r="F53" t="s">
        <v>167</v>
      </c>
      <c r="G53" t="s">
        <v>168</v>
      </c>
      <c r="I53" t="s">
        <v>120</v>
      </c>
      <c r="J53" t="s">
        <v>52</v>
      </c>
      <c r="K53" s="1">
        <v>45765</v>
      </c>
    </row>
    <row r="54" spans="1:11" x14ac:dyDescent="0.3">
      <c r="A54" t="s">
        <v>221</v>
      </c>
      <c r="B54" s="1">
        <v>45821</v>
      </c>
      <c r="C54" t="s">
        <v>6</v>
      </c>
      <c r="D54" t="s">
        <v>171</v>
      </c>
      <c r="E54">
        <v>859</v>
      </c>
      <c r="F54" t="s">
        <v>167</v>
      </c>
      <c r="G54" t="s">
        <v>168</v>
      </c>
      <c r="I54" t="s">
        <v>144</v>
      </c>
      <c r="J54" t="s">
        <v>70</v>
      </c>
      <c r="K54" s="1">
        <v>45806</v>
      </c>
    </row>
    <row r="55" spans="1:11" x14ac:dyDescent="0.3">
      <c r="A55" t="s">
        <v>222</v>
      </c>
      <c r="B55" s="1">
        <v>45812</v>
      </c>
      <c r="C55" t="s">
        <v>6</v>
      </c>
      <c r="D55" t="s">
        <v>171</v>
      </c>
      <c r="E55">
        <v>770</v>
      </c>
      <c r="F55" t="s">
        <v>167</v>
      </c>
      <c r="G55" t="s">
        <v>168</v>
      </c>
      <c r="I55" t="s">
        <v>106</v>
      </c>
      <c r="J55" t="s">
        <v>64</v>
      </c>
      <c r="K55" s="1">
        <v>45726</v>
      </c>
    </row>
    <row r="56" spans="1:11" x14ac:dyDescent="0.3">
      <c r="A56" t="s">
        <v>223</v>
      </c>
      <c r="B56" s="1">
        <v>45677</v>
      </c>
      <c r="C56" t="s">
        <v>11</v>
      </c>
      <c r="D56" t="s">
        <v>166</v>
      </c>
      <c r="E56">
        <v>383</v>
      </c>
      <c r="F56" t="s">
        <v>167</v>
      </c>
      <c r="G56" t="s">
        <v>168</v>
      </c>
      <c r="I56" t="s">
        <v>148</v>
      </c>
      <c r="J56" t="s">
        <v>76</v>
      </c>
      <c r="K56" s="1">
        <v>45670</v>
      </c>
    </row>
    <row r="57" spans="1:11" x14ac:dyDescent="0.3">
      <c r="A57" t="s">
        <v>224</v>
      </c>
      <c r="B57" s="1">
        <v>45785</v>
      </c>
      <c r="C57" t="s">
        <v>26</v>
      </c>
      <c r="D57" t="s">
        <v>171</v>
      </c>
      <c r="E57">
        <v>965</v>
      </c>
      <c r="F57" t="s">
        <v>167</v>
      </c>
      <c r="G57" t="s">
        <v>168</v>
      </c>
      <c r="I57" t="s">
        <v>136</v>
      </c>
      <c r="J57" t="s">
        <v>49</v>
      </c>
      <c r="K57" s="1">
        <v>45768</v>
      </c>
    </row>
    <row r="58" spans="1:11" x14ac:dyDescent="0.3">
      <c r="A58" t="s">
        <v>225</v>
      </c>
      <c r="B58" s="1">
        <v>45708</v>
      </c>
      <c r="C58" t="s">
        <v>14</v>
      </c>
      <c r="D58" t="s">
        <v>171</v>
      </c>
      <c r="E58">
        <v>419</v>
      </c>
      <c r="F58" t="s">
        <v>167</v>
      </c>
      <c r="G58" t="s">
        <v>168</v>
      </c>
      <c r="I58" t="s">
        <v>126</v>
      </c>
      <c r="J58" t="s">
        <v>70</v>
      </c>
      <c r="K58" s="1">
        <v>45828</v>
      </c>
    </row>
    <row r="59" spans="1:11" x14ac:dyDescent="0.3">
      <c r="A59" t="s">
        <v>226</v>
      </c>
      <c r="B59" s="1">
        <v>45695</v>
      </c>
      <c r="C59" t="s">
        <v>6</v>
      </c>
      <c r="D59" t="s">
        <v>166</v>
      </c>
      <c r="E59">
        <v>428</v>
      </c>
      <c r="F59" t="s">
        <v>167</v>
      </c>
      <c r="G59" t="s">
        <v>168</v>
      </c>
      <c r="I59" t="s">
        <v>116</v>
      </c>
      <c r="J59" t="s">
        <v>49</v>
      </c>
      <c r="K59" s="1">
        <v>45783</v>
      </c>
    </row>
    <row r="60" spans="1:11" x14ac:dyDescent="0.3">
      <c r="A60" t="s">
        <v>227</v>
      </c>
      <c r="B60" s="1">
        <v>45776</v>
      </c>
      <c r="C60" t="s">
        <v>26</v>
      </c>
      <c r="D60" t="s">
        <v>171</v>
      </c>
      <c r="E60">
        <v>803</v>
      </c>
      <c r="F60" t="s">
        <v>167</v>
      </c>
      <c r="G60" t="s">
        <v>168</v>
      </c>
      <c r="I60" t="s">
        <v>110</v>
      </c>
      <c r="J60" t="s">
        <v>49</v>
      </c>
      <c r="K60" s="1">
        <v>45733</v>
      </c>
    </row>
    <row r="61" spans="1:11" x14ac:dyDescent="0.3">
      <c r="A61" t="s">
        <v>228</v>
      </c>
      <c r="B61" s="1">
        <v>45778</v>
      </c>
      <c r="C61" t="s">
        <v>29</v>
      </c>
      <c r="D61" t="s">
        <v>166</v>
      </c>
      <c r="E61">
        <v>472</v>
      </c>
      <c r="F61" t="s">
        <v>167</v>
      </c>
      <c r="G61" t="s">
        <v>168</v>
      </c>
      <c r="I61" t="s">
        <v>106</v>
      </c>
      <c r="J61" t="s">
        <v>61</v>
      </c>
      <c r="K61" s="1">
        <v>45762</v>
      </c>
    </row>
    <row r="62" spans="1:11" x14ac:dyDescent="0.3">
      <c r="A62" t="s">
        <v>229</v>
      </c>
      <c r="B62" s="1">
        <v>45818</v>
      </c>
      <c r="C62" t="s">
        <v>14</v>
      </c>
      <c r="D62" t="s">
        <v>166</v>
      </c>
      <c r="E62">
        <v>312</v>
      </c>
      <c r="F62" t="s">
        <v>167</v>
      </c>
      <c r="G62" t="s">
        <v>168</v>
      </c>
      <c r="I62" t="s">
        <v>108</v>
      </c>
      <c r="J62" t="s">
        <v>67</v>
      </c>
      <c r="K62" s="1">
        <v>45803</v>
      </c>
    </row>
    <row r="63" spans="1:11" x14ac:dyDescent="0.3">
      <c r="A63" t="s">
        <v>230</v>
      </c>
      <c r="B63" s="1">
        <v>45736</v>
      </c>
      <c r="C63" t="s">
        <v>11</v>
      </c>
      <c r="D63" t="s">
        <v>166</v>
      </c>
      <c r="E63">
        <v>808</v>
      </c>
      <c r="F63" t="s">
        <v>167</v>
      </c>
      <c r="G63" t="s">
        <v>168</v>
      </c>
      <c r="I63" t="s">
        <v>112</v>
      </c>
      <c r="J63" t="s">
        <v>76</v>
      </c>
      <c r="K63" s="1">
        <v>45803</v>
      </c>
    </row>
    <row r="64" spans="1:11" x14ac:dyDescent="0.3">
      <c r="A64" t="s">
        <v>231</v>
      </c>
      <c r="B64" s="1">
        <v>45798</v>
      </c>
      <c r="C64" t="s">
        <v>33</v>
      </c>
      <c r="D64" t="s">
        <v>166</v>
      </c>
      <c r="E64">
        <v>767</v>
      </c>
      <c r="F64" t="s">
        <v>167</v>
      </c>
      <c r="G64" t="s">
        <v>168</v>
      </c>
      <c r="I64" t="s">
        <v>91</v>
      </c>
      <c r="J64" t="s">
        <v>58</v>
      </c>
      <c r="K64" s="1">
        <v>45778</v>
      </c>
    </row>
    <row r="65" spans="1:11" x14ac:dyDescent="0.3">
      <c r="A65" t="s">
        <v>232</v>
      </c>
      <c r="B65" s="1">
        <v>45762</v>
      </c>
      <c r="C65" t="s">
        <v>6</v>
      </c>
      <c r="D65" t="s">
        <v>171</v>
      </c>
      <c r="E65">
        <v>258</v>
      </c>
      <c r="F65" t="s">
        <v>167</v>
      </c>
      <c r="G65" t="s">
        <v>168</v>
      </c>
      <c r="I65" t="s">
        <v>108</v>
      </c>
      <c r="J65" t="s">
        <v>58</v>
      </c>
      <c r="K65" s="1">
        <v>45754</v>
      </c>
    </row>
    <row r="66" spans="1:11" x14ac:dyDescent="0.3">
      <c r="A66" t="s">
        <v>233</v>
      </c>
      <c r="B66" s="1">
        <v>45660</v>
      </c>
      <c r="C66" t="s">
        <v>29</v>
      </c>
      <c r="D66" t="s">
        <v>171</v>
      </c>
      <c r="E66">
        <v>512</v>
      </c>
      <c r="F66" t="s">
        <v>167</v>
      </c>
      <c r="G66" t="s">
        <v>168</v>
      </c>
      <c r="I66" t="s">
        <v>112</v>
      </c>
      <c r="J66" t="s">
        <v>49</v>
      </c>
      <c r="K66" s="1">
        <v>45730</v>
      </c>
    </row>
    <row r="67" spans="1:11" x14ac:dyDescent="0.3">
      <c r="A67" t="s">
        <v>234</v>
      </c>
      <c r="B67" s="1">
        <v>45658</v>
      </c>
      <c r="C67" t="s">
        <v>6</v>
      </c>
      <c r="D67" t="s">
        <v>171</v>
      </c>
      <c r="E67">
        <v>162</v>
      </c>
      <c r="F67" t="s">
        <v>167</v>
      </c>
      <c r="G67" t="s">
        <v>168</v>
      </c>
      <c r="I67" t="s">
        <v>148</v>
      </c>
      <c r="J67" t="s">
        <v>49</v>
      </c>
      <c r="K67" s="1">
        <v>45826</v>
      </c>
    </row>
    <row r="68" spans="1:11" x14ac:dyDescent="0.3">
      <c r="A68" t="s">
        <v>235</v>
      </c>
      <c r="B68" s="1">
        <v>45692</v>
      </c>
      <c r="C68" t="s">
        <v>6</v>
      </c>
      <c r="D68" t="s">
        <v>166</v>
      </c>
      <c r="E68">
        <v>537</v>
      </c>
      <c r="F68" t="s">
        <v>167</v>
      </c>
      <c r="G68" t="s">
        <v>168</v>
      </c>
      <c r="I68" t="s">
        <v>120</v>
      </c>
      <c r="J68" t="s">
        <v>67</v>
      </c>
      <c r="K68" s="1">
        <v>45770</v>
      </c>
    </row>
    <row r="69" spans="1:11" x14ac:dyDescent="0.3">
      <c r="A69" t="s">
        <v>236</v>
      </c>
      <c r="B69" s="1">
        <v>45705</v>
      </c>
      <c r="C69" t="s">
        <v>18</v>
      </c>
      <c r="D69" t="s">
        <v>171</v>
      </c>
      <c r="E69">
        <v>354</v>
      </c>
      <c r="F69" t="s">
        <v>167</v>
      </c>
      <c r="G69" t="s">
        <v>168</v>
      </c>
      <c r="I69" t="s">
        <v>126</v>
      </c>
      <c r="J69" t="s">
        <v>49</v>
      </c>
      <c r="K69" s="1">
        <v>45810</v>
      </c>
    </row>
    <row r="70" spans="1:11" x14ac:dyDescent="0.3">
      <c r="A70" t="s">
        <v>237</v>
      </c>
      <c r="B70" s="1">
        <v>45804</v>
      </c>
      <c r="C70" t="s">
        <v>14</v>
      </c>
      <c r="D70" t="s">
        <v>166</v>
      </c>
      <c r="E70">
        <v>57</v>
      </c>
      <c r="F70" t="s">
        <v>167</v>
      </c>
      <c r="G70" t="s">
        <v>168</v>
      </c>
      <c r="I70" t="s">
        <v>120</v>
      </c>
      <c r="J70" t="s">
        <v>61</v>
      </c>
      <c r="K70" s="1">
        <v>45743</v>
      </c>
    </row>
    <row r="71" spans="1:11" x14ac:dyDescent="0.3">
      <c r="A71" t="s">
        <v>238</v>
      </c>
      <c r="B71" s="1">
        <v>45678</v>
      </c>
      <c r="C71" t="s">
        <v>22</v>
      </c>
      <c r="D71" t="s">
        <v>166</v>
      </c>
      <c r="E71">
        <v>525</v>
      </c>
      <c r="F71" t="s">
        <v>167</v>
      </c>
      <c r="G71" t="s">
        <v>168</v>
      </c>
      <c r="I71" t="s">
        <v>124</v>
      </c>
      <c r="J71" t="s">
        <v>70</v>
      </c>
      <c r="K71" s="1">
        <v>45688</v>
      </c>
    </row>
    <row r="72" spans="1:11" x14ac:dyDescent="0.3">
      <c r="A72" t="s">
        <v>239</v>
      </c>
      <c r="B72" s="1">
        <v>45796</v>
      </c>
      <c r="C72" t="s">
        <v>6</v>
      </c>
      <c r="D72" t="s">
        <v>166</v>
      </c>
      <c r="E72">
        <v>898</v>
      </c>
      <c r="F72" t="s">
        <v>167</v>
      </c>
      <c r="G72" t="s">
        <v>168</v>
      </c>
      <c r="I72" t="s">
        <v>148</v>
      </c>
      <c r="J72" t="s">
        <v>70</v>
      </c>
      <c r="K72" s="1">
        <v>45813</v>
      </c>
    </row>
    <row r="73" spans="1:11" x14ac:dyDescent="0.3">
      <c r="A73" t="s">
        <v>240</v>
      </c>
      <c r="B73" s="1">
        <v>45810</v>
      </c>
      <c r="C73" t="s">
        <v>6</v>
      </c>
      <c r="D73" t="s">
        <v>171</v>
      </c>
      <c r="E73">
        <v>339</v>
      </c>
      <c r="F73" t="s">
        <v>167</v>
      </c>
      <c r="G73" t="s">
        <v>168</v>
      </c>
      <c r="I73" t="s">
        <v>106</v>
      </c>
      <c r="J73" t="s">
        <v>64</v>
      </c>
      <c r="K73" s="1">
        <v>45820</v>
      </c>
    </row>
    <row r="74" spans="1:11" x14ac:dyDescent="0.3">
      <c r="A74" t="s">
        <v>241</v>
      </c>
      <c r="B74" s="1">
        <v>45670</v>
      </c>
      <c r="C74" t="s">
        <v>29</v>
      </c>
      <c r="D74" t="s">
        <v>171</v>
      </c>
      <c r="E74">
        <v>999</v>
      </c>
      <c r="F74" t="s">
        <v>167</v>
      </c>
      <c r="G74" t="s">
        <v>168</v>
      </c>
      <c r="I74" t="s">
        <v>118</v>
      </c>
      <c r="J74" t="s">
        <v>76</v>
      </c>
      <c r="K74" s="1">
        <v>45792</v>
      </c>
    </row>
    <row r="75" spans="1:11" x14ac:dyDescent="0.3">
      <c r="A75" t="s">
        <v>242</v>
      </c>
      <c r="B75" s="1">
        <v>45708</v>
      </c>
      <c r="C75" t="s">
        <v>11</v>
      </c>
      <c r="D75" t="s">
        <v>171</v>
      </c>
      <c r="E75">
        <v>83</v>
      </c>
      <c r="F75" t="s">
        <v>167</v>
      </c>
      <c r="G75" t="s">
        <v>168</v>
      </c>
      <c r="I75" t="s">
        <v>104</v>
      </c>
      <c r="J75" t="s">
        <v>64</v>
      </c>
      <c r="K75" s="1">
        <v>45793</v>
      </c>
    </row>
    <row r="76" spans="1:11" x14ac:dyDescent="0.3">
      <c r="A76" t="s">
        <v>243</v>
      </c>
      <c r="B76" s="1">
        <v>45713</v>
      </c>
      <c r="C76" t="s">
        <v>26</v>
      </c>
      <c r="D76" t="s">
        <v>166</v>
      </c>
      <c r="E76">
        <v>841</v>
      </c>
      <c r="F76" t="s">
        <v>167</v>
      </c>
      <c r="G76" t="s">
        <v>168</v>
      </c>
      <c r="I76" t="s">
        <v>102</v>
      </c>
      <c r="J76" t="s">
        <v>73</v>
      </c>
      <c r="K76" s="1">
        <v>45812</v>
      </c>
    </row>
    <row r="77" spans="1:11" x14ac:dyDescent="0.3">
      <c r="A77" t="s">
        <v>244</v>
      </c>
      <c r="B77" s="1">
        <v>45700</v>
      </c>
      <c r="C77" t="s">
        <v>33</v>
      </c>
      <c r="D77" t="s">
        <v>166</v>
      </c>
      <c r="E77">
        <v>443</v>
      </c>
      <c r="F77" t="s">
        <v>167</v>
      </c>
      <c r="G77" t="s">
        <v>168</v>
      </c>
      <c r="I77" t="s">
        <v>94</v>
      </c>
      <c r="J77" t="s">
        <v>49</v>
      </c>
      <c r="K77" s="1">
        <v>45751</v>
      </c>
    </row>
    <row r="78" spans="1:11" x14ac:dyDescent="0.3">
      <c r="A78" t="s">
        <v>245</v>
      </c>
      <c r="B78" s="1">
        <v>45827</v>
      </c>
      <c r="C78" t="s">
        <v>14</v>
      </c>
      <c r="D78" t="s">
        <v>171</v>
      </c>
      <c r="E78">
        <v>880</v>
      </c>
      <c r="F78" t="s">
        <v>167</v>
      </c>
      <c r="G78" t="s">
        <v>168</v>
      </c>
      <c r="I78" t="s">
        <v>136</v>
      </c>
      <c r="J78" t="s">
        <v>49</v>
      </c>
      <c r="K78" s="1">
        <v>45818</v>
      </c>
    </row>
    <row r="79" spans="1:11" x14ac:dyDescent="0.3">
      <c r="A79" t="s">
        <v>246</v>
      </c>
      <c r="B79" s="1">
        <v>45754</v>
      </c>
      <c r="C79" t="s">
        <v>14</v>
      </c>
      <c r="D79" t="s">
        <v>166</v>
      </c>
      <c r="E79">
        <v>988</v>
      </c>
      <c r="F79" t="s">
        <v>167</v>
      </c>
      <c r="G79" t="s">
        <v>168</v>
      </c>
      <c r="I79" t="s">
        <v>132</v>
      </c>
      <c r="J79" t="s">
        <v>49</v>
      </c>
      <c r="K79" s="1">
        <v>45772</v>
      </c>
    </row>
    <row r="80" spans="1:11" x14ac:dyDescent="0.3">
      <c r="A80" t="s">
        <v>247</v>
      </c>
      <c r="B80" s="1">
        <v>45835</v>
      </c>
      <c r="C80" t="s">
        <v>26</v>
      </c>
      <c r="D80" t="s">
        <v>171</v>
      </c>
      <c r="E80">
        <v>225</v>
      </c>
      <c r="F80" t="s">
        <v>167</v>
      </c>
      <c r="G80" t="s">
        <v>168</v>
      </c>
      <c r="I80" t="s">
        <v>108</v>
      </c>
      <c r="J80" t="s">
        <v>70</v>
      </c>
      <c r="K80" s="1">
        <v>45723</v>
      </c>
    </row>
    <row r="81" spans="1:11" x14ac:dyDescent="0.3">
      <c r="A81" t="s">
        <v>248</v>
      </c>
      <c r="B81" s="1">
        <v>45666</v>
      </c>
      <c r="C81" t="s">
        <v>11</v>
      </c>
      <c r="D81" t="s">
        <v>171</v>
      </c>
      <c r="E81">
        <v>551</v>
      </c>
      <c r="F81" t="s">
        <v>167</v>
      </c>
      <c r="G81" t="s">
        <v>168</v>
      </c>
      <c r="I81" t="s">
        <v>110</v>
      </c>
      <c r="J81" t="s">
        <v>61</v>
      </c>
      <c r="K81" s="1">
        <v>45664</v>
      </c>
    </row>
    <row r="82" spans="1:11" x14ac:dyDescent="0.3">
      <c r="A82" t="s">
        <v>249</v>
      </c>
      <c r="B82" s="1">
        <v>45769</v>
      </c>
      <c r="C82" t="s">
        <v>18</v>
      </c>
      <c r="D82" t="s">
        <v>171</v>
      </c>
      <c r="E82">
        <v>509</v>
      </c>
      <c r="F82" t="s">
        <v>167</v>
      </c>
      <c r="G82" t="s">
        <v>168</v>
      </c>
      <c r="I82" t="s">
        <v>138</v>
      </c>
      <c r="J82" t="s">
        <v>49</v>
      </c>
      <c r="K82" s="1">
        <v>45755</v>
      </c>
    </row>
    <row r="83" spans="1:11" x14ac:dyDescent="0.3">
      <c r="A83" t="s">
        <v>250</v>
      </c>
      <c r="B83" s="1">
        <v>45698</v>
      </c>
      <c r="C83" t="s">
        <v>22</v>
      </c>
      <c r="D83" t="s">
        <v>166</v>
      </c>
      <c r="E83">
        <v>135</v>
      </c>
      <c r="F83" t="s">
        <v>167</v>
      </c>
      <c r="G83" t="s">
        <v>168</v>
      </c>
      <c r="I83" t="s">
        <v>94</v>
      </c>
      <c r="J83" t="s">
        <v>52</v>
      </c>
      <c r="K83" s="1">
        <v>45729</v>
      </c>
    </row>
    <row r="84" spans="1:11" x14ac:dyDescent="0.3">
      <c r="A84" t="s">
        <v>251</v>
      </c>
      <c r="B84" s="1">
        <v>45833</v>
      </c>
      <c r="C84" t="s">
        <v>29</v>
      </c>
      <c r="D84" t="s">
        <v>171</v>
      </c>
      <c r="E84">
        <v>491</v>
      </c>
      <c r="F84" t="s">
        <v>167</v>
      </c>
      <c r="G84" t="s">
        <v>168</v>
      </c>
      <c r="I84" t="s">
        <v>146</v>
      </c>
      <c r="J84" t="s">
        <v>52</v>
      </c>
      <c r="K84" s="1">
        <v>45796</v>
      </c>
    </row>
    <row r="85" spans="1:11" x14ac:dyDescent="0.3">
      <c r="A85" t="s">
        <v>252</v>
      </c>
      <c r="B85" s="1">
        <v>45813</v>
      </c>
      <c r="C85" t="s">
        <v>11</v>
      </c>
      <c r="D85" t="s">
        <v>166</v>
      </c>
      <c r="E85">
        <v>745</v>
      </c>
      <c r="F85" t="s">
        <v>167</v>
      </c>
      <c r="G85" t="s">
        <v>168</v>
      </c>
      <c r="I85" t="s">
        <v>110</v>
      </c>
      <c r="J85" t="s">
        <v>49</v>
      </c>
      <c r="K85" s="1">
        <v>45833</v>
      </c>
    </row>
    <row r="86" spans="1:11" x14ac:dyDescent="0.3">
      <c r="A86" t="s">
        <v>253</v>
      </c>
      <c r="B86" s="1">
        <v>45735</v>
      </c>
      <c r="C86" t="s">
        <v>22</v>
      </c>
      <c r="D86" t="s">
        <v>166</v>
      </c>
      <c r="E86">
        <v>717</v>
      </c>
      <c r="F86" t="s">
        <v>167</v>
      </c>
      <c r="G86" t="s">
        <v>168</v>
      </c>
      <c r="I86" t="s">
        <v>104</v>
      </c>
      <c r="J86" t="s">
        <v>58</v>
      </c>
      <c r="K86" s="1">
        <v>45782</v>
      </c>
    </row>
    <row r="87" spans="1:11" x14ac:dyDescent="0.3">
      <c r="A87" t="s">
        <v>254</v>
      </c>
      <c r="B87" s="1">
        <v>45778</v>
      </c>
      <c r="C87" t="s">
        <v>6</v>
      </c>
      <c r="D87" t="s">
        <v>171</v>
      </c>
      <c r="E87">
        <v>562</v>
      </c>
      <c r="F87" t="s">
        <v>167</v>
      </c>
      <c r="G87" t="s">
        <v>168</v>
      </c>
      <c r="I87" t="s">
        <v>97</v>
      </c>
      <c r="J87" t="s">
        <v>58</v>
      </c>
      <c r="K87" s="1">
        <v>45838</v>
      </c>
    </row>
    <row r="88" spans="1:11" x14ac:dyDescent="0.3">
      <c r="A88" t="s">
        <v>255</v>
      </c>
      <c r="B88" s="1">
        <v>45834</v>
      </c>
      <c r="C88" t="s">
        <v>26</v>
      </c>
      <c r="D88" t="s">
        <v>171</v>
      </c>
      <c r="E88">
        <v>218</v>
      </c>
      <c r="F88" t="s">
        <v>167</v>
      </c>
      <c r="G88" t="s">
        <v>168</v>
      </c>
      <c r="I88" t="s">
        <v>91</v>
      </c>
      <c r="J88" t="s">
        <v>73</v>
      </c>
      <c r="K88" s="1">
        <v>45742</v>
      </c>
    </row>
    <row r="89" spans="1:11" x14ac:dyDescent="0.3">
      <c r="A89" t="s">
        <v>256</v>
      </c>
      <c r="B89" s="1">
        <v>45813</v>
      </c>
      <c r="C89" t="s">
        <v>29</v>
      </c>
      <c r="D89" t="s">
        <v>171</v>
      </c>
      <c r="E89">
        <v>262</v>
      </c>
      <c r="F89" t="s">
        <v>167</v>
      </c>
      <c r="G89" t="s">
        <v>168</v>
      </c>
      <c r="I89" t="s">
        <v>108</v>
      </c>
      <c r="J89" t="s">
        <v>58</v>
      </c>
      <c r="K89" s="1">
        <v>45779</v>
      </c>
    </row>
    <row r="90" spans="1:11" x14ac:dyDescent="0.3">
      <c r="A90" t="s">
        <v>257</v>
      </c>
      <c r="B90" s="1">
        <v>45727</v>
      </c>
      <c r="C90" t="s">
        <v>33</v>
      </c>
      <c r="D90" t="s">
        <v>171</v>
      </c>
      <c r="E90">
        <v>511</v>
      </c>
      <c r="F90" t="s">
        <v>167</v>
      </c>
      <c r="G90" t="s">
        <v>168</v>
      </c>
      <c r="I90" t="s">
        <v>116</v>
      </c>
      <c r="J90" t="s">
        <v>52</v>
      </c>
      <c r="K90" s="1">
        <v>45749</v>
      </c>
    </row>
    <row r="91" spans="1:11" x14ac:dyDescent="0.3">
      <c r="A91" t="s">
        <v>258</v>
      </c>
      <c r="B91" s="1">
        <v>45791</v>
      </c>
      <c r="C91" t="s">
        <v>26</v>
      </c>
      <c r="D91" t="s">
        <v>166</v>
      </c>
      <c r="E91">
        <v>710</v>
      </c>
      <c r="F91" t="s">
        <v>167</v>
      </c>
      <c r="G91" t="s">
        <v>168</v>
      </c>
      <c r="I91" t="s">
        <v>128</v>
      </c>
      <c r="J91" t="s">
        <v>52</v>
      </c>
      <c r="K91" s="1">
        <v>45779</v>
      </c>
    </row>
    <row r="92" spans="1:11" x14ac:dyDescent="0.3">
      <c r="A92" t="s">
        <v>259</v>
      </c>
      <c r="B92" s="1">
        <v>45768</v>
      </c>
      <c r="C92" t="s">
        <v>33</v>
      </c>
      <c r="D92" t="s">
        <v>166</v>
      </c>
      <c r="E92">
        <v>245</v>
      </c>
      <c r="F92" t="s">
        <v>167</v>
      </c>
      <c r="G92" t="s">
        <v>168</v>
      </c>
      <c r="I92" t="s">
        <v>118</v>
      </c>
      <c r="J92" t="s">
        <v>49</v>
      </c>
      <c r="K92" s="1">
        <v>45796</v>
      </c>
    </row>
    <row r="93" spans="1:11" x14ac:dyDescent="0.3">
      <c r="A93" t="s">
        <v>260</v>
      </c>
      <c r="B93" s="1">
        <v>45784</v>
      </c>
      <c r="C93" t="s">
        <v>33</v>
      </c>
      <c r="D93" t="s">
        <v>171</v>
      </c>
      <c r="E93">
        <v>319</v>
      </c>
      <c r="F93" t="s">
        <v>167</v>
      </c>
      <c r="G93" t="s">
        <v>168</v>
      </c>
      <c r="I93" t="s">
        <v>102</v>
      </c>
      <c r="J93" t="s">
        <v>52</v>
      </c>
      <c r="K93" s="1">
        <v>45761</v>
      </c>
    </row>
    <row r="94" spans="1:11" x14ac:dyDescent="0.3">
      <c r="A94" t="s">
        <v>261</v>
      </c>
      <c r="B94" s="1">
        <v>45775</v>
      </c>
      <c r="C94" t="s">
        <v>18</v>
      </c>
      <c r="D94" t="s">
        <v>166</v>
      </c>
      <c r="E94">
        <v>606</v>
      </c>
      <c r="F94" t="s">
        <v>167</v>
      </c>
      <c r="G94" t="s">
        <v>168</v>
      </c>
      <c r="I94" t="s">
        <v>88</v>
      </c>
      <c r="J94" t="s">
        <v>52</v>
      </c>
      <c r="K94" s="1">
        <v>45770</v>
      </c>
    </row>
    <row r="95" spans="1:11" x14ac:dyDescent="0.3">
      <c r="A95" t="s">
        <v>262</v>
      </c>
      <c r="B95" s="1">
        <v>45776</v>
      </c>
      <c r="C95" t="s">
        <v>14</v>
      </c>
      <c r="D95" t="s">
        <v>166</v>
      </c>
      <c r="E95">
        <v>944</v>
      </c>
      <c r="F95" t="s">
        <v>167</v>
      </c>
      <c r="G95" t="s">
        <v>168</v>
      </c>
      <c r="I95" t="s">
        <v>138</v>
      </c>
      <c r="J95" t="s">
        <v>73</v>
      </c>
      <c r="K95" s="1">
        <v>45783</v>
      </c>
    </row>
    <row r="96" spans="1:11" x14ac:dyDescent="0.3">
      <c r="A96" t="s">
        <v>263</v>
      </c>
      <c r="B96" s="1">
        <v>45754</v>
      </c>
      <c r="C96" t="s">
        <v>22</v>
      </c>
      <c r="D96" t="s">
        <v>166</v>
      </c>
      <c r="E96">
        <v>669</v>
      </c>
      <c r="F96" t="s">
        <v>167</v>
      </c>
      <c r="G96" t="s">
        <v>168</v>
      </c>
      <c r="I96" t="s">
        <v>126</v>
      </c>
      <c r="J96" t="s">
        <v>67</v>
      </c>
      <c r="K96" s="1">
        <v>45810</v>
      </c>
    </row>
    <row r="97" spans="1:11" x14ac:dyDescent="0.3">
      <c r="A97" t="s">
        <v>264</v>
      </c>
      <c r="B97" s="1">
        <v>45687</v>
      </c>
      <c r="C97" t="s">
        <v>11</v>
      </c>
      <c r="D97" t="s">
        <v>166</v>
      </c>
      <c r="E97">
        <v>683</v>
      </c>
      <c r="F97" t="s">
        <v>167</v>
      </c>
      <c r="G97" t="s">
        <v>168</v>
      </c>
      <c r="I97" t="s">
        <v>88</v>
      </c>
      <c r="J97" t="s">
        <v>58</v>
      </c>
      <c r="K97" s="1">
        <v>45698</v>
      </c>
    </row>
    <row r="98" spans="1:11" x14ac:dyDescent="0.3">
      <c r="A98" t="s">
        <v>265</v>
      </c>
      <c r="B98" s="1">
        <v>45756</v>
      </c>
      <c r="C98" t="s">
        <v>11</v>
      </c>
      <c r="D98" t="s">
        <v>166</v>
      </c>
      <c r="E98">
        <v>970</v>
      </c>
      <c r="F98" t="s">
        <v>167</v>
      </c>
      <c r="G98" t="s">
        <v>168</v>
      </c>
      <c r="I98" t="s">
        <v>110</v>
      </c>
      <c r="J98" t="s">
        <v>49</v>
      </c>
      <c r="K98" s="1">
        <v>45817</v>
      </c>
    </row>
    <row r="99" spans="1:11" x14ac:dyDescent="0.3">
      <c r="A99" t="s">
        <v>266</v>
      </c>
      <c r="B99" s="1">
        <v>45701</v>
      </c>
      <c r="C99" t="s">
        <v>18</v>
      </c>
      <c r="D99" t="s">
        <v>171</v>
      </c>
      <c r="E99">
        <v>170</v>
      </c>
      <c r="F99" t="s">
        <v>167</v>
      </c>
      <c r="G99" t="s">
        <v>168</v>
      </c>
      <c r="I99" t="s">
        <v>146</v>
      </c>
      <c r="J99" t="s">
        <v>55</v>
      </c>
      <c r="K99" s="1">
        <v>45673</v>
      </c>
    </row>
    <row r="100" spans="1:11" x14ac:dyDescent="0.3">
      <c r="A100" t="s">
        <v>267</v>
      </c>
      <c r="B100" s="1">
        <v>45705</v>
      </c>
      <c r="C100" t="s">
        <v>6</v>
      </c>
      <c r="D100" t="s">
        <v>166</v>
      </c>
      <c r="E100">
        <v>608</v>
      </c>
      <c r="F100" t="s">
        <v>167</v>
      </c>
      <c r="G100" t="s">
        <v>168</v>
      </c>
      <c r="I100" t="s">
        <v>140</v>
      </c>
      <c r="J100" t="s">
        <v>67</v>
      </c>
      <c r="K100" s="1">
        <v>45700</v>
      </c>
    </row>
    <row r="101" spans="1:11" x14ac:dyDescent="0.3">
      <c r="A101" t="s">
        <v>268</v>
      </c>
      <c r="B101" s="1">
        <v>45712</v>
      </c>
      <c r="C101" t="s">
        <v>6</v>
      </c>
      <c r="D101" t="s">
        <v>171</v>
      </c>
      <c r="E101">
        <v>198</v>
      </c>
      <c r="F101" t="s">
        <v>167</v>
      </c>
      <c r="G101" t="s">
        <v>168</v>
      </c>
      <c r="I101" t="s">
        <v>97</v>
      </c>
      <c r="J101" t="s">
        <v>64</v>
      </c>
      <c r="K101" s="1">
        <v>45723</v>
      </c>
    </row>
    <row r="102" spans="1:11" x14ac:dyDescent="0.3">
      <c r="A102" t="s">
        <v>269</v>
      </c>
      <c r="B102" s="1">
        <v>45737</v>
      </c>
      <c r="C102" t="s">
        <v>29</v>
      </c>
      <c r="D102" t="s">
        <v>171</v>
      </c>
      <c r="E102">
        <v>717</v>
      </c>
      <c r="F102" t="s">
        <v>167</v>
      </c>
      <c r="G102" t="s">
        <v>168</v>
      </c>
      <c r="I102" t="s">
        <v>140</v>
      </c>
      <c r="J102" t="s">
        <v>52</v>
      </c>
      <c r="K102" s="1">
        <v>45698</v>
      </c>
    </row>
    <row r="103" spans="1:11" x14ac:dyDescent="0.3">
      <c r="A103" t="s">
        <v>270</v>
      </c>
      <c r="B103" s="1">
        <v>45729</v>
      </c>
      <c r="C103" t="s">
        <v>14</v>
      </c>
      <c r="D103" t="s">
        <v>171</v>
      </c>
      <c r="E103">
        <v>891</v>
      </c>
      <c r="F103" t="s">
        <v>167</v>
      </c>
      <c r="G103" t="s">
        <v>168</v>
      </c>
      <c r="I103" t="s">
        <v>150</v>
      </c>
      <c r="J103" t="s">
        <v>55</v>
      </c>
      <c r="K103" s="1">
        <v>45826</v>
      </c>
    </row>
    <row r="104" spans="1:11" x14ac:dyDescent="0.3">
      <c r="A104" t="s">
        <v>271</v>
      </c>
      <c r="B104" s="1">
        <v>45763</v>
      </c>
      <c r="C104" t="s">
        <v>33</v>
      </c>
      <c r="D104" t="s">
        <v>171</v>
      </c>
      <c r="E104">
        <v>307</v>
      </c>
      <c r="F104" t="s">
        <v>167</v>
      </c>
      <c r="G104" t="s">
        <v>168</v>
      </c>
      <c r="I104" t="s">
        <v>114</v>
      </c>
      <c r="J104" t="s">
        <v>61</v>
      </c>
      <c r="K104" s="1">
        <v>45764</v>
      </c>
    </row>
    <row r="105" spans="1:11" x14ac:dyDescent="0.3">
      <c r="A105" t="s">
        <v>272</v>
      </c>
      <c r="B105" s="1">
        <v>45691</v>
      </c>
      <c r="C105" t="s">
        <v>26</v>
      </c>
      <c r="D105" t="s">
        <v>166</v>
      </c>
      <c r="E105">
        <v>393</v>
      </c>
      <c r="F105" t="s">
        <v>167</v>
      </c>
      <c r="G105" t="s">
        <v>168</v>
      </c>
      <c r="I105" t="s">
        <v>134</v>
      </c>
      <c r="J105" t="s">
        <v>49</v>
      </c>
      <c r="K105" s="1">
        <v>45831</v>
      </c>
    </row>
    <row r="106" spans="1:11" x14ac:dyDescent="0.3">
      <c r="A106" t="s">
        <v>273</v>
      </c>
      <c r="B106" s="1">
        <v>45699</v>
      </c>
      <c r="C106" t="s">
        <v>33</v>
      </c>
      <c r="D106" t="s">
        <v>166</v>
      </c>
      <c r="E106">
        <v>998</v>
      </c>
      <c r="F106" t="s">
        <v>167</v>
      </c>
      <c r="G106" t="s">
        <v>168</v>
      </c>
      <c r="I106" t="s">
        <v>91</v>
      </c>
      <c r="J106" t="s">
        <v>76</v>
      </c>
      <c r="K106" s="1">
        <v>45681</v>
      </c>
    </row>
    <row r="107" spans="1:11" x14ac:dyDescent="0.3">
      <c r="A107" t="s">
        <v>274</v>
      </c>
      <c r="B107" s="1">
        <v>45709</v>
      </c>
      <c r="C107" t="s">
        <v>22</v>
      </c>
      <c r="D107" t="s">
        <v>171</v>
      </c>
      <c r="E107">
        <v>407</v>
      </c>
      <c r="F107" t="s">
        <v>167</v>
      </c>
      <c r="G107" t="s">
        <v>168</v>
      </c>
      <c r="I107" t="s">
        <v>106</v>
      </c>
      <c r="J107" t="s">
        <v>67</v>
      </c>
      <c r="K107" s="1">
        <v>45771</v>
      </c>
    </row>
    <row r="108" spans="1:11" x14ac:dyDescent="0.3">
      <c r="A108" t="s">
        <v>275</v>
      </c>
      <c r="B108" s="1">
        <v>45736</v>
      </c>
      <c r="C108" t="s">
        <v>14</v>
      </c>
      <c r="D108" t="s">
        <v>171</v>
      </c>
      <c r="E108">
        <v>949</v>
      </c>
      <c r="F108" t="s">
        <v>167</v>
      </c>
      <c r="G108" t="s">
        <v>168</v>
      </c>
      <c r="I108" t="s">
        <v>112</v>
      </c>
      <c r="J108" t="s">
        <v>64</v>
      </c>
      <c r="K108" s="1">
        <v>45819</v>
      </c>
    </row>
    <row r="109" spans="1:11" x14ac:dyDescent="0.3">
      <c r="A109" t="s">
        <v>276</v>
      </c>
      <c r="B109" s="1">
        <v>45748</v>
      </c>
      <c r="C109" t="s">
        <v>11</v>
      </c>
      <c r="D109" t="s">
        <v>166</v>
      </c>
      <c r="E109">
        <v>621</v>
      </c>
      <c r="F109" t="s">
        <v>167</v>
      </c>
      <c r="G109" t="s">
        <v>168</v>
      </c>
      <c r="I109" t="s">
        <v>122</v>
      </c>
      <c r="J109" t="s">
        <v>67</v>
      </c>
      <c r="K109" s="1">
        <v>45671</v>
      </c>
    </row>
    <row r="110" spans="1:11" x14ac:dyDescent="0.3">
      <c r="A110" t="s">
        <v>277</v>
      </c>
      <c r="B110" s="1">
        <v>45756</v>
      </c>
      <c r="C110" t="s">
        <v>22</v>
      </c>
      <c r="D110" t="s">
        <v>171</v>
      </c>
      <c r="E110">
        <v>117</v>
      </c>
      <c r="F110" t="s">
        <v>167</v>
      </c>
      <c r="G110" t="s">
        <v>168</v>
      </c>
      <c r="I110" t="s">
        <v>122</v>
      </c>
      <c r="J110" t="s">
        <v>61</v>
      </c>
      <c r="K110" s="1">
        <v>45821</v>
      </c>
    </row>
    <row r="111" spans="1:11" x14ac:dyDescent="0.3">
      <c r="A111" t="s">
        <v>278</v>
      </c>
      <c r="B111" s="1">
        <v>45832</v>
      </c>
      <c r="C111" t="s">
        <v>26</v>
      </c>
      <c r="D111" t="s">
        <v>171</v>
      </c>
      <c r="E111">
        <v>90</v>
      </c>
      <c r="F111" t="s">
        <v>167</v>
      </c>
      <c r="G111" t="s">
        <v>168</v>
      </c>
      <c r="I111" t="s">
        <v>102</v>
      </c>
      <c r="J111" t="s">
        <v>55</v>
      </c>
      <c r="K111" s="1">
        <v>45740</v>
      </c>
    </row>
    <row r="112" spans="1:11" x14ac:dyDescent="0.3">
      <c r="A112" t="s">
        <v>279</v>
      </c>
      <c r="B112" s="1">
        <v>45737</v>
      </c>
      <c r="C112" t="s">
        <v>22</v>
      </c>
      <c r="D112" t="s">
        <v>166</v>
      </c>
      <c r="E112">
        <v>207</v>
      </c>
      <c r="F112" t="s">
        <v>167</v>
      </c>
      <c r="G112" t="s">
        <v>168</v>
      </c>
      <c r="I112" t="s">
        <v>110</v>
      </c>
      <c r="J112" t="s">
        <v>55</v>
      </c>
      <c r="K112" s="1">
        <v>45658</v>
      </c>
    </row>
    <row r="113" spans="1:11" x14ac:dyDescent="0.3">
      <c r="A113" t="s">
        <v>280</v>
      </c>
      <c r="B113" s="1">
        <v>45694</v>
      </c>
      <c r="C113" t="s">
        <v>18</v>
      </c>
      <c r="D113" t="s">
        <v>171</v>
      </c>
      <c r="E113">
        <v>803</v>
      </c>
      <c r="F113" t="s">
        <v>167</v>
      </c>
      <c r="G113" t="s">
        <v>168</v>
      </c>
      <c r="I113" t="s">
        <v>126</v>
      </c>
      <c r="J113" t="s">
        <v>70</v>
      </c>
      <c r="K113" s="1">
        <v>45832</v>
      </c>
    </row>
    <row r="114" spans="1:11" x14ac:dyDescent="0.3">
      <c r="A114" t="s">
        <v>281</v>
      </c>
      <c r="B114" s="1">
        <v>45754</v>
      </c>
      <c r="C114" t="s">
        <v>26</v>
      </c>
      <c r="D114" t="s">
        <v>166</v>
      </c>
      <c r="E114">
        <v>838</v>
      </c>
      <c r="F114" t="s">
        <v>167</v>
      </c>
      <c r="G114" t="s">
        <v>168</v>
      </c>
      <c r="I114" t="s">
        <v>112</v>
      </c>
      <c r="J114" t="s">
        <v>70</v>
      </c>
      <c r="K114" s="1">
        <v>45772</v>
      </c>
    </row>
    <row r="115" spans="1:11" x14ac:dyDescent="0.3">
      <c r="A115" t="s">
        <v>282</v>
      </c>
      <c r="B115" s="1">
        <v>45750</v>
      </c>
      <c r="C115" t="s">
        <v>18</v>
      </c>
      <c r="D115" t="s">
        <v>171</v>
      </c>
      <c r="E115">
        <v>864</v>
      </c>
      <c r="F115" t="s">
        <v>167</v>
      </c>
      <c r="G115" t="s">
        <v>168</v>
      </c>
      <c r="I115" t="s">
        <v>134</v>
      </c>
      <c r="J115" t="s">
        <v>70</v>
      </c>
      <c r="K115" s="1">
        <v>45706</v>
      </c>
    </row>
    <row r="116" spans="1:11" x14ac:dyDescent="0.3">
      <c r="A116" t="s">
        <v>283</v>
      </c>
      <c r="B116" s="1">
        <v>45660</v>
      </c>
      <c r="C116" t="s">
        <v>26</v>
      </c>
      <c r="D116" t="s">
        <v>166</v>
      </c>
      <c r="E116">
        <v>323</v>
      </c>
      <c r="F116" t="s">
        <v>167</v>
      </c>
      <c r="G116" t="s">
        <v>168</v>
      </c>
      <c r="I116" t="s">
        <v>106</v>
      </c>
      <c r="J116" t="s">
        <v>70</v>
      </c>
      <c r="K116" s="1">
        <v>45723</v>
      </c>
    </row>
    <row r="117" spans="1:11" x14ac:dyDescent="0.3">
      <c r="A117" t="s">
        <v>284</v>
      </c>
      <c r="B117" s="1">
        <v>45671</v>
      </c>
      <c r="C117" t="s">
        <v>11</v>
      </c>
      <c r="D117" t="s">
        <v>166</v>
      </c>
      <c r="E117">
        <v>592</v>
      </c>
      <c r="F117" t="s">
        <v>167</v>
      </c>
      <c r="G117" t="s">
        <v>168</v>
      </c>
      <c r="I117" t="s">
        <v>126</v>
      </c>
      <c r="J117" t="s">
        <v>70</v>
      </c>
      <c r="K117" s="1">
        <v>45792</v>
      </c>
    </row>
    <row r="118" spans="1:11" x14ac:dyDescent="0.3">
      <c r="A118" t="s">
        <v>285</v>
      </c>
      <c r="B118" s="1">
        <v>45792</v>
      </c>
      <c r="C118" t="s">
        <v>11</v>
      </c>
      <c r="D118" t="s">
        <v>171</v>
      </c>
      <c r="E118">
        <v>83</v>
      </c>
      <c r="F118" t="s">
        <v>167</v>
      </c>
      <c r="G118" t="s">
        <v>168</v>
      </c>
      <c r="I118" t="s">
        <v>134</v>
      </c>
      <c r="J118" t="s">
        <v>67</v>
      </c>
      <c r="K118" s="1">
        <v>45765</v>
      </c>
    </row>
    <row r="119" spans="1:11" x14ac:dyDescent="0.3">
      <c r="A119" t="s">
        <v>286</v>
      </c>
      <c r="B119" s="1">
        <v>45834</v>
      </c>
      <c r="C119" t="s">
        <v>29</v>
      </c>
      <c r="D119" t="s">
        <v>166</v>
      </c>
      <c r="E119">
        <v>301</v>
      </c>
      <c r="F119" t="s">
        <v>167</v>
      </c>
      <c r="G119" t="s">
        <v>168</v>
      </c>
      <c r="I119" t="s">
        <v>104</v>
      </c>
      <c r="J119" t="s">
        <v>61</v>
      </c>
      <c r="K119" s="1">
        <v>45667</v>
      </c>
    </row>
    <row r="120" spans="1:11" x14ac:dyDescent="0.3">
      <c r="A120" t="s">
        <v>287</v>
      </c>
      <c r="B120" s="1">
        <v>45761</v>
      </c>
      <c r="C120" t="s">
        <v>18</v>
      </c>
      <c r="D120" t="s">
        <v>166</v>
      </c>
      <c r="E120">
        <v>546</v>
      </c>
      <c r="F120" t="s">
        <v>167</v>
      </c>
      <c r="G120" t="s">
        <v>168</v>
      </c>
      <c r="I120" t="s">
        <v>112</v>
      </c>
      <c r="J120" t="s">
        <v>70</v>
      </c>
      <c r="K120" s="1">
        <v>45680</v>
      </c>
    </row>
    <row r="121" spans="1:11" x14ac:dyDescent="0.3">
      <c r="A121" t="s">
        <v>288</v>
      </c>
      <c r="B121" s="1">
        <v>45791</v>
      </c>
      <c r="C121" t="s">
        <v>14</v>
      </c>
      <c r="D121" t="s">
        <v>171</v>
      </c>
      <c r="E121">
        <v>898</v>
      </c>
      <c r="F121" t="s">
        <v>167</v>
      </c>
      <c r="G121" t="s">
        <v>168</v>
      </c>
      <c r="I121" t="s">
        <v>100</v>
      </c>
      <c r="J121" t="s">
        <v>61</v>
      </c>
      <c r="K121" s="1">
        <v>45834</v>
      </c>
    </row>
    <row r="122" spans="1:11" x14ac:dyDescent="0.3">
      <c r="A122" t="s">
        <v>289</v>
      </c>
      <c r="B122" s="1">
        <v>45727</v>
      </c>
      <c r="C122" t="s">
        <v>14</v>
      </c>
      <c r="D122" t="s">
        <v>166</v>
      </c>
      <c r="E122">
        <v>377</v>
      </c>
      <c r="F122" t="s">
        <v>167</v>
      </c>
      <c r="G122" t="s">
        <v>168</v>
      </c>
      <c r="I122" t="s">
        <v>114</v>
      </c>
      <c r="J122" t="s">
        <v>58</v>
      </c>
      <c r="K122" s="1">
        <v>45826</v>
      </c>
    </row>
    <row r="123" spans="1:11" x14ac:dyDescent="0.3">
      <c r="A123" t="s">
        <v>290</v>
      </c>
      <c r="B123" s="1">
        <v>45681</v>
      </c>
      <c r="C123" t="s">
        <v>29</v>
      </c>
      <c r="D123" t="s">
        <v>166</v>
      </c>
      <c r="E123">
        <v>563</v>
      </c>
      <c r="F123" t="s">
        <v>167</v>
      </c>
      <c r="G123" t="s">
        <v>168</v>
      </c>
      <c r="I123" t="s">
        <v>102</v>
      </c>
      <c r="J123" t="s">
        <v>49</v>
      </c>
      <c r="K123" s="1">
        <v>45742</v>
      </c>
    </row>
    <row r="124" spans="1:11" x14ac:dyDescent="0.3">
      <c r="A124" t="s">
        <v>291</v>
      </c>
      <c r="B124" s="1">
        <v>45677</v>
      </c>
      <c r="C124" t="s">
        <v>14</v>
      </c>
      <c r="D124" t="s">
        <v>171</v>
      </c>
      <c r="E124">
        <v>442</v>
      </c>
      <c r="F124" t="s">
        <v>167</v>
      </c>
      <c r="G124" t="s">
        <v>168</v>
      </c>
      <c r="I124" t="s">
        <v>102</v>
      </c>
      <c r="J124" t="s">
        <v>55</v>
      </c>
      <c r="K124" s="1">
        <v>45691</v>
      </c>
    </row>
    <row r="125" spans="1:11" x14ac:dyDescent="0.3">
      <c r="A125" t="s">
        <v>292</v>
      </c>
      <c r="B125" s="1">
        <v>45678</v>
      </c>
      <c r="C125" t="s">
        <v>11</v>
      </c>
      <c r="D125" t="s">
        <v>171</v>
      </c>
      <c r="E125">
        <v>997</v>
      </c>
      <c r="F125" t="s">
        <v>167</v>
      </c>
      <c r="G125" t="s">
        <v>168</v>
      </c>
      <c r="I125" t="s">
        <v>118</v>
      </c>
      <c r="J125" t="s">
        <v>55</v>
      </c>
      <c r="K125" s="1">
        <v>45804</v>
      </c>
    </row>
    <row r="126" spans="1:11" x14ac:dyDescent="0.3">
      <c r="A126" t="s">
        <v>293</v>
      </c>
      <c r="B126" s="1">
        <v>45785</v>
      </c>
      <c r="C126" t="s">
        <v>11</v>
      </c>
      <c r="D126" t="s">
        <v>166</v>
      </c>
      <c r="E126">
        <v>442</v>
      </c>
      <c r="F126" t="s">
        <v>167</v>
      </c>
      <c r="G126" t="s">
        <v>168</v>
      </c>
      <c r="I126" t="s">
        <v>132</v>
      </c>
      <c r="J126" t="s">
        <v>52</v>
      </c>
      <c r="K126" s="1">
        <v>45680</v>
      </c>
    </row>
    <row r="127" spans="1:11" x14ac:dyDescent="0.3">
      <c r="A127" t="s">
        <v>294</v>
      </c>
      <c r="B127" s="1">
        <v>45744</v>
      </c>
      <c r="C127" t="s">
        <v>22</v>
      </c>
      <c r="D127" t="s">
        <v>166</v>
      </c>
      <c r="E127">
        <v>652</v>
      </c>
      <c r="F127" t="s">
        <v>167</v>
      </c>
      <c r="G127" t="s">
        <v>168</v>
      </c>
      <c r="I127" t="s">
        <v>142</v>
      </c>
      <c r="J127" t="s">
        <v>76</v>
      </c>
      <c r="K127" s="1">
        <v>45673</v>
      </c>
    </row>
    <row r="128" spans="1:11" x14ac:dyDescent="0.3">
      <c r="A128" t="s">
        <v>295</v>
      </c>
      <c r="B128" s="1">
        <v>45666</v>
      </c>
      <c r="C128" t="s">
        <v>22</v>
      </c>
      <c r="D128" t="s">
        <v>171</v>
      </c>
      <c r="E128">
        <v>55</v>
      </c>
      <c r="F128" t="s">
        <v>167</v>
      </c>
      <c r="G128" t="s">
        <v>168</v>
      </c>
      <c r="I128" t="s">
        <v>124</v>
      </c>
      <c r="J128" t="s">
        <v>67</v>
      </c>
      <c r="K128" s="1">
        <v>45664</v>
      </c>
    </row>
    <row r="129" spans="1:11" x14ac:dyDescent="0.3">
      <c r="A129" t="s">
        <v>296</v>
      </c>
      <c r="B129" s="1">
        <v>45821</v>
      </c>
      <c r="C129" t="s">
        <v>33</v>
      </c>
      <c r="D129" t="s">
        <v>171</v>
      </c>
      <c r="E129">
        <v>473</v>
      </c>
      <c r="F129" t="s">
        <v>167</v>
      </c>
      <c r="G129" t="s">
        <v>168</v>
      </c>
      <c r="I129" t="s">
        <v>116</v>
      </c>
      <c r="J129" t="s">
        <v>61</v>
      </c>
      <c r="K129" s="1">
        <v>45677</v>
      </c>
    </row>
    <row r="130" spans="1:11" x14ac:dyDescent="0.3">
      <c r="A130" t="s">
        <v>297</v>
      </c>
      <c r="B130" s="1">
        <v>45765</v>
      </c>
      <c r="C130" t="s">
        <v>29</v>
      </c>
      <c r="D130" t="s">
        <v>166</v>
      </c>
      <c r="E130">
        <v>820</v>
      </c>
      <c r="F130" t="s">
        <v>167</v>
      </c>
      <c r="G130" t="s">
        <v>168</v>
      </c>
      <c r="I130" t="s">
        <v>94</v>
      </c>
      <c r="J130" t="s">
        <v>76</v>
      </c>
      <c r="K130" s="1">
        <v>45821</v>
      </c>
    </row>
    <row r="131" spans="1:11" x14ac:dyDescent="0.3">
      <c r="A131" t="s">
        <v>298</v>
      </c>
      <c r="B131" s="1">
        <v>45751</v>
      </c>
      <c r="C131" t="s">
        <v>14</v>
      </c>
      <c r="D131" t="s">
        <v>166</v>
      </c>
      <c r="E131">
        <v>774</v>
      </c>
      <c r="F131" t="s">
        <v>167</v>
      </c>
      <c r="G131" t="s">
        <v>168</v>
      </c>
      <c r="I131" t="s">
        <v>126</v>
      </c>
      <c r="J131" t="s">
        <v>52</v>
      </c>
      <c r="K131" s="1">
        <v>45664</v>
      </c>
    </row>
    <row r="132" spans="1:11" x14ac:dyDescent="0.3">
      <c r="A132" t="s">
        <v>299</v>
      </c>
      <c r="B132" s="1">
        <v>45719</v>
      </c>
      <c r="C132" t="s">
        <v>33</v>
      </c>
      <c r="D132" t="s">
        <v>166</v>
      </c>
      <c r="E132">
        <v>938</v>
      </c>
      <c r="F132" t="s">
        <v>167</v>
      </c>
      <c r="G132" t="s">
        <v>168</v>
      </c>
      <c r="I132" t="s">
        <v>106</v>
      </c>
      <c r="J132" t="s">
        <v>70</v>
      </c>
      <c r="K132" s="1">
        <v>45672</v>
      </c>
    </row>
    <row r="133" spans="1:11" x14ac:dyDescent="0.3">
      <c r="A133" t="s">
        <v>300</v>
      </c>
      <c r="B133" s="1">
        <v>45778</v>
      </c>
      <c r="C133" t="s">
        <v>6</v>
      </c>
      <c r="D133" t="s">
        <v>166</v>
      </c>
      <c r="E133">
        <v>88</v>
      </c>
      <c r="F133" t="s">
        <v>167</v>
      </c>
      <c r="G133" t="s">
        <v>168</v>
      </c>
      <c r="I133" t="s">
        <v>106</v>
      </c>
      <c r="J133" t="s">
        <v>52</v>
      </c>
      <c r="K133" s="1">
        <v>45776</v>
      </c>
    </row>
    <row r="134" spans="1:11" x14ac:dyDescent="0.3">
      <c r="A134" t="s">
        <v>301</v>
      </c>
      <c r="B134" s="1">
        <v>45673</v>
      </c>
      <c r="C134" t="s">
        <v>29</v>
      </c>
      <c r="D134" t="s">
        <v>166</v>
      </c>
      <c r="E134">
        <v>817</v>
      </c>
      <c r="F134" t="s">
        <v>167</v>
      </c>
      <c r="G134" t="s">
        <v>168</v>
      </c>
      <c r="I134" t="s">
        <v>110</v>
      </c>
      <c r="J134" t="s">
        <v>52</v>
      </c>
      <c r="K134" s="1">
        <v>45727</v>
      </c>
    </row>
    <row r="135" spans="1:11" x14ac:dyDescent="0.3">
      <c r="A135" t="s">
        <v>302</v>
      </c>
      <c r="B135" s="1">
        <v>45673</v>
      </c>
      <c r="C135" t="s">
        <v>18</v>
      </c>
      <c r="D135" t="s">
        <v>171</v>
      </c>
      <c r="E135">
        <v>189</v>
      </c>
      <c r="F135" t="s">
        <v>167</v>
      </c>
      <c r="G135" t="s">
        <v>168</v>
      </c>
      <c r="I135" t="s">
        <v>122</v>
      </c>
      <c r="J135" t="s">
        <v>76</v>
      </c>
      <c r="K135" s="1">
        <v>45761</v>
      </c>
    </row>
    <row r="136" spans="1:11" x14ac:dyDescent="0.3">
      <c r="A136" t="s">
        <v>303</v>
      </c>
      <c r="B136" s="1">
        <v>45723</v>
      </c>
      <c r="C136" t="s">
        <v>11</v>
      </c>
      <c r="D136" t="s">
        <v>166</v>
      </c>
      <c r="E136">
        <v>28</v>
      </c>
      <c r="F136" t="s">
        <v>167</v>
      </c>
      <c r="G136" t="s">
        <v>168</v>
      </c>
      <c r="I136" t="s">
        <v>104</v>
      </c>
      <c r="J136" t="s">
        <v>70</v>
      </c>
      <c r="K136" s="1">
        <v>45811</v>
      </c>
    </row>
    <row r="137" spans="1:11" x14ac:dyDescent="0.3">
      <c r="A137" t="s">
        <v>304</v>
      </c>
      <c r="B137" s="1">
        <v>45827</v>
      </c>
      <c r="C137" t="s">
        <v>29</v>
      </c>
      <c r="D137" t="s">
        <v>166</v>
      </c>
      <c r="E137">
        <v>590</v>
      </c>
      <c r="F137" t="s">
        <v>167</v>
      </c>
      <c r="G137" t="s">
        <v>168</v>
      </c>
      <c r="I137" t="s">
        <v>128</v>
      </c>
      <c r="J137" t="s">
        <v>64</v>
      </c>
      <c r="K137" s="1">
        <v>45832</v>
      </c>
    </row>
    <row r="138" spans="1:11" x14ac:dyDescent="0.3">
      <c r="A138" t="s">
        <v>305</v>
      </c>
      <c r="B138" s="1">
        <v>45680</v>
      </c>
      <c r="C138" t="s">
        <v>33</v>
      </c>
      <c r="D138" t="s">
        <v>166</v>
      </c>
      <c r="E138">
        <v>163</v>
      </c>
      <c r="F138" t="s">
        <v>167</v>
      </c>
      <c r="G138" t="s">
        <v>168</v>
      </c>
      <c r="I138" t="s">
        <v>128</v>
      </c>
      <c r="J138" t="s">
        <v>73</v>
      </c>
      <c r="K138" s="1">
        <v>45730</v>
      </c>
    </row>
    <row r="139" spans="1:11" x14ac:dyDescent="0.3">
      <c r="A139" t="s">
        <v>306</v>
      </c>
      <c r="B139" s="1">
        <v>45677</v>
      </c>
      <c r="C139" t="s">
        <v>14</v>
      </c>
      <c r="D139" t="s">
        <v>171</v>
      </c>
      <c r="E139">
        <v>787</v>
      </c>
      <c r="F139" t="s">
        <v>167</v>
      </c>
      <c r="G139" t="s">
        <v>168</v>
      </c>
      <c r="I139" t="s">
        <v>97</v>
      </c>
      <c r="J139" t="s">
        <v>67</v>
      </c>
      <c r="K139" s="1">
        <v>45818</v>
      </c>
    </row>
    <row r="140" spans="1:11" x14ac:dyDescent="0.3">
      <c r="A140" t="s">
        <v>307</v>
      </c>
      <c r="B140" s="1">
        <v>45818</v>
      </c>
      <c r="C140" t="s">
        <v>11</v>
      </c>
      <c r="D140" t="s">
        <v>166</v>
      </c>
      <c r="E140">
        <v>778</v>
      </c>
      <c r="F140" t="s">
        <v>167</v>
      </c>
      <c r="G140" t="s">
        <v>168</v>
      </c>
      <c r="I140" t="s">
        <v>136</v>
      </c>
      <c r="J140" t="s">
        <v>61</v>
      </c>
      <c r="K140" s="1">
        <v>45826</v>
      </c>
    </row>
    <row r="141" spans="1:11" x14ac:dyDescent="0.3">
      <c r="A141" t="s">
        <v>308</v>
      </c>
      <c r="B141" s="1">
        <v>45771</v>
      </c>
      <c r="C141" t="s">
        <v>6</v>
      </c>
      <c r="D141" t="s">
        <v>171</v>
      </c>
      <c r="E141">
        <v>206</v>
      </c>
      <c r="F141" t="s">
        <v>167</v>
      </c>
      <c r="G141" t="s">
        <v>168</v>
      </c>
      <c r="I141" t="s">
        <v>130</v>
      </c>
      <c r="J141" t="s">
        <v>58</v>
      </c>
      <c r="K141" s="1">
        <v>45720</v>
      </c>
    </row>
    <row r="142" spans="1:11" x14ac:dyDescent="0.3">
      <c r="A142" t="s">
        <v>309</v>
      </c>
      <c r="B142" s="1">
        <v>45832</v>
      </c>
      <c r="C142" t="s">
        <v>22</v>
      </c>
      <c r="D142" t="s">
        <v>171</v>
      </c>
      <c r="E142">
        <v>316</v>
      </c>
      <c r="F142" t="s">
        <v>167</v>
      </c>
      <c r="G142" t="s">
        <v>168</v>
      </c>
      <c r="I142" t="s">
        <v>114</v>
      </c>
      <c r="J142" t="s">
        <v>61</v>
      </c>
      <c r="K142" s="1">
        <v>45658</v>
      </c>
    </row>
    <row r="143" spans="1:11" x14ac:dyDescent="0.3">
      <c r="A143" t="s">
        <v>310</v>
      </c>
      <c r="B143" s="1">
        <v>45671</v>
      </c>
      <c r="C143" t="s">
        <v>22</v>
      </c>
      <c r="D143" t="s">
        <v>166</v>
      </c>
      <c r="E143">
        <v>478</v>
      </c>
      <c r="F143" t="s">
        <v>167</v>
      </c>
      <c r="G143" t="s">
        <v>168</v>
      </c>
      <c r="I143" t="s">
        <v>116</v>
      </c>
      <c r="J143" t="s">
        <v>58</v>
      </c>
      <c r="K143" s="1">
        <v>45735</v>
      </c>
    </row>
    <row r="144" spans="1:11" x14ac:dyDescent="0.3">
      <c r="A144" t="s">
        <v>311</v>
      </c>
      <c r="B144" s="1">
        <v>45777</v>
      </c>
      <c r="C144" t="s">
        <v>18</v>
      </c>
      <c r="D144" t="s">
        <v>166</v>
      </c>
      <c r="E144">
        <v>670</v>
      </c>
      <c r="F144" t="s">
        <v>167</v>
      </c>
      <c r="G144" t="s">
        <v>168</v>
      </c>
      <c r="I144" t="s">
        <v>88</v>
      </c>
      <c r="J144" t="s">
        <v>61</v>
      </c>
      <c r="K144" s="1">
        <v>45764</v>
      </c>
    </row>
    <row r="145" spans="1:11" x14ac:dyDescent="0.3">
      <c r="A145" t="s">
        <v>312</v>
      </c>
      <c r="B145" s="1">
        <v>45761</v>
      </c>
      <c r="C145" t="s">
        <v>14</v>
      </c>
      <c r="D145" t="s">
        <v>171</v>
      </c>
      <c r="E145">
        <v>384</v>
      </c>
      <c r="F145" t="s">
        <v>167</v>
      </c>
      <c r="G145" t="s">
        <v>168</v>
      </c>
      <c r="I145" t="s">
        <v>118</v>
      </c>
      <c r="J145" t="s">
        <v>49</v>
      </c>
      <c r="K145" s="1">
        <v>45727</v>
      </c>
    </row>
    <row r="146" spans="1:11" x14ac:dyDescent="0.3">
      <c r="A146" t="s">
        <v>313</v>
      </c>
      <c r="B146" s="1">
        <v>45728</v>
      </c>
      <c r="C146" t="s">
        <v>22</v>
      </c>
      <c r="D146" t="s">
        <v>171</v>
      </c>
      <c r="E146">
        <v>275</v>
      </c>
      <c r="F146" t="s">
        <v>167</v>
      </c>
      <c r="G146" t="s">
        <v>168</v>
      </c>
      <c r="I146" t="s">
        <v>124</v>
      </c>
      <c r="J146" t="s">
        <v>55</v>
      </c>
      <c r="K146" s="1">
        <v>45733</v>
      </c>
    </row>
    <row r="147" spans="1:11" x14ac:dyDescent="0.3">
      <c r="A147" t="s">
        <v>314</v>
      </c>
      <c r="B147" s="1">
        <v>45736</v>
      </c>
      <c r="C147" t="s">
        <v>22</v>
      </c>
      <c r="D147" t="s">
        <v>171</v>
      </c>
      <c r="E147">
        <v>765</v>
      </c>
      <c r="F147" t="s">
        <v>167</v>
      </c>
      <c r="G147" t="s">
        <v>168</v>
      </c>
      <c r="I147" t="s">
        <v>146</v>
      </c>
      <c r="J147" t="s">
        <v>58</v>
      </c>
      <c r="K147" s="1">
        <v>45706</v>
      </c>
    </row>
    <row r="148" spans="1:11" x14ac:dyDescent="0.3">
      <c r="A148" t="s">
        <v>315</v>
      </c>
      <c r="B148" s="1">
        <v>45701</v>
      </c>
      <c r="C148" t="s">
        <v>18</v>
      </c>
      <c r="D148" t="s">
        <v>171</v>
      </c>
      <c r="E148">
        <v>755</v>
      </c>
      <c r="F148" t="s">
        <v>167</v>
      </c>
      <c r="G148" t="s">
        <v>168</v>
      </c>
      <c r="I148" t="s">
        <v>128</v>
      </c>
      <c r="J148" t="s">
        <v>67</v>
      </c>
      <c r="K148" s="1">
        <v>45771</v>
      </c>
    </row>
    <row r="149" spans="1:11" x14ac:dyDescent="0.3">
      <c r="A149" t="s">
        <v>316</v>
      </c>
      <c r="B149" s="1">
        <v>45702</v>
      </c>
      <c r="C149" t="s">
        <v>14</v>
      </c>
      <c r="D149" t="s">
        <v>171</v>
      </c>
      <c r="E149">
        <v>222</v>
      </c>
      <c r="F149" t="s">
        <v>167</v>
      </c>
      <c r="G149" t="s">
        <v>168</v>
      </c>
      <c r="I149" t="s">
        <v>134</v>
      </c>
      <c r="J149" t="s">
        <v>67</v>
      </c>
      <c r="K149" s="1">
        <v>45714</v>
      </c>
    </row>
    <row r="150" spans="1:11" x14ac:dyDescent="0.3">
      <c r="A150" t="s">
        <v>317</v>
      </c>
      <c r="B150" s="1">
        <v>45817</v>
      </c>
      <c r="C150" t="s">
        <v>26</v>
      </c>
      <c r="D150" t="s">
        <v>166</v>
      </c>
      <c r="E150">
        <v>767</v>
      </c>
      <c r="F150" t="s">
        <v>167</v>
      </c>
      <c r="G150" t="s">
        <v>168</v>
      </c>
      <c r="I150" t="s">
        <v>108</v>
      </c>
      <c r="J150" t="s">
        <v>52</v>
      </c>
      <c r="K150" s="1">
        <v>45776</v>
      </c>
    </row>
    <row r="151" spans="1:11" x14ac:dyDescent="0.3">
      <c r="A151" t="s">
        <v>318</v>
      </c>
      <c r="B151" s="1">
        <v>45674</v>
      </c>
      <c r="C151" t="s">
        <v>11</v>
      </c>
      <c r="D151" t="s">
        <v>166</v>
      </c>
      <c r="E151">
        <v>817</v>
      </c>
      <c r="F151" t="s">
        <v>167</v>
      </c>
      <c r="G151" t="s">
        <v>168</v>
      </c>
      <c r="I151" t="s">
        <v>114</v>
      </c>
      <c r="J151" t="s">
        <v>70</v>
      </c>
      <c r="K151" s="1">
        <v>45755</v>
      </c>
    </row>
    <row r="152" spans="1:11" x14ac:dyDescent="0.3">
      <c r="A152" t="s">
        <v>319</v>
      </c>
      <c r="B152" s="1">
        <v>45684</v>
      </c>
      <c r="C152" t="s">
        <v>18</v>
      </c>
      <c r="D152" t="s">
        <v>166</v>
      </c>
      <c r="E152">
        <v>963</v>
      </c>
      <c r="F152" t="s">
        <v>167</v>
      </c>
      <c r="G152" t="s">
        <v>168</v>
      </c>
      <c r="I152" t="s">
        <v>108</v>
      </c>
      <c r="J152" t="s">
        <v>67</v>
      </c>
      <c r="K152" s="1">
        <v>45695</v>
      </c>
    </row>
    <row r="153" spans="1:11" x14ac:dyDescent="0.3">
      <c r="A153" t="s">
        <v>320</v>
      </c>
      <c r="B153" s="1">
        <v>45813</v>
      </c>
      <c r="C153" t="s">
        <v>14</v>
      </c>
      <c r="D153" t="s">
        <v>166</v>
      </c>
      <c r="E153">
        <v>14</v>
      </c>
      <c r="F153" t="s">
        <v>167</v>
      </c>
      <c r="G153" t="s">
        <v>168</v>
      </c>
      <c r="I153" t="s">
        <v>140</v>
      </c>
      <c r="J153" t="s">
        <v>52</v>
      </c>
      <c r="K153" s="1">
        <v>45672</v>
      </c>
    </row>
    <row r="154" spans="1:11" x14ac:dyDescent="0.3">
      <c r="A154" t="s">
        <v>321</v>
      </c>
      <c r="B154" s="1">
        <v>45783</v>
      </c>
      <c r="C154" t="s">
        <v>33</v>
      </c>
      <c r="D154" t="s">
        <v>171</v>
      </c>
      <c r="E154">
        <v>625</v>
      </c>
      <c r="F154" t="s">
        <v>167</v>
      </c>
      <c r="G154" t="s">
        <v>168</v>
      </c>
      <c r="I154" t="s">
        <v>150</v>
      </c>
      <c r="J154" t="s">
        <v>67</v>
      </c>
      <c r="K154" s="1">
        <v>45771</v>
      </c>
    </row>
    <row r="155" spans="1:11" x14ac:dyDescent="0.3">
      <c r="A155" t="s">
        <v>322</v>
      </c>
      <c r="B155" s="1">
        <v>45659</v>
      </c>
      <c r="C155" t="s">
        <v>33</v>
      </c>
      <c r="D155" t="s">
        <v>166</v>
      </c>
      <c r="E155">
        <v>648</v>
      </c>
      <c r="F155" t="s">
        <v>167</v>
      </c>
      <c r="G155" t="s">
        <v>168</v>
      </c>
      <c r="I155" t="s">
        <v>100</v>
      </c>
      <c r="J155" t="s">
        <v>73</v>
      </c>
      <c r="K155" s="1">
        <v>45741</v>
      </c>
    </row>
    <row r="156" spans="1:11" x14ac:dyDescent="0.3">
      <c r="A156" t="s">
        <v>323</v>
      </c>
      <c r="B156" s="1">
        <v>45758</v>
      </c>
      <c r="C156" t="s">
        <v>6</v>
      </c>
      <c r="D156" t="s">
        <v>166</v>
      </c>
      <c r="E156">
        <v>553</v>
      </c>
      <c r="F156" t="s">
        <v>167</v>
      </c>
      <c r="G156" t="s">
        <v>168</v>
      </c>
      <c r="I156" t="s">
        <v>110</v>
      </c>
      <c r="J156" t="s">
        <v>58</v>
      </c>
      <c r="K156" s="1">
        <v>45694</v>
      </c>
    </row>
    <row r="157" spans="1:11" x14ac:dyDescent="0.3">
      <c r="A157" t="s">
        <v>324</v>
      </c>
      <c r="B157" s="1">
        <v>45805</v>
      </c>
      <c r="C157" t="s">
        <v>22</v>
      </c>
      <c r="D157" t="s">
        <v>166</v>
      </c>
      <c r="E157">
        <v>769</v>
      </c>
      <c r="F157" t="s">
        <v>167</v>
      </c>
      <c r="G157" t="s">
        <v>168</v>
      </c>
      <c r="I157" t="s">
        <v>102</v>
      </c>
      <c r="J157" t="s">
        <v>52</v>
      </c>
      <c r="K157" s="1">
        <v>45708</v>
      </c>
    </row>
    <row r="158" spans="1:11" x14ac:dyDescent="0.3">
      <c r="A158" t="s">
        <v>325</v>
      </c>
      <c r="B158" s="1">
        <v>45776</v>
      </c>
      <c r="C158" t="s">
        <v>26</v>
      </c>
      <c r="D158" t="s">
        <v>166</v>
      </c>
      <c r="E158">
        <v>719</v>
      </c>
      <c r="F158" t="s">
        <v>167</v>
      </c>
      <c r="G158" t="s">
        <v>168</v>
      </c>
      <c r="I158" t="s">
        <v>97</v>
      </c>
      <c r="J158" t="s">
        <v>76</v>
      </c>
      <c r="K158" s="1">
        <v>45775</v>
      </c>
    </row>
    <row r="159" spans="1:11" x14ac:dyDescent="0.3">
      <c r="A159" t="s">
        <v>326</v>
      </c>
      <c r="B159" s="1">
        <v>45828</v>
      </c>
      <c r="C159" t="s">
        <v>14</v>
      </c>
      <c r="D159" t="s">
        <v>166</v>
      </c>
      <c r="E159">
        <v>153</v>
      </c>
      <c r="F159" t="s">
        <v>167</v>
      </c>
      <c r="G159" t="s">
        <v>168</v>
      </c>
      <c r="I159" t="s">
        <v>112</v>
      </c>
      <c r="J159" t="s">
        <v>55</v>
      </c>
      <c r="K159" s="1">
        <v>45778</v>
      </c>
    </row>
    <row r="160" spans="1:11" x14ac:dyDescent="0.3">
      <c r="A160" t="s">
        <v>327</v>
      </c>
      <c r="B160" s="1">
        <v>45783</v>
      </c>
      <c r="C160" t="s">
        <v>18</v>
      </c>
      <c r="D160" t="s">
        <v>166</v>
      </c>
      <c r="E160">
        <v>366</v>
      </c>
      <c r="F160" t="s">
        <v>167</v>
      </c>
      <c r="G160" t="s">
        <v>168</v>
      </c>
      <c r="I160" t="s">
        <v>118</v>
      </c>
      <c r="J160" t="s">
        <v>73</v>
      </c>
      <c r="K160" s="1">
        <v>45659</v>
      </c>
    </row>
    <row r="161" spans="1:11" x14ac:dyDescent="0.3">
      <c r="A161" t="s">
        <v>328</v>
      </c>
      <c r="B161" s="1">
        <v>45764</v>
      </c>
      <c r="C161" t="s">
        <v>26</v>
      </c>
      <c r="D161" t="s">
        <v>166</v>
      </c>
      <c r="E161">
        <v>624</v>
      </c>
      <c r="F161" t="s">
        <v>167</v>
      </c>
      <c r="G161" t="s">
        <v>168</v>
      </c>
      <c r="I161" t="s">
        <v>118</v>
      </c>
      <c r="J161" t="s">
        <v>64</v>
      </c>
      <c r="K161" s="1">
        <v>45785</v>
      </c>
    </row>
    <row r="162" spans="1:11" x14ac:dyDescent="0.3">
      <c r="A162" t="s">
        <v>329</v>
      </c>
      <c r="B162" s="1">
        <v>45702</v>
      </c>
      <c r="C162" t="s">
        <v>11</v>
      </c>
      <c r="D162" t="s">
        <v>166</v>
      </c>
      <c r="E162">
        <v>80</v>
      </c>
      <c r="F162" t="s">
        <v>167</v>
      </c>
      <c r="G162" t="s">
        <v>168</v>
      </c>
      <c r="I162" t="s">
        <v>97</v>
      </c>
      <c r="J162" t="s">
        <v>73</v>
      </c>
      <c r="K162" s="1">
        <v>45671</v>
      </c>
    </row>
    <row r="163" spans="1:11" x14ac:dyDescent="0.3">
      <c r="A163" t="s">
        <v>330</v>
      </c>
      <c r="B163" s="1">
        <v>45664</v>
      </c>
      <c r="C163" t="s">
        <v>26</v>
      </c>
      <c r="D163" t="s">
        <v>166</v>
      </c>
      <c r="E163">
        <v>230</v>
      </c>
      <c r="F163" t="s">
        <v>167</v>
      </c>
      <c r="G163" t="s">
        <v>168</v>
      </c>
      <c r="I163" t="s">
        <v>114</v>
      </c>
      <c r="J163" t="s">
        <v>52</v>
      </c>
      <c r="K163" s="1">
        <v>45764</v>
      </c>
    </row>
    <row r="164" spans="1:11" x14ac:dyDescent="0.3">
      <c r="A164" t="s">
        <v>331</v>
      </c>
      <c r="B164" s="1">
        <v>45790</v>
      </c>
      <c r="C164" t="s">
        <v>22</v>
      </c>
      <c r="D164" t="s">
        <v>171</v>
      </c>
      <c r="E164">
        <v>923</v>
      </c>
      <c r="F164" t="s">
        <v>167</v>
      </c>
      <c r="G164" t="s">
        <v>168</v>
      </c>
      <c r="I164" t="s">
        <v>122</v>
      </c>
      <c r="J164" t="s">
        <v>52</v>
      </c>
      <c r="K164" s="1">
        <v>45824</v>
      </c>
    </row>
    <row r="165" spans="1:11" x14ac:dyDescent="0.3">
      <c r="A165" t="s">
        <v>332</v>
      </c>
      <c r="B165" s="1">
        <v>45742</v>
      </c>
      <c r="C165" t="s">
        <v>26</v>
      </c>
      <c r="D165" t="s">
        <v>166</v>
      </c>
      <c r="E165">
        <v>318</v>
      </c>
      <c r="F165" t="s">
        <v>167</v>
      </c>
      <c r="G165" t="s">
        <v>168</v>
      </c>
      <c r="I165" t="s">
        <v>104</v>
      </c>
      <c r="J165" t="s">
        <v>67</v>
      </c>
      <c r="K165" s="1">
        <v>45715</v>
      </c>
    </row>
    <row r="166" spans="1:11" x14ac:dyDescent="0.3">
      <c r="A166" t="s">
        <v>333</v>
      </c>
      <c r="B166" s="1">
        <v>45663</v>
      </c>
      <c r="C166" t="s">
        <v>33</v>
      </c>
      <c r="D166" t="s">
        <v>166</v>
      </c>
      <c r="E166">
        <v>870</v>
      </c>
      <c r="F166" t="s">
        <v>167</v>
      </c>
      <c r="G166" t="s">
        <v>168</v>
      </c>
      <c r="I166" t="s">
        <v>116</v>
      </c>
      <c r="J166" t="s">
        <v>64</v>
      </c>
      <c r="K166" s="1">
        <v>45751</v>
      </c>
    </row>
    <row r="167" spans="1:11" x14ac:dyDescent="0.3">
      <c r="A167" t="s">
        <v>334</v>
      </c>
      <c r="B167" s="1">
        <v>45658</v>
      </c>
      <c r="C167" t="s">
        <v>26</v>
      </c>
      <c r="D167" t="s">
        <v>171</v>
      </c>
      <c r="E167">
        <v>176</v>
      </c>
      <c r="F167" t="s">
        <v>167</v>
      </c>
      <c r="G167" t="s">
        <v>168</v>
      </c>
      <c r="I167" t="s">
        <v>136</v>
      </c>
      <c r="J167" t="s">
        <v>64</v>
      </c>
      <c r="K167" s="1">
        <v>45734</v>
      </c>
    </row>
    <row r="168" spans="1:11" x14ac:dyDescent="0.3">
      <c r="A168" t="s">
        <v>335</v>
      </c>
      <c r="B168" s="1">
        <v>45783</v>
      </c>
      <c r="C168" t="s">
        <v>18</v>
      </c>
      <c r="D168" t="s">
        <v>171</v>
      </c>
      <c r="E168">
        <v>570</v>
      </c>
      <c r="F168" t="s">
        <v>167</v>
      </c>
      <c r="G168" t="s">
        <v>168</v>
      </c>
      <c r="I168" t="s">
        <v>102</v>
      </c>
      <c r="J168" t="s">
        <v>70</v>
      </c>
      <c r="K168" s="1">
        <v>45699</v>
      </c>
    </row>
    <row r="169" spans="1:11" x14ac:dyDescent="0.3">
      <c r="A169" t="s">
        <v>336</v>
      </c>
      <c r="B169" s="1">
        <v>45726</v>
      </c>
      <c r="C169" t="s">
        <v>11</v>
      </c>
      <c r="D169" t="s">
        <v>166</v>
      </c>
      <c r="E169">
        <v>481</v>
      </c>
      <c r="F169" t="s">
        <v>167</v>
      </c>
      <c r="G169" t="s">
        <v>168</v>
      </c>
      <c r="I169" t="s">
        <v>120</v>
      </c>
      <c r="J169" t="s">
        <v>73</v>
      </c>
      <c r="K169" s="1">
        <v>45728</v>
      </c>
    </row>
    <row r="170" spans="1:11" x14ac:dyDescent="0.3">
      <c r="A170" t="s">
        <v>337</v>
      </c>
      <c r="B170" s="1">
        <v>45831</v>
      </c>
      <c r="C170" t="s">
        <v>33</v>
      </c>
      <c r="D170" t="s">
        <v>166</v>
      </c>
      <c r="E170">
        <v>483</v>
      </c>
      <c r="F170" t="s">
        <v>167</v>
      </c>
      <c r="G170" t="s">
        <v>168</v>
      </c>
      <c r="I170" t="s">
        <v>122</v>
      </c>
      <c r="J170" t="s">
        <v>64</v>
      </c>
      <c r="K170" s="1">
        <v>45791</v>
      </c>
    </row>
    <row r="171" spans="1:11" x14ac:dyDescent="0.3">
      <c r="A171" t="s">
        <v>338</v>
      </c>
      <c r="B171" s="1">
        <v>45814</v>
      </c>
      <c r="C171" t="s">
        <v>14</v>
      </c>
      <c r="D171" t="s">
        <v>171</v>
      </c>
      <c r="E171">
        <v>863</v>
      </c>
      <c r="F171" t="s">
        <v>167</v>
      </c>
      <c r="G171" t="s">
        <v>168</v>
      </c>
      <c r="I171" t="s">
        <v>148</v>
      </c>
      <c r="J171" t="s">
        <v>61</v>
      </c>
      <c r="K171" s="1">
        <v>45680</v>
      </c>
    </row>
    <row r="172" spans="1:11" x14ac:dyDescent="0.3">
      <c r="A172" t="s">
        <v>339</v>
      </c>
      <c r="B172" s="1">
        <v>45735</v>
      </c>
      <c r="C172" t="s">
        <v>11</v>
      </c>
      <c r="D172" t="s">
        <v>166</v>
      </c>
      <c r="E172">
        <v>717</v>
      </c>
      <c r="F172" t="s">
        <v>167</v>
      </c>
      <c r="G172" t="s">
        <v>168</v>
      </c>
      <c r="I172" t="s">
        <v>118</v>
      </c>
      <c r="J172" t="s">
        <v>58</v>
      </c>
      <c r="K172" s="1">
        <v>45790</v>
      </c>
    </row>
    <row r="173" spans="1:11" x14ac:dyDescent="0.3">
      <c r="A173" t="s">
        <v>340</v>
      </c>
      <c r="B173" s="1">
        <v>45679</v>
      </c>
      <c r="C173" t="s">
        <v>6</v>
      </c>
      <c r="D173" t="s">
        <v>171</v>
      </c>
      <c r="E173">
        <v>174</v>
      </c>
      <c r="F173" t="s">
        <v>167</v>
      </c>
      <c r="G173" t="s">
        <v>168</v>
      </c>
      <c r="I173" t="s">
        <v>148</v>
      </c>
      <c r="J173" t="s">
        <v>64</v>
      </c>
      <c r="K173" s="1">
        <v>45691</v>
      </c>
    </row>
    <row r="174" spans="1:11" x14ac:dyDescent="0.3">
      <c r="A174" t="s">
        <v>341</v>
      </c>
      <c r="B174" s="1">
        <v>45720</v>
      </c>
      <c r="C174" t="s">
        <v>22</v>
      </c>
      <c r="D174" t="s">
        <v>171</v>
      </c>
      <c r="E174">
        <v>411</v>
      </c>
      <c r="F174" t="s">
        <v>167</v>
      </c>
      <c r="G174" t="s">
        <v>168</v>
      </c>
      <c r="I174" t="s">
        <v>140</v>
      </c>
      <c r="J174" t="s">
        <v>76</v>
      </c>
      <c r="K174" s="1">
        <v>45825</v>
      </c>
    </row>
    <row r="175" spans="1:11" x14ac:dyDescent="0.3">
      <c r="A175" t="s">
        <v>342</v>
      </c>
      <c r="B175" s="1">
        <v>45820</v>
      </c>
      <c r="C175" t="s">
        <v>6</v>
      </c>
      <c r="D175" t="s">
        <v>166</v>
      </c>
      <c r="E175">
        <v>589</v>
      </c>
      <c r="F175" t="s">
        <v>167</v>
      </c>
      <c r="G175" t="s">
        <v>168</v>
      </c>
      <c r="I175" t="s">
        <v>132</v>
      </c>
      <c r="J175" t="s">
        <v>76</v>
      </c>
      <c r="K175" s="1">
        <v>45792</v>
      </c>
    </row>
    <row r="176" spans="1:11" x14ac:dyDescent="0.3">
      <c r="A176" t="s">
        <v>343</v>
      </c>
      <c r="B176" s="1">
        <v>45715</v>
      </c>
      <c r="C176" t="s">
        <v>22</v>
      </c>
      <c r="D176" t="s">
        <v>166</v>
      </c>
      <c r="E176">
        <v>306</v>
      </c>
      <c r="F176" t="s">
        <v>167</v>
      </c>
      <c r="G176" t="s">
        <v>168</v>
      </c>
      <c r="I176" t="s">
        <v>108</v>
      </c>
      <c r="J176" t="s">
        <v>61</v>
      </c>
      <c r="K176" s="1">
        <v>45785</v>
      </c>
    </row>
    <row r="177" spans="1:11" x14ac:dyDescent="0.3">
      <c r="A177" t="s">
        <v>344</v>
      </c>
      <c r="B177" s="1">
        <v>45765</v>
      </c>
      <c r="C177" t="s">
        <v>6</v>
      </c>
      <c r="D177" t="s">
        <v>166</v>
      </c>
      <c r="E177">
        <v>94</v>
      </c>
      <c r="F177" t="s">
        <v>167</v>
      </c>
      <c r="G177" t="s">
        <v>168</v>
      </c>
      <c r="I177" t="s">
        <v>128</v>
      </c>
      <c r="J177" t="s">
        <v>73</v>
      </c>
      <c r="K177" s="1">
        <v>45793</v>
      </c>
    </row>
    <row r="178" spans="1:11" x14ac:dyDescent="0.3">
      <c r="A178" t="s">
        <v>345</v>
      </c>
      <c r="B178" s="1">
        <v>45743</v>
      </c>
      <c r="C178" t="s">
        <v>22</v>
      </c>
      <c r="D178" t="s">
        <v>171</v>
      </c>
      <c r="E178">
        <v>488</v>
      </c>
      <c r="F178" t="s">
        <v>167</v>
      </c>
      <c r="G178" t="s">
        <v>168</v>
      </c>
      <c r="I178" t="s">
        <v>91</v>
      </c>
      <c r="J178" t="s">
        <v>55</v>
      </c>
      <c r="K178" s="1">
        <v>45765</v>
      </c>
    </row>
    <row r="179" spans="1:11" x14ac:dyDescent="0.3">
      <c r="A179" t="s">
        <v>346</v>
      </c>
      <c r="B179" s="1">
        <v>45765</v>
      </c>
      <c r="C179" t="s">
        <v>18</v>
      </c>
      <c r="D179" t="s">
        <v>171</v>
      </c>
      <c r="E179">
        <v>618</v>
      </c>
      <c r="F179" t="s">
        <v>167</v>
      </c>
      <c r="G179" t="s">
        <v>168</v>
      </c>
      <c r="I179" t="s">
        <v>120</v>
      </c>
      <c r="J179" t="s">
        <v>55</v>
      </c>
      <c r="K179" s="1">
        <v>45674</v>
      </c>
    </row>
    <row r="180" spans="1:11" x14ac:dyDescent="0.3">
      <c r="A180" t="s">
        <v>347</v>
      </c>
      <c r="B180" s="1">
        <v>45671</v>
      </c>
      <c r="C180" t="s">
        <v>6</v>
      </c>
      <c r="D180" t="s">
        <v>171</v>
      </c>
      <c r="E180">
        <v>104</v>
      </c>
      <c r="F180" t="s">
        <v>167</v>
      </c>
      <c r="G180" t="s">
        <v>168</v>
      </c>
      <c r="I180" t="s">
        <v>150</v>
      </c>
      <c r="J180" t="s">
        <v>52</v>
      </c>
      <c r="K180" s="1">
        <v>45716</v>
      </c>
    </row>
    <row r="181" spans="1:11" x14ac:dyDescent="0.3">
      <c r="A181" t="s">
        <v>348</v>
      </c>
      <c r="B181" s="1">
        <v>45664</v>
      </c>
      <c r="C181" t="s">
        <v>18</v>
      </c>
      <c r="D181" t="s">
        <v>171</v>
      </c>
      <c r="E181">
        <v>641</v>
      </c>
      <c r="F181" t="s">
        <v>167</v>
      </c>
      <c r="G181" t="s">
        <v>168</v>
      </c>
      <c r="I181" t="s">
        <v>114</v>
      </c>
      <c r="J181" t="s">
        <v>49</v>
      </c>
      <c r="K181" s="1">
        <v>45671</v>
      </c>
    </row>
    <row r="182" spans="1:11" x14ac:dyDescent="0.3">
      <c r="A182" t="s">
        <v>349</v>
      </c>
      <c r="B182" s="1">
        <v>45792</v>
      </c>
      <c r="C182" t="s">
        <v>33</v>
      </c>
      <c r="D182" t="s">
        <v>171</v>
      </c>
      <c r="E182">
        <v>202</v>
      </c>
      <c r="F182" t="s">
        <v>167</v>
      </c>
      <c r="G182" t="s">
        <v>168</v>
      </c>
      <c r="I182" t="s">
        <v>110</v>
      </c>
      <c r="J182" t="s">
        <v>70</v>
      </c>
      <c r="K182" s="1">
        <v>45758</v>
      </c>
    </row>
    <row r="183" spans="1:11" x14ac:dyDescent="0.3">
      <c r="A183" t="s">
        <v>350</v>
      </c>
      <c r="B183" s="1">
        <v>45734</v>
      </c>
      <c r="C183" t="s">
        <v>33</v>
      </c>
      <c r="D183" t="s">
        <v>166</v>
      </c>
      <c r="E183">
        <v>989</v>
      </c>
      <c r="F183" t="s">
        <v>167</v>
      </c>
      <c r="G183" t="s">
        <v>168</v>
      </c>
      <c r="I183" t="s">
        <v>108</v>
      </c>
      <c r="J183" t="s">
        <v>49</v>
      </c>
      <c r="K183" s="1">
        <v>45819</v>
      </c>
    </row>
    <row r="184" spans="1:11" x14ac:dyDescent="0.3">
      <c r="A184" t="s">
        <v>351</v>
      </c>
      <c r="B184" s="1">
        <v>45818</v>
      </c>
      <c r="C184" t="s">
        <v>26</v>
      </c>
      <c r="D184" t="s">
        <v>166</v>
      </c>
      <c r="E184">
        <v>382</v>
      </c>
      <c r="F184" t="s">
        <v>167</v>
      </c>
      <c r="G184" t="s">
        <v>168</v>
      </c>
      <c r="I184" t="s">
        <v>150</v>
      </c>
      <c r="J184" t="s">
        <v>64</v>
      </c>
      <c r="K184" s="1">
        <v>45734</v>
      </c>
    </row>
    <row r="185" spans="1:11" x14ac:dyDescent="0.3">
      <c r="A185" t="s">
        <v>352</v>
      </c>
      <c r="B185" s="1">
        <v>45715</v>
      </c>
      <c r="C185" t="s">
        <v>14</v>
      </c>
      <c r="D185" t="s">
        <v>166</v>
      </c>
      <c r="E185">
        <v>51</v>
      </c>
      <c r="F185" t="s">
        <v>167</v>
      </c>
      <c r="G185" t="s">
        <v>168</v>
      </c>
      <c r="I185" t="s">
        <v>102</v>
      </c>
      <c r="J185" t="s">
        <v>58</v>
      </c>
      <c r="K185" s="1">
        <v>45687</v>
      </c>
    </row>
    <row r="186" spans="1:11" x14ac:dyDescent="0.3">
      <c r="A186" t="s">
        <v>353</v>
      </c>
      <c r="B186" s="1">
        <v>45744</v>
      </c>
      <c r="C186" t="s">
        <v>18</v>
      </c>
      <c r="D186" t="s">
        <v>171</v>
      </c>
      <c r="E186">
        <v>583</v>
      </c>
      <c r="F186" t="s">
        <v>167</v>
      </c>
      <c r="G186" t="s">
        <v>168</v>
      </c>
      <c r="I186" t="s">
        <v>150</v>
      </c>
      <c r="J186" t="s">
        <v>70</v>
      </c>
      <c r="K186" s="1">
        <v>45708</v>
      </c>
    </row>
    <row r="187" spans="1:11" x14ac:dyDescent="0.3">
      <c r="A187" t="s">
        <v>354</v>
      </c>
      <c r="B187" s="1">
        <v>45707</v>
      </c>
      <c r="C187" t="s">
        <v>6</v>
      </c>
      <c r="D187" t="s">
        <v>171</v>
      </c>
      <c r="E187">
        <v>433</v>
      </c>
      <c r="F187" t="s">
        <v>167</v>
      </c>
      <c r="G187" t="s">
        <v>168</v>
      </c>
      <c r="I187" t="s">
        <v>148</v>
      </c>
      <c r="J187" t="s">
        <v>55</v>
      </c>
      <c r="K187" s="1">
        <v>45670</v>
      </c>
    </row>
    <row r="188" spans="1:11" x14ac:dyDescent="0.3">
      <c r="A188" t="s">
        <v>355</v>
      </c>
      <c r="B188" s="1">
        <v>45698</v>
      </c>
      <c r="C188" t="s">
        <v>33</v>
      </c>
      <c r="D188" t="s">
        <v>166</v>
      </c>
      <c r="E188">
        <v>978</v>
      </c>
      <c r="F188" t="s">
        <v>167</v>
      </c>
      <c r="G188" t="s">
        <v>168</v>
      </c>
      <c r="I188" t="s">
        <v>112</v>
      </c>
      <c r="J188" t="s">
        <v>52</v>
      </c>
      <c r="K188" s="1">
        <v>45671</v>
      </c>
    </row>
    <row r="189" spans="1:11" x14ac:dyDescent="0.3">
      <c r="A189" t="s">
        <v>356</v>
      </c>
      <c r="B189" s="1">
        <v>45699</v>
      </c>
      <c r="C189" t="s">
        <v>18</v>
      </c>
      <c r="D189" t="s">
        <v>166</v>
      </c>
      <c r="E189">
        <v>353</v>
      </c>
      <c r="F189" t="s">
        <v>167</v>
      </c>
      <c r="G189" t="s">
        <v>168</v>
      </c>
      <c r="I189" t="s">
        <v>88</v>
      </c>
      <c r="J189" t="s">
        <v>64</v>
      </c>
      <c r="K189" s="1">
        <v>45667</v>
      </c>
    </row>
    <row r="190" spans="1:11" x14ac:dyDescent="0.3">
      <c r="A190" t="s">
        <v>357</v>
      </c>
      <c r="B190" s="1">
        <v>45694</v>
      </c>
      <c r="C190" t="s">
        <v>29</v>
      </c>
      <c r="D190" t="s">
        <v>166</v>
      </c>
      <c r="E190">
        <v>220</v>
      </c>
      <c r="F190" t="s">
        <v>167</v>
      </c>
      <c r="G190" t="s">
        <v>168</v>
      </c>
      <c r="I190" t="s">
        <v>136</v>
      </c>
      <c r="J190" t="s">
        <v>61</v>
      </c>
      <c r="K190" s="1">
        <v>45824</v>
      </c>
    </row>
    <row r="191" spans="1:11" x14ac:dyDescent="0.3">
      <c r="A191" t="s">
        <v>358</v>
      </c>
      <c r="B191" s="1">
        <v>45740</v>
      </c>
      <c r="C191" t="s">
        <v>22</v>
      </c>
      <c r="D191" t="s">
        <v>166</v>
      </c>
      <c r="E191">
        <v>105</v>
      </c>
      <c r="F191" t="s">
        <v>167</v>
      </c>
      <c r="G191" t="s">
        <v>168</v>
      </c>
      <c r="I191" t="s">
        <v>120</v>
      </c>
      <c r="J191" t="s">
        <v>58</v>
      </c>
      <c r="K191" s="1">
        <v>45806</v>
      </c>
    </row>
    <row r="192" spans="1:11" x14ac:dyDescent="0.3">
      <c r="A192" t="s">
        <v>359</v>
      </c>
      <c r="B192" s="1">
        <v>45694</v>
      </c>
      <c r="C192" t="s">
        <v>29</v>
      </c>
      <c r="D192" t="s">
        <v>171</v>
      </c>
      <c r="E192">
        <v>741</v>
      </c>
      <c r="F192" t="s">
        <v>167</v>
      </c>
      <c r="G192" t="s">
        <v>168</v>
      </c>
      <c r="I192" t="s">
        <v>128</v>
      </c>
      <c r="J192" t="s">
        <v>76</v>
      </c>
      <c r="K192" s="1">
        <v>45720</v>
      </c>
    </row>
    <row r="193" spans="1:11" x14ac:dyDescent="0.3">
      <c r="A193" t="s">
        <v>360</v>
      </c>
      <c r="B193" s="1">
        <v>45709</v>
      </c>
      <c r="C193" t="s">
        <v>22</v>
      </c>
      <c r="D193" t="s">
        <v>166</v>
      </c>
      <c r="E193">
        <v>964</v>
      </c>
      <c r="F193" t="s">
        <v>167</v>
      </c>
      <c r="G193" t="s">
        <v>168</v>
      </c>
      <c r="I193" t="s">
        <v>102</v>
      </c>
      <c r="J193" t="s">
        <v>58</v>
      </c>
      <c r="K193" s="1">
        <v>45806</v>
      </c>
    </row>
    <row r="194" spans="1:11" x14ac:dyDescent="0.3">
      <c r="A194" t="s">
        <v>361</v>
      </c>
      <c r="B194" s="1">
        <v>45706</v>
      </c>
      <c r="C194" t="s">
        <v>11</v>
      </c>
      <c r="D194" t="s">
        <v>171</v>
      </c>
      <c r="E194">
        <v>603</v>
      </c>
      <c r="F194" t="s">
        <v>167</v>
      </c>
      <c r="G194" t="s">
        <v>168</v>
      </c>
      <c r="I194" t="s">
        <v>136</v>
      </c>
      <c r="J194" t="s">
        <v>76</v>
      </c>
      <c r="K194" s="1">
        <v>45749</v>
      </c>
    </row>
    <row r="195" spans="1:11" x14ac:dyDescent="0.3">
      <c r="A195" t="s">
        <v>362</v>
      </c>
      <c r="B195" s="1">
        <v>45688</v>
      </c>
      <c r="C195" t="s">
        <v>22</v>
      </c>
      <c r="D195" t="s">
        <v>166</v>
      </c>
      <c r="E195">
        <v>825</v>
      </c>
      <c r="F195" t="s">
        <v>167</v>
      </c>
      <c r="G195" t="s">
        <v>168</v>
      </c>
      <c r="I195" t="s">
        <v>124</v>
      </c>
      <c r="J195" t="s">
        <v>70</v>
      </c>
      <c r="K195" s="1">
        <v>45719</v>
      </c>
    </row>
    <row r="196" spans="1:11" x14ac:dyDescent="0.3">
      <c r="A196" t="s">
        <v>363</v>
      </c>
      <c r="B196" s="1">
        <v>45790</v>
      </c>
      <c r="C196" t="s">
        <v>6</v>
      </c>
      <c r="D196" t="s">
        <v>171</v>
      </c>
      <c r="E196">
        <v>149</v>
      </c>
      <c r="F196" t="s">
        <v>167</v>
      </c>
      <c r="G196" t="s">
        <v>168</v>
      </c>
      <c r="I196" t="s">
        <v>112</v>
      </c>
      <c r="J196" t="s">
        <v>52</v>
      </c>
      <c r="K196" s="1">
        <v>45824</v>
      </c>
    </row>
    <row r="197" spans="1:11" x14ac:dyDescent="0.3">
      <c r="A197" t="s">
        <v>364</v>
      </c>
      <c r="B197" s="1">
        <v>45761</v>
      </c>
      <c r="C197" t="s">
        <v>26</v>
      </c>
      <c r="D197" t="s">
        <v>171</v>
      </c>
      <c r="E197">
        <v>472</v>
      </c>
      <c r="F197" t="s">
        <v>167</v>
      </c>
      <c r="G197" t="s">
        <v>168</v>
      </c>
      <c r="I197" t="s">
        <v>134</v>
      </c>
      <c r="J197" t="s">
        <v>49</v>
      </c>
      <c r="K197" s="1">
        <v>45733</v>
      </c>
    </row>
    <row r="198" spans="1:11" x14ac:dyDescent="0.3">
      <c r="A198" t="s">
        <v>365</v>
      </c>
      <c r="B198" s="1">
        <v>45714</v>
      </c>
      <c r="C198" t="s">
        <v>22</v>
      </c>
      <c r="D198" t="s">
        <v>166</v>
      </c>
      <c r="E198">
        <v>488</v>
      </c>
      <c r="F198" t="s">
        <v>167</v>
      </c>
      <c r="G198" t="s">
        <v>168</v>
      </c>
      <c r="I198" t="s">
        <v>134</v>
      </c>
      <c r="J198" t="s">
        <v>49</v>
      </c>
      <c r="K198" s="1">
        <v>45832</v>
      </c>
    </row>
    <row r="199" spans="1:11" x14ac:dyDescent="0.3">
      <c r="A199" t="s">
        <v>366</v>
      </c>
      <c r="B199" s="1">
        <v>45833</v>
      </c>
      <c r="C199" t="s">
        <v>18</v>
      </c>
      <c r="D199" t="s">
        <v>166</v>
      </c>
      <c r="E199">
        <v>427</v>
      </c>
      <c r="F199" t="s">
        <v>167</v>
      </c>
      <c r="G199" t="s">
        <v>168</v>
      </c>
      <c r="I199" t="s">
        <v>100</v>
      </c>
      <c r="J199" t="s">
        <v>61</v>
      </c>
      <c r="K199" s="1">
        <v>45701</v>
      </c>
    </row>
    <row r="200" spans="1:11" x14ac:dyDescent="0.3">
      <c r="A200" t="s">
        <v>367</v>
      </c>
      <c r="B200" s="1">
        <v>45660</v>
      </c>
      <c r="C200" t="s">
        <v>22</v>
      </c>
      <c r="D200" t="s">
        <v>171</v>
      </c>
      <c r="E200">
        <v>223</v>
      </c>
      <c r="F200" t="s">
        <v>167</v>
      </c>
      <c r="G200" t="s">
        <v>168</v>
      </c>
      <c r="I200" t="s">
        <v>110</v>
      </c>
      <c r="J200" t="s">
        <v>61</v>
      </c>
      <c r="K200" s="1">
        <v>45734</v>
      </c>
    </row>
    <row r="201" spans="1:11" x14ac:dyDescent="0.3">
      <c r="A201" t="s">
        <v>368</v>
      </c>
      <c r="B201" s="1">
        <v>45749</v>
      </c>
      <c r="C201" t="s">
        <v>29</v>
      </c>
      <c r="D201" t="s">
        <v>166</v>
      </c>
      <c r="E201">
        <v>13</v>
      </c>
      <c r="F201" t="s">
        <v>167</v>
      </c>
      <c r="G201" t="s">
        <v>168</v>
      </c>
      <c r="I201" t="s">
        <v>110</v>
      </c>
      <c r="J201" t="s">
        <v>49</v>
      </c>
      <c r="K201" s="1">
        <v>45748</v>
      </c>
    </row>
    <row r="202" spans="1:11" x14ac:dyDescent="0.3">
      <c r="A202" t="s">
        <v>369</v>
      </c>
      <c r="B202" s="1">
        <v>45686</v>
      </c>
      <c r="C202" t="s">
        <v>33</v>
      </c>
      <c r="D202" t="s">
        <v>166</v>
      </c>
      <c r="E202">
        <v>545</v>
      </c>
      <c r="F202" t="s">
        <v>167</v>
      </c>
      <c r="G202" t="s">
        <v>168</v>
      </c>
      <c r="I202" t="s">
        <v>118</v>
      </c>
      <c r="J202" t="s">
        <v>70</v>
      </c>
      <c r="K202" s="1">
        <v>45735</v>
      </c>
    </row>
    <row r="203" spans="1:11" x14ac:dyDescent="0.3">
      <c r="A203" t="s">
        <v>370</v>
      </c>
      <c r="B203" s="1">
        <v>45721</v>
      </c>
      <c r="C203" t="s">
        <v>6</v>
      </c>
      <c r="D203" t="s">
        <v>166</v>
      </c>
      <c r="E203">
        <v>855</v>
      </c>
      <c r="F203" t="s">
        <v>167</v>
      </c>
      <c r="G203" t="s">
        <v>168</v>
      </c>
      <c r="I203" t="s">
        <v>114</v>
      </c>
      <c r="J203" t="s">
        <v>70</v>
      </c>
      <c r="K203" s="1">
        <v>45755</v>
      </c>
    </row>
    <row r="204" spans="1:11" x14ac:dyDescent="0.3">
      <c r="A204" t="s">
        <v>371</v>
      </c>
      <c r="B204" s="1">
        <v>45770</v>
      </c>
      <c r="C204" t="s">
        <v>18</v>
      </c>
      <c r="D204" t="s">
        <v>166</v>
      </c>
      <c r="E204">
        <v>779</v>
      </c>
      <c r="F204" t="s">
        <v>167</v>
      </c>
      <c r="G204" t="s">
        <v>168</v>
      </c>
      <c r="I204" t="s">
        <v>91</v>
      </c>
      <c r="J204" t="s">
        <v>73</v>
      </c>
      <c r="K204" s="1">
        <v>45831</v>
      </c>
    </row>
    <row r="205" spans="1:11" x14ac:dyDescent="0.3">
      <c r="A205" t="s">
        <v>372</v>
      </c>
      <c r="B205" s="1">
        <v>45806</v>
      </c>
      <c r="C205" t="s">
        <v>33</v>
      </c>
      <c r="D205" t="s">
        <v>166</v>
      </c>
      <c r="E205">
        <v>448</v>
      </c>
      <c r="F205" t="s">
        <v>167</v>
      </c>
      <c r="G205" t="s">
        <v>168</v>
      </c>
      <c r="I205" t="s">
        <v>130</v>
      </c>
      <c r="J205" t="s">
        <v>55</v>
      </c>
      <c r="K205" s="1">
        <v>45688</v>
      </c>
    </row>
    <row r="206" spans="1:11" x14ac:dyDescent="0.3">
      <c r="A206" t="s">
        <v>373</v>
      </c>
      <c r="B206" s="1">
        <v>45800</v>
      </c>
      <c r="C206" t="s">
        <v>6</v>
      </c>
      <c r="D206" t="s">
        <v>166</v>
      </c>
      <c r="E206">
        <v>560</v>
      </c>
      <c r="F206" t="s">
        <v>167</v>
      </c>
      <c r="G206" t="s">
        <v>168</v>
      </c>
      <c r="I206" t="s">
        <v>106</v>
      </c>
      <c r="J206" t="s">
        <v>67</v>
      </c>
      <c r="K206" s="1">
        <v>45750</v>
      </c>
    </row>
    <row r="207" spans="1:11" x14ac:dyDescent="0.3">
      <c r="A207" t="s">
        <v>374</v>
      </c>
      <c r="B207" s="1">
        <v>45664</v>
      </c>
      <c r="C207" t="s">
        <v>6</v>
      </c>
      <c r="D207" t="s">
        <v>171</v>
      </c>
      <c r="E207">
        <v>739</v>
      </c>
      <c r="F207" t="s">
        <v>167</v>
      </c>
      <c r="G207" t="s">
        <v>168</v>
      </c>
      <c r="I207" t="s">
        <v>122</v>
      </c>
      <c r="J207" t="s">
        <v>55</v>
      </c>
      <c r="K207" s="1">
        <v>45672</v>
      </c>
    </row>
    <row r="208" spans="1:11" x14ac:dyDescent="0.3">
      <c r="A208" t="s">
        <v>375</v>
      </c>
      <c r="B208" s="1">
        <v>45700</v>
      </c>
      <c r="C208" t="s">
        <v>22</v>
      </c>
      <c r="D208" t="s">
        <v>171</v>
      </c>
      <c r="E208">
        <v>596</v>
      </c>
      <c r="F208" t="s">
        <v>167</v>
      </c>
      <c r="G208" t="s">
        <v>168</v>
      </c>
      <c r="I208" t="s">
        <v>136</v>
      </c>
      <c r="J208" t="s">
        <v>52</v>
      </c>
      <c r="K208" s="1">
        <v>45756</v>
      </c>
    </row>
    <row r="209" spans="1:11" x14ac:dyDescent="0.3">
      <c r="A209" t="s">
        <v>376</v>
      </c>
      <c r="B209" s="1">
        <v>45712</v>
      </c>
      <c r="C209" t="s">
        <v>18</v>
      </c>
      <c r="D209" t="s">
        <v>171</v>
      </c>
      <c r="E209">
        <v>666</v>
      </c>
      <c r="F209" t="s">
        <v>167</v>
      </c>
      <c r="G209" t="s">
        <v>168</v>
      </c>
      <c r="I209" t="s">
        <v>106</v>
      </c>
      <c r="J209" t="s">
        <v>52</v>
      </c>
      <c r="K209" s="1">
        <v>45796</v>
      </c>
    </row>
    <row r="210" spans="1:11" x14ac:dyDescent="0.3">
      <c r="A210" t="s">
        <v>377</v>
      </c>
      <c r="B210" s="1">
        <v>45755</v>
      </c>
      <c r="C210" t="s">
        <v>22</v>
      </c>
      <c r="D210" t="s">
        <v>166</v>
      </c>
      <c r="E210">
        <v>175</v>
      </c>
      <c r="F210" t="s">
        <v>167</v>
      </c>
      <c r="G210" t="s">
        <v>168</v>
      </c>
      <c r="I210" t="s">
        <v>118</v>
      </c>
      <c r="J210" t="s">
        <v>67</v>
      </c>
      <c r="K210" s="1">
        <v>45677</v>
      </c>
    </row>
    <row r="211" spans="1:11" x14ac:dyDescent="0.3">
      <c r="A211" t="s">
        <v>378</v>
      </c>
      <c r="B211" s="1">
        <v>45729</v>
      </c>
      <c r="C211" t="s">
        <v>29</v>
      </c>
      <c r="D211" t="s">
        <v>171</v>
      </c>
      <c r="E211">
        <v>298</v>
      </c>
      <c r="F211" t="s">
        <v>167</v>
      </c>
      <c r="G211" t="s">
        <v>168</v>
      </c>
      <c r="I211" t="s">
        <v>130</v>
      </c>
      <c r="J211" t="s">
        <v>70</v>
      </c>
      <c r="K211" s="1">
        <v>45786</v>
      </c>
    </row>
    <row r="212" spans="1:11" x14ac:dyDescent="0.3">
      <c r="A212" t="s">
        <v>379</v>
      </c>
      <c r="B212" s="1">
        <v>45708</v>
      </c>
      <c r="C212" t="s">
        <v>22</v>
      </c>
      <c r="D212" t="s">
        <v>166</v>
      </c>
      <c r="E212">
        <v>487</v>
      </c>
      <c r="F212" t="s">
        <v>167</v>
      </c>
      <c r="G212" t="s">
        <v>168</v>
      </c>
      <c r="I212" t="s">
        <v>128</v>
      </c>
      <c r="J212" t="s">
        <v>61</v>
      </c>
      <c r="K212" s="1">
        <v>45684</v>
      </c>
    </row>
    <row r="213" spans="1:11" x14ac:dyDescent="0.3">
      <c r="A213" t="s">
        <v>380</v>
      </c>
      <c r="B213" s="1">
        <v>45679</v>
      </c>
      <c r="C213" t="s">
        <v>33</v>
      </c>
      <c r="D213" t="s">
        <v>166</v>
      </c>
      <c r="E213">
        <v>831</v>
      </c>
      <c r="F213" t="s">
        <v>167</v>
      </c>
      <c r="G213" t="s">
        <v>168</v>
      </c>
      <c r="I213" t="s">
        <v>112</v>
      </c>
      <c r="J213" t="s">
        <v>49</v>
      </c>
      <c r="K213" s="1">
        <v>45701</v>
      </c>
    </row>
    <row r="214" spans="1:11" x14ac:dyDescent="0.3">
      <c r="A214" t="s">
        <v>381</v>
      </c>
      <c r="B214" s="1">
        <v>45740</v>
      </c>
      <c r="C214" t="s">
        <v>22</v>
      </c>
      <c r="D214" t="s">
        <v>171</v>
      </c>
      <c r="E214">
        <v>846</v>
      </c>
      <c r="F214" t="s">
        <v>167</v>
      </c>
      <c r="G214" t="s">
        <v>168</v>
      </c>
      <c r="I214" t="s">
        <v>122</v>
      </c>
      <c r="J214" t="s">
        <v>52</v>
      </c>
      <c r="K214" s="1">
        <v>45834</v>
      </c>
    </row>
    <row r="215" spans="1:11" x14ac:dyDescent="0.3">
      <c r="A215" t="s">
        <v>382</v>
      </c>
      <c r="B215" s="1">
        <v>45835</v>
      </c>
      <c r="C215" t="s">
        <v>26</v>
      </c>
      <c r="D215" t="s">
        <v>166</v>
      </c>
      <c r="E215">
        <v>528</v>
      </c>
      <c r="F215" t="s">
        <v>167</v>
      </c>
      <c r="G215" t="s">
        <v>168</v>
      </c>
      <c r="I215" t="s">
        <v>100</v>
      </c>
      <c r="J215" t="s">
        <v>58</v>
      </c>
      <c r="K215" s="1">
        <v>45672</v>
      </c>
    </row>
    <row r="216" spans="1:11" x14ac:dyDescent="0.3">
      <c r="A216" t="s">
        <v>383</v>
      </c>
      <c r="B216" s="1">
        <v>45730</v>
      </c>
      <c r="C216" t="s">
        <v>22</v>
      </c>
      <c r="D216" t="s">
        <v>171</v>
      </c>
      <c r="E216">
        <v>920</v>
      </c>
      <c r="F216" t="s">
        <v>167</v>
      </c>
      <c r="G216" t="s">
        <v>168</v>
      </c>
      <c r="I216" t="s">
        <v>106</v>
      </c>
      <c r="J216" t="s">
        <v>67</v>
      </c>
      <c r="K216" s="1">
        <v>45835</v>
      </c>
    </row>
    <row r="217" spans="1:11" x14ac:dyDescent="0.3">
      <c r="A217" t="s">
        <v>384</v>
      </c>
      <c r="B217" s="1">
        <v>45663</v>
      </c>
      <c r="C217" t="s">
        <v>18</v>
      </c>
      <c r="D217" t="s">
        <v>171</v>
      </c>
      <c r="E217">
        <v>903</v>
      </c>
      <c r="F217" t="s">
        <v>167</v>
      </c>
      <c r="G217" t="s">
        <v>168</v>
      </c>
      <c r="I217" t="s">
        <v>94</v>
      </c>
      <c r="J217" t="s">
        <v>67</v>
      </c>
      <c r="K217" s="1">
        <v>45715</v>
      </c>
    </row>
    <row r="218" spans="1:11" x14ac:dyDescent="0.3">
      <c r="A218" t="s">
        <v>385</v>
      </c>
      <c r="B218" s="1">
        <v>45686</v>
      </c>
      <c r="C218" t="s">
        <v>33</v>
      </c>
      <c r="D218" t="s">
        <v>171</v>
      </c>
      <c r="E218">
        <v>560</v>
      </c>
      <c r="F218" t="s">
        <v>167</v>
      </c>
      <c r="G218" t="s">
        <v>168</v>
      </c>
      <c r="I218" t="s">
        <v>100</v>
      </c>
      <c r="J218" t="s">
        <v>76</v>
      </c>
      <c r="K218" s="1">
        <v>45672</v>
      </c>
    </row>
    <row r="219" spans="1:11" x14ac:dyDescent="0.3">
      <c r="A219" t="s">
        <v>386</v>
      </c>
      <c r="B219" s="1">
        <v>45775</v>
      </c>
      <c r="C219" t="s">
        <v>33</v>
      </c>
      <c r="D219" t="s">
        <v>171</v>
      </c>
      <c r="E219">
        <v>972</v>
      </c>
      <c r="F219" t="s">
        <v>167</v>
      </c>
      <c r="G219" t="s">
        <v>168</v>
      </c>
      <c r="I219" t="s">
        <v>97</v>
      </c>
      <c r="J219" t="s">
        <v>67</v>
      </c>
      <c r="K219" s="1">
        <v>45698</v>
      </c>
    </row>
    <row r="220" spans="1:11" x14ac:dyDescent="0.3">
      <c r="A220" t="s">
        <v>387</v>
      </c>
      <c r="B220" s="1">
        <v>45754</v>
      </c>
      <c r="C220" t="s">
        <v>33</v>
      </c>
      <c r="D220" t="s">
        <v>171</v>
      </c>
      <c r="E220">
        <v>786</v>
      </c>
      <c r="F220" t="s">
        <v>167</v>
      </c>
      <c r="G220" t="s">
        <v>168</v>
      </c>
      <c r="I220" t="s">
        <v>112</v>
      </c>
      <c r="J220" t="s">
        <v>55</v>
      </c>
      <c r="K220" s="1">
        <v>45702</v>
      </c>
    </row>
    <row r="221" spans="1:11" x14ac:dyDescent="0.3">
      <c r="A221" t="s">
        <v>388</v>
      </c>
      <c r="B221" s="1">
        <v>45726</v>
      </c>
      <c r="C221" t="s">
        <v>14</v>
      </c>
      <c r="D221" t="s">
        <v>171</v>
      </c>
      <c r="E221">
        <v>504</v>
      </c>
      <c r="F221" t="s">
        <v>167</v>
      </c>
      <c r="G221" t="s">
        <v>168</v>
      </c>
      <c r="I221" t="s">
        <v>128</v>
      </c>
      <c r="J221" t="s">
        <v>73</v>
      </c>
      <c r="K221" s="1">
        <v>45768</v>
      </c>
    </row>
    <row r="222" spans="1:11" x14ac:dyDescent="0.3">
      <c r="A222" t="s">
        <v>389</v>
      </c>
      <c r="B222" s="1">
        <v>45783</v>
      </c>
      <c r="C222" t="s">
        <v>33</v>
      </c>
      <c r="D222" t="s">
        <v>166</v>
      </c>
      <c r="E222">
        <v>239</v>
      </c>
      <c r="F222" t="s">
        <v>167</v>
      </c>
      <c r="G222" t="s">
        <v>168</v>
      </c>
      <c r="I222" t="s">
        <v>104</v>
      </c>
      <c r="J222" t="s">
        <v>73</v>
      </c>
      <c r="K222" s="1">
        <v>45737</v>
      </c>
    </row>
    <row r="223" spans="1:11" x14ac:dyDescent="0.3">
      <c r="A223" t="s">
        <v>390</v>
      </c>
      <c r="B223" s="1">
        <v>45722</v>
      </c>
      <c r="C223" t="s">
        <v>18</v>
      </c>
      <c r="D223" t="s">
        <v>166</v>
      </c>
      <c r="E223">
        <v>872</v>
      </c>
      <c r="F223" t="s">
        <v>167</v>
      </c>
      <c r="G223" t="s">
        <v>168</v>
      </c>
      <c r="I223" t="s">
        <v>106</v>
      </c>
      <c r="J223" t="s">
        <v>49</v>
      </c>
      <c r="K223" s="1">
        <v>45754</v>
      </c>
    </row>
    <row r="224" spans="1:11" x14ac:dyDescent="0.3">
      <c r="A224" t="s">
        <v>391</v>
      </c>
      <c r="B224" s="1">
        <v>45783</v>
      </c>
      <c r="C224" t="s">
        <v>22</v>
      </c>
      <c r="D224" t="s">
        <v>171</v>
      </c>
      <c r="E224">
        <v>707</v>
      </c>
      <c r="F224" t="s">
        <v>167</v>
      </c>
      <c r="G224" t="s">
        <v>168</v>
      </c>
      <c r="I224" t="s">
        <v>122</v>
      </c>
      <c r="J224" t="s">
        <v>76</v>
      </c>
      <c r="K224" s="1">
        <v>45742</v>
      </c>
    </row>
    <row r="225" spans="1:11" x14ac:dyDescent="0.3">
      <c r="A225" t="s">
        <v>392</v>
      </c>
      <c r="B225" s="1">
        <v>45818</v>
      </c>
      <c r="C225" t="s">
        <v>22</v>
      </c>
      <c r="D225" t="s">
        <v>166</v>
      </c>
      <c r="E225">
        <v>968</v>
      </c>
      <c r="F225" t="s">
        <v>167</v>
      </c>
      <c r="G225" t="s">
        <v>168</v>
      </c>
      <c r="I225" t="s">
        <v>120</v>
      </c>
      <c r="J225" t="s">
        <v>70</v>
      </c>
      <c r="K225" s="1">
        <v>45747</v>
      </c>
    </row>
    <row r="226" spans="1:11" x14ac:dyDescent="0.3">
      <c r="A226" t="s">
        <v>393</v>
      </c>
      <c r="B226" s="1">
        <v>45670</v>
      </c>
      <c r="C226" t="s">
        <v>33</v>
      </c>
      <c r="D226" t="s">
        <v>166</v>
      </c>
      <c r="E226">
        <v>280</v>
      </c>
      <c r="F226" t="s">
        <v>167</v>
      </c>
      <c r="G226" t="s">
        <v>168</v>
      </c>
      <c r="I226" t="s">
        <v>132</v>
      </c>
      <c r="J226" t="s">
        <v>61</v>
      </c>
      <c r="K226" s="1">
        <v>45833</v>
      </c>
    </row>
    <row r="227" spans="1:11" x14ac:dyDescent="0.3">
      <c r="A227" t="s">
        <v>394</v>
      </c>
      <c r="B227" s="1">
        <v>45756</v>
      </c>
      <c r="C227" t="s">
        <v>26</v>
      </c>
      <c r="D227" t="s">
        <v>166</v>
      </c>
      <c r="E227">
        <v>416</v>
      </c>
      <c r="F227" t="s">
        <v>167</v>
      </c>
      <c r="G227" t="s">
        <v>168</v>
      </c>
      <c r="I227" t="s">
        <v>114</v>
      </c>
      <c r="J227" t="s">
        <v>55</v>
      </c>
      <c r="K227" s="1">
        <v>45740</v>
      </c>
    </row>
    <row r="228" spans="1:11" x14ac:dyDescent="0.3">
      <c r="A228" t="s">
        <v>395</v>
      </c>
      <c r="B228" s="1">
        <v>45677</v>
      </c>
      <c r="C228" t="s">
        <v>26</v>
      </c>
      <c r="D228" t="s">
        <v>171</v>
      </c>
      <c r="E228">
        <v>382</v>
      </c>
      <c r="F228" t="s">
        <v>167</v>
      </c>
      <c r="G228" t="s">
        <v>168</v>
      </c>
      <c r="I228" t="s">
        <v>144</v>
      </c>
      <c r="J228" t="s">
        <v>70</v>
      </c>
      <c r="K228" s="1">
        <v>45688</v>
      </c>
    </row>
    <row r="229" spans="1:11" x14ac:dyDescent="0.3">
      <c r="A229" t="s">
        <v>396</v>
      </c>
      <c r="B229" s="1">
        <v>45757</v>
      </c>
      <c r="C229" t="s">
        <v>14</v>
      </c>
      <c r="D229" t="s">
        <v>166</v>
      </c>
      <c r="E229">
        <v>736</v>
      </c>
      <c r="F229" t="s">
        <v>167</v>
      </c>
      <c r="G229" t="s">
        <v>168</v>
      </c>
      <c r="I229" t="s">
        <v>114</v>
      </c>
      <c r="J229" t="s">
        <v>76</v>
      </c>
      <c r="K229" s="1">
        <v>45819</v>
      </c>
    </row>
    <row r="230" spans="1:11" x14ac:dyDescent="0.3">
      <c r="A230" t="s">
        <v>397</v>
      </c>
      <c r="B230" s="1">
        <v>45737</v>
      </c>
      <c r="C230" t="s">
        <v>26</v>
      </c>
      <c r="D230" t="s">
        <v>166</v>
      </c>
      <c r="E230">
        <v>823</v>
      </c>
      <c r="F230" t="s">
        <v>167</v>
      </c>
      <c r="G230" t="s">
        <v>168</v>
      </c>
      <c r="I230" t="s">
        <v>126</v>
      </c>
      <c r="J230" t="s">
        <v>67</v>
      </c>
      <c r="K230" s="1">
        <v>45790</v>
      </c>
    </row>
    <row r="231" spans="1:11" x14ac:dyDescent="0.3">
      <c r="A231" t="s">
        <v>398</v>
      </c>
      <c r="B231" s="1">
        <v>45832</v>
      </c>
      <c r="C231" t="s">
        <v>11</v>
      </c>
      <c r="D231" t="s">
        <v>171</v>
      </c>
      <c r="E231">
        <v>76</v>
      </c>
      <c r="F231" t="s">
        <v>167</v>
      </c>
      <c r="G231" t="s">
        <v>168</v>
      </c>
      <c r="I231" t="s">
        <v>140</v>
      </c>
      <c r="J231" t="s">
        <v>76</v>
      </c>
      <c r="K231" s="1">
        <v>45730</v>
      </c>
    </row>
    <row r="232" spans="1:11" x14ac:dyDescent="0.3">
      <c r="A232" t="s">
        <v>399</v>
      </c>
      <c r="B232" s="1">
        <v>45771</v>
      </c>
      <c r="C232" t="s">
        <v>22</v>
      </c>
      <c r="D232" t="s">
        <v>166</v>
      </c>
      <c r="E232">
        <v>608</v>
      </c>
      <c r="F232" t="s">
        <v>167</v>
      </c>
      <c r="G232" t="s">
        <v>168</v>
      </c>
      <c r="I232" t="s">
        <v>110</v>
      </c>
      <c r="J232" t="s">
        <v>61</v>
      </c>
      <c r="K232" s="1">
        <v>45730</v>
      </c>
    </row>
    <row r="233" spans="1:11" x14ac:dyDescent="0.3">
      <c r="A233" t="s">
        <v>400</v>
      </c>
      <c r="B233" s="1">
        <v>45838</v>
      </c>
      <c r="C233" t="s">
        <v>33</v>
      </c>
      <c r="D233" t="s">
        <v>166</v>
      </c>
      <c r="E233">
        <v>126</v>
      </c>
      <c r="F233" t="s">
        <v>167</v>
      </c>
      <c r="G233" t="s">
        <v>168</v>
      </c>
      <c r="I233" t="s">
        <v>118</v>
      </c>
      <c r="J233" t="s">
        <v>64</v>
      </c>
      <c r="K233" s="1">
        <v>45672</v>
      </c>
    </row>
    <row r="234" spans="1:11" x14ac:dyDescent="0.3">
      <c r="A234" t="s">
        <v>401</v>
      </c>
      <c r="B234" s="1">
        <v>45734</v>
      </c>
      <c r="C234" t="s">
        <v>29</v>
      </c>
      <c r="D234" t="s">
        <v>166</v>
      </c>
      <c r="E234">
        <v>340</v>
      </c>
      <c r="F234" t="s">
        <v>167</v>
      </c>
      <c r="G234" t="s">
        <v>168</v>
      </c>
      <c r="I234" t="s">
        <v>144</v>
      </c>
      <c r="J234" t="s">
        <v>58</v>
      </c>
      <c r="K234" s="1">
        <v>45750</v>
      </c>
    </row>
    <row r="235" spans="1:11" x14ac:dyDescent="0.3">
      <c r="A235" t="s">
        <v>402</v>
      </c>
      <c r="B235" s="1">
        <v>45706</v>
      </c>
      <c r="C235" t="s">
        <v>18</v>
      </c>
      <c r="D235" t="s">
        <v>166</v>
      </c>
      <c r="E235">
        <v>545</v>
      </c>
      <c r="F235" t="s">
        <v>167</v>
      </c>
      <c r="G235" t="s">
        <v>168</v>
      </c>
      <c r="I235" t="s">
        <v>134</v>
      </c>
      <c r="J235" t="s">
        <v>76</v>
      </c>
      <c r="K235" s="1">
        <v>45749</v>
      </c>
    </row>
    <row r="236" spans="1:11" x14ac:dyDescent="0.3">
      <c r="A236" t="s">
        <v>403</v>
      </c>
      <c r="B236" s="1">
        <v>45678</v>
      </c>
      <c r="C236" t="s">
        <v>22</v>
      </c>
      <c r="D236" t="s">
        <v>166</v>
      </c>
      <c r="E236">
        <v>770</v>
      </c>
      <c r="F236" t="s">
        <v>167</v>
      </c>
      <c r="G236" t="s">
        <v>168</v>
      </c>
      <c r="I236" t="s">
        <v>128</v>
      </c>
      <c r="J236" t="s">
        <v>61</v>
      </c>
      <c r="K236" s="1">
        <v>45692</v>
      </c>
    </row>
    <row r="237" spans="1:11" x14ac:dyDescent="0.3">
      <c r="A237" t="s">
        <v>404</v>
      </c>
      <c r="B237" s="1">
        <v>45762</v>
      </c>
      <c r="C237" t="s">
        <v>11</v>
      </c>
      <c r="D237" t="s">
        <v>166</v>
      </c>
      <c r="E237">
        <v>987</v>
      </c>
      <c r="F237" t="s">
        <v>167</v>
      </c>
      <c r="G237" t="s">
        <v>168</v>
      </c>
      <c r="I237" t="s">
        <v>118</v>
      </c>
      <c r="J237" t="s">
        <v>52</v>
      </c>
      <c r="K237" s="1">
        <v>45706</v>
      </c>
    </row>
    <row r="238" spans="1:11" x14ac:dyDescent="0.3">
      <c r="A238" t="s">
        <v>405</v>
      </c>
      <c r="B238" s="1">
        <v>45740</v>
      </c>
      <c r="C238" t="s">
        <v>33</v>
      </c>
      <c r="D238" t="s">
        <v>166</v>
      </c>
      <c r="E238">
        <v>48</v>
      </c>
      <c r="F238" t="s">
        <v>167</v>
      </c>
      <c r="G238" t="s">
        <v>168</v>
      </c>
      <c r="I238" t="s">
        <v>91</v>
      </c>
      <c r="J238" t="s">
        <v>55</v>
      </c>
      <c r="K238" s="1">
        <v>45720</v>
      </c>
    </row>
    <row r="239" spans="1:11" x14ac:dyDescent="0.3">
      <c r="A239" t="s">
        <v>406</v>
      </c>
      <c r="B239" s="1">
        <v>45685</v>
      </c>
      <c r="C239" t="s">
        <v>33</v>
      </c>
      <c r="D239" t="s">
        <v>171</v>
      </c>
      <c r="E239">
        <v>507</v>
      </c>
      <c r="F239" t="s">
        <v>167</v>
      </c>
      <c r="G239" t="s">
        <v>168</v>
      </c>
      <c r="I239" t="s">
        <v>97</v>
      </c>
      <c r="J239" t="s">
        <v>55</v>
      </c>
      <c r="K239" s="1">
        <v>45762</v>
      </c>
    </row>
    <row r="240" spans="1:11" x14ac:dyDescent="0.3">
      <c r="A240" t="s">
        <v>407</v>
      </c>
      <c r="B240" s="1">
        <v>45699</v>
      </c>
      <c r="C240" t="s">
        <v>22</v>
      </c>
      <c r="D240" t="s">
        <v>166</v>
      </c>
      <c r="E240">
        <v>319</v>
      </c>
      <c r="F240" t="s">
        <v>167</v>
      </c>
      <c r="G240" t="s">
        <v>168</v>
      </c>
      <c r="I240" t="s">
        <v>118</v>
      </c>
      <c r="J240" t="s">
        <v>73</v>
      </c>
      <c r="K240" s="1">
        <v>45765</v>
      </c>
    </row>
    <row r="241" spans="1:11" x14ac:dyDescent="0.3">
      <c r="A241" t="s">
        <v>408</v>
      </c>
      <c r="B241" s="1">
        <v>45806</v>
      </c>
      <c r="C241" t="s">
        <v>22</v>
      </c>
      <c r="D241" t="s">
        <v>166</v>
      </c>
      <c r="E241">
        <v>118</v>
      </c>
      <c r="F241" t="s">
        <v>167</v>
      </c>
      <c r="G241" t="s">
        <v>168</v>
      </c>
      <c r="I241" t="s">
        <v>132</v>
      </c>
      <c r="J241" t="s">
        <v>67</v>
      </c>
      <c r="K241" s="1">
        <v>45749</v>
      </c>
    </row>
    <row r="242" spans="1:11" x14ac:dyDescent="0.3">
      <c r="A242" t="s">
        <v>409</v>
      </c>
      <c r="B242" s="1">
        <v>45687</v>
      </c>
      <c r="C242" t="s">
        <v>26</v>
      </c>
      <c r="D242" t="s">
        <v>166</v>
      </c>
      <c r="E242">
        <v>75</v>
      </c>
      <c r="F242" t="s">
        <v>167</v>
      </c>
      <c r="G242" t="s">
        <v>168</v>
      </c>
      <c r="I242" t="s">
        <v>88</v>
      </c>
      <c r="J242" t="s">
        <v>49</v>
      </c>
      <c r="K242" s="1">
        <v>45699</v>
      </c>
    </row>
    <row r="243" spans="1:11" x14ac:dyDescent="0.3">
      <c r="A243" t="s">
        <v>410</v>
      </c>
      <c r="B243" s="1">
        <v>45758</v>
      </c>
      <c r="C243" t="s">
        <v>33</v>
      </c>
      <c r="D243" t="s">
        <v>166</v>
      </c>
      <c r="E243">
        <v>488</v>
      </c>
      <c r="F243" t="s">
        <v>167</v>
      </c>
      <c r="G243" t="s">
        <v>168</v>
      </c>
      <c r="I243" t="s">
        <v>134</v>
      </c>
      <c r="J243" t="s">
        <v>55</v>
      </c>
      <c r="K243" s="1">
        <v>45680</v>
      </c>
    </row>
    <row r="244" spans="1:11" x14ac:dyDescent="0.3">
      <c r="A244" t="s">
        <v>411</v>
      </c>
      <c r="B244" s="1">
        <v>45740</v>
      </c>
      <c r="C244" t="s">
        <v>18</v>
      </c>
      <c r="D244" t="s">
        <v>171</v>
      </c>
      <c r="E244">
        <v>874</v>
      </c>
      <c r="F244" t="s">
        <v>167</v>
      </c>
      <c r="G244" t="s">
        <v>168</v>
      </c>
      <c r="I244" t="s">
        <v>114</v>
      </c>
      <c r="J244" t="s">
        <v>55</v>
      </c>
      <c r="K244" s="1">
        <v>45716</v>
      </c>
    </row>
    <row r="245" spans="1:11" x14ac:dyDescent="0.3">
      <c r="A245" t="s">
        <v>412</v>
      </c>
      <c r="B245" s="1">
        <v>45698</v>
      </c>
      <c r="C245" t="s">
        <v>11</v>
      </c>
      <c r="D245" t="s">
        <v>171</v>
      </c>
      <c r="E245">
        <v>400</v>
      </c>
      <c r="F245" t="s">
        <v>167</v>
      </c>
      <c r="G245" t="s">
        <v>168</v>
      </c>
      <c r="I245" t="s">
        <v>114</v>
      </c>
      <c r="J245" t="s">
        <v>73</v>
      </c>
      <c r="K245" s="1">
        <v>45706</v>
      </c>
    </row>
    <row r="246" spans="1:11" x14ac:dyDescent="0.3">
      <c r="A246" t="s">
        <v>413</v>
      </c>
      <c r="B246" s="1">
        <v>45805</v>
      </c>
      <c r="C246" t="s">
        <v>11</v>
      </c>
      <c r="D246" t="s">
        <v>171</v>
      </c>
      <c r="E246">
        <v>41</v>
      </c>
      <c r="F246" t="s">
        <v>167</v>
      </c>
      <c r="G246" t="s">
        <v>168</v>
      </c>
      <c r="I246" t="s">
        <v>140</v>
      </c>
      <c r="J246" t="s">
        <v>49</v>
      </c>
      <c r="K246" s="1">
        <v>45734</v>
      </c>
    </row>
    <row r="247" spans="1:11" x14ac:dyDescent="0.3">
      <c r="A247" t="s">
        <v>414</v>
      </c>
      <c r="B247" s="1">
        <v>45698</v>
      </c>
      <c r="C247" t="s">
        <v>6</v>
      </c>
      <c r="D247" t="s">
        <v>166</v>
      </c>
      <c r="E247">
        <v>902</v>
      </c>
      <c r="F247" t="s">
        <v>167</v>
      </c>
      <c r="G247" t="s">
        <v>168</v>
      </c>
      <c r="I247" t="s">
        <v>136</v>
      </c>
      <c r="J247" t="s">
        <v>49</v>
      </c>
      <c r="K247" s="1">
        <v>45769</v>
      </c>
    </row>
    <row r="248" spans="1:11" x14ac:dyDescent="0.3">
      <c r="A248" t="s">
        <v>415</v>
      </c>
      <c r="B248" s="1">
        <v>45663</v>
      </c>
      <c r="C248" t="s">
        <v>33</v>
      </c>
      <c r="D248" t="s">
        <v>171</v>
      </c>
      <c r="E248">
        <v>91</v>
      </c>
      <c r="F248" t="s">
        <v>167</v>
      </c>
      <c r="G248" t="s">
        <v>168</v>
      </c>
      <c r="I248" t="s">
        <v>97</v>
      </c>
      <c r="J248" t="s">
        <v>73</v>
      </c>
      <c r="K248" s="1">
        <v>45672</v>
      </c>
    </row>
    <row r="249" spans="1:11" x14ac:dyDescent="0.3">
      <c r="A249" t="s">
        <v>416</v>
      </c>
      <c r="B249" s="1">
        <v>45805</v>
      </c>
      <c r="C249" t="s">
        <v>11</v>
      </c>
      <c r="D249" t="s">
        <v>166</v>
      </c>
      <c r="E249">
        <v>329</v>
      </c>
      <c r="F249" t="s">
        <v>167</v>
      </c>
      <c r="G249" t="s">
        <v>168</v>
      </c>
      <c r="I249" t="s">
        <v>114</v>
      </c>
      <c r="J249" t="s">
        <v>61</v>
      </c>
      <c r="K249" s="1">
        <v>45817</v>
      </c>
    </row>
    <row r="250" spans="1:11" x14ac:dyDescent="0.3">
      <c r="A250" t="s">
        <v>417</v>
      </c>
      <c r="B250" s="1">
        <v>45737</v>
      </c>
      <c r="C250" t="s">
        <v>18</v>
      </c>
      <c r="D250" t="s">
        <v>171</v>
      </c>
      <c r="E250">
        <v>121</v>
      </c>
      <c r="F250" t="s">
        <v>167</v>
      </c>
      <c r="G250" t="s">
        <v>168</v>
      </c>
      <c r="I250" t="s">
        <v>112</v>
      </c>
      <c r="J250" t="s">
        <v>61</v>
      </c>
      <c r="K250" s="1">
        <v>45793</v>
      </c>
    </row>
    <row r="251" spans="1:11" x14ac:dyDescent="0.3">
      <c r="A251" t="s">
        <v>418</v>
      </c>
      <c r="B251" s="1">
        <v>45754</v>
      </c>
      <c r="C251" t="s">
        <v>18</v>
      </c>
      <c r="D251" t="s">
        <v>171</v>
      </c>
      <c r="E251">
        <v>936</v>
      </c>
      <c r="F251" t="s">
        <v>167</v>
      </c>
      <c r="G251" t="s">
        <v>168</v>
      </c>
      <c r="I251" t="s">
        <v>97</v>
      </c>
      <c r="J251" t="s">
        <v>67</v>
      </c>
      <c r="K251" s="1">
        <v>45799</v>
      </c>
    </row>
    <row r="252" spans="1:11" x14ac:dyDescent="0.3">
      <c r="A252" t="s">
        <v>419</v>
      </c>
      <c r="B252" s="1">
        <v>45817</v>
      </c>
      <c r="C252" t="s">
        <v>33</v>
      </c>
      <c r="D252" t="s">
        <v>166</v>
      </c>
      <c r="E252">
        <v>213</v>
      </c>
      <c r="F252" t="s">
        <v>167</v>
      </c>
      <c r="G252" t="s">
        <v>168</v>
      </c>
      <c r="I252" t="s">
        <v>130</v>
      </c>
      <c r="J252" t="s">
        <v>52</v>
      </c>
      <c r="K252" s="1">
        <v>45806</v>
      </c>
    </row>
    <row r="253" spans="1:11" x14ac:dyDescent="0.3">
      <c r="A253" t="s">
        <v>420</v>
      </c>
      <c r="B253" s="1">
        <v>45751</v>
      </c>
      <c r="C253" t="s">
        <v>18</v>
      </c>
      <c r="D253" t="s">
        <v>171</v>
      </c>
      <c r="E253">
        <v>546</v>
      </c>
      <c r="F253" t="s">
        <v>167</v>
      </c>
      <c r="G253" t="s">
        <v>168</v>
      </c>
      <c r="I253" t="s">
        <v>114</v>
      </c>
      <c r="J253" t="s">
        <v>55</v>
      </c>
      <c r="K253" s="1">
        <v>45740</v>
      </c>
    </row>
    <row r="254" spans="1:11" x14ac:dyDescent="0.3">
      <c r="A254" t="s">
        <v>421</v>
      </c>
      <c r="B254" s="1">
        <v>45714</v>
      </c>
      <c r="C254" t="s">
        <v>14</v>
      </c>
      <c r="D254" t="s">
        <v>171</v>
      </c>
      <c r="E254">
        <v>181</v>
      </c>
      <c r="F254" t="s">
        <v>167</v>
      </c>
      <c r="G254" t="s">
        <v>168</v>
      </c>
      <c r="I254" t="s">
        <v>150</v>
      </c>
      <c r="J254" t="s">
        <v>76</v>
      </c>
      <c r="K254" s="1">
        <v>45733</v>
      </c>
    </row>
    <row r="255" spans="1:11" x14ac:dyDescent="0.3">
      <c r="A255" t="s">
        <v>422</v>
      </c>
      <c r="B255" s="1">
        <v>45761</v>
      </c>
      <c r="C255" t="s">
        <v>18</v>
      </c>
      <c r="D255" t="s">
        <v>171</v>
      </c>
      <c r="E255">
        <v>777</v>
      </c>
      <c r="F255" t="s">
        <v>167</v>
      </c>
      <c r="G255" t="s">
        <v>168</v>
      </c>
      <c r="I255" t="s">
        <v>106</v>
      </c>
      <c r="J255" t="s">
        <v>58</v>
      </c>
      <c r="K255" s="1">
        <v>45824</v>
      </c>
    </row>
    <row r="256" spans="1:11" x14ac:dyDescent="0.3">
      <c r="A256" t="s">
        <v>423</v>
      </c>
      <c r="B256" s="1">
        <v>45821</v>
      </c>
      <c r="C256" t="s">
        <v>33</v>
      </c>
      <c r="D256" t="s">
        <v>166</v>
      </c>
      <c r="E256">
        <v>576</v>
      </c>
      <c r="F256" t="s">
        <v>167</v>
      </c>
      <c r="G256" t="s">
        <v>168</v>
      </c>
      <c r="I256" t="s">
        <v>140</v>
      </c>
      <c r="J256" t="s">
        <v>70</v>
      </c>
      <c r="K256" s="1">
        <v>45783</v>
      </c>
    </row>
    <row r="257" spans="1:11" x14ac:dyDescent="0.3">
      <c r="A257" t="s">
        <v>424</v>
      </c>
      <c r="B257" s="1">
        <v>45672</v>
      </c>
      <c r="C257" t="s">
        <v>18</v>
      </c>
      <c r="D257" t="s">
        <v>166</v>
      </c>
      <c r="E257">
        <v>880</v>
      </c>
      <c r="F257" t="s">
        <v>167</v>
      </c>
      <c r="G257" t="s">
        <v>168</v>
      </c>
      <c r="I257" t="s">
        <v>106</v>
      </c>
      <c r="J257" t="s">
        <v>61</v>
      </c>
      <c r="K257" s="1">
        <v>45681</v>
      </c>
    </row>
    <row r="258" spans="1:11" x14ac:dyDescent="0.3">
      <c r="A258" t="s">
        <v>425</v>
      </c>
      <c r="B258" s="1">
        <v>45687</v>
      </c>
      <c r="C258" t="s">
        <v>22</v>
      </c>
      <c r="D258" t="s">
        <v>171</v>
      </c>
      <c r="E258">
        <v>702</v>
      </c>
      <c r="F258" t="s">
        <v>167</v>
      </c>
      <c r="G258" t="s">
        <v>168</v>
      </c>
      <c r="I258" t="s">
        <v>140</v>
      </c>
      <c r="J258" t="s">
        <v>52</v>
      </c>
      <c r="K258" s="1">
        <v>45761</v>
      </c>
    </row>
    <row r="259" spans="1:11" x14ac:dyDescent="0.3">
      <c r="A259" t="s">
        <v>426</v>
      </c>
      <c r="B259" s="1">
        <v>45818</v>
      </c>
      <c r="C259" t="s">
        <v>14</v>
      </c>
      <c r="D259" t="s">
        <v>166</v>
      </c>
      <c r="E259">
        <v>285</v>
      </c>
      <c r="F259" t="s">
        <v>167</v>
      </c>
      <c r="G259" t="s">
        <v>168</v>
      </c>
      <c r="I259" t="s">
        <v>136</v>
      </c>
      <c r="J259" t="s">
        <v>73</v>
      </c>
      <c r="K259" s="1">
        <v>45734</v>
      </c>
    </row>
    <row r="260" spans="1:11" x14ac:dyDescent="0.3">
      <c r="A260" t="s">
        <v>427</v>
      </c>
      <c r="B260" s="1">
        <v>45757</v>
      </c>
      <c r="C260" t="s">
        <v>6</v>
      </c>
      <c r="D260" t="s">
        <v>166</v>
      </c>
      <c r="E260">
        <v>220</v>
      </c>
      <c r="F260" t="s">
        <v>167</v>
      </c>
      <c r="G260" t="s">
        <v>168</v>
      </c>
      <c r="I260" t="s">
        <v>146</v>
      </c>
      <c r="J260" t="s">
        <v>73</v>
      </c>
      <c r="K260" s="1">
        <v>45784</v>
      </c>
    </row>
    <row r="261" spans="1:11" x14ac:dyDescent="0.3">
      <c r="A261" t="s">
        <v>428</v>
      </c>
      <c r="B261" s="1">
        <v>45792</v>
      </c>
      <c r="C261" t="s">
        <v>6</v>
      </c>
      <c r="D261" t="s">
        <v>166</v>
      </c>
      <c r="E261">
        <v>376</v>
      </c>
      <c r="F261" t="s">
        <v>167</v>
      </c>
      <c r="G261" t="s">
        <v>168</v>
      </c>
      <c r="I261" t="s">
        <v>144</v>
      </c>
      <c r="J261" t="s">
        <v>55</v>
      </c>
      <c r="K261" s="1">
        <v>45733</v>
      </c>
    </row>
    <row r="262" spans="1:11" x14ac:dyDescent="0.3">
      <c r="A262" t="s">
        <v>429</v>
      </c>
      <c r="B262" s="1">
        <v>45820</v>
      </c>
      <c r="C262" t="s">
        <v>11</v>
      </c>
      <c r="D262" t="s">
        <v>171</v>
      </c>
      <c r="E262">
        <v>974</v>
      </c>
      <c r="F262" t="s">
        <v>167</v>
      </c>
      <c r="G262" t="s">
        <v>168</v>
      </c>
      <c r="I262" t="s">
        <v>91</v>
      </c>
      <c r="J262" t="s">
        <v>64</v>
      </c>
      <c r="K262" s="1">
        <v>45768</v>
      </c>
    </row>
    <row r="263" spans="1:11" x14ac:dyDescent="0.3">
      <c r="A263" t="s">
        <v>430</v>
      </c>
      <c r="B263" s="1">
        <v>45681</v>
      </c>
      <c r="C263" t="s">
        <v>22</v>
      </c>
      <c r="D263" t="s">
        <v>166</v>
      </c>
      <c r="E263">
        <v>763</v>
      </c>
      <c r="F263" t="s">
        <v>167</v>
      </c>
      <c r="G263" t="s">
        <v>168</v>
      </c>
      <c r="I263" t="s">
        <v>150</v>
      </c>
      <c r="J263" t="s">
        <v>64</v>
      </c>
      <c r="K263" s="1">
        <v>45737</v>
      </c>
    </row>
    <row r="264" spans="1:11" x14ac:dyDescent="0.3">
      <c r="A264" t="s">
        <v>431</v>
      </c>
      <c r="B264" s="1">
        <v>45814</v>
      </c>
      <c r="C264" t="s">
        <v>26</v>
      </c>
      <c r="D264" t="s">
        <v>171</v>
      </c>
      <c r="E264">
        <v>655</v>
      </c>
      <c r="F264" t="s">
        <v>167</v>
      </c>
      <c r="G264" t="s">
        <v>168</v>
      </c>
      <c r="I264" t="s">
        <v>97</v>
      </c>
      <c r="J264" t="s">
        <v>49</v>
      </c>
      <c r="K264" s="1">
        <v>45749</v>
      </c>
    </row>
    <row r="265" spans="1:11" x14ac:dyDescent="0.3">
      <c r="A265" t="s">
        <v>432</v>
      </c>
      <c r="B265" s="1">
        <v>45755</v>
      </c>
      <c r="C265" t="s">
        <v>11</v>
      </c>
      <c r="D265" t="s">
        <v>166</v>
      </c>
      <c r="E265">
        <v>983</v>
      </c>
      <c r="F265" t="s">
        <v>167</v>
      </c>
      <c r="G265" t="s">
        <v>168</v>
      </c>
      <c r="I265" t="s">
        <v>132</v>
      </c>
      <c r="J265" t="s">
        <v>76</v>
      </c>
      <c r="K265" s="1">
        <v>45713</v>
      </c>
    </row>
    <row r="266" spans="1:11" x14ac:dyDescent="0.3">
      <c r="A266" t="s">
        <v>433</v>
      </c>
      <c r="B266" s="1">
        <v>45687</v>
      </c>
      <c r="C266" t="s">
        <v>26</v>
      </c>
      <c r="D266" t="s">
        <v>166</v>
      </c>
      <c r="E266">
        <v>572</v>
      </c>
      <c r="F266" t="s">
        <v>167</v>
      </c>
      <c r="G266" t="s">
        <v>168</v>
      </c>
      <c r="I266" t="s">
        <v>136</v>
      </c>
      <c r="J266" t="s">
        <v>52</v>
      </c>
      <c r="K266" s="1">
        <v>45779</v>
      </c>
    </row>
    <row r="267" spans="1:11" x14ac:dyDescent="0.3">
      <c r="A267" t="s">
        <v>434</v>
      </c>
      <c r="B267" s="1">
        <v>45670</v>
      </c>
      <c r="C267" t="s">
        <v>14</v>
      </c>
      <c r="D267" t="s">
        <v>171</v>
      </c>
      <c r="E267">
        <v>88</v>
      </c>
      <c r="F267" t="s">
        <v>167</v>
      </c>
      <c r="G267" t="s">
        <v>168</v>
      </c>
      <c r="I267" t="s">
        <v>118</v>
      </c>
      <c r="J267" t="s">
        <v>67</v>
      </c>
      <c r="K267" s="1">
        <v>45730</v>
      </c>
    </row>
    <row r="268" spans="1:11" x14ac:dyDescent="0.3">
      <c r="A268" t="s">
        <v>435</v>
      </c>
      <c r="B268" s="1">
        <v>45705</v>
      </c>
      <c r="C268" t="s">
        <v>33</v>
      </c>
      <c r="D268" t="s">
        <v>171</v>
      </c>
      <c r="E268">
        <v>812</v>
      </c>
      <c r="F268" t="s">
        <v>167</v>
      </c>
      <c r="G268" t="s">
        <v>168</v>
      </c>
      <c r="I268" t="s">
        <v>120</v>
      </c>
      <c r="J268" t="s">
        <v>73</v>
      </c>
      <c r="K268" s="1">
        <v>45685</v>
      </c>
    </row>
    <row r="269" spans="1:11" x14ac:dyDescent="0.3">
      <c r="A269" t="s">
        <v>436</v>
      </c>
      <c r="B269" s="1">
        <v>45800</v>
      </c>
      <c r="C269" t="s">
        <v>33</v>
      </c>
      <c r="D269" t="s">
        <v>166</v>
      </c>
      <c r="E269">
        <v>338</v>
      </c>
      <c r="F269" t="s">
        <v>167</v>
      </c>
      <c r="G269" t="s">
        <v>168</v>
      </c>
      <c r="I269" t="s">
        <v>130</v>
      </c>
      <c r="J269" t="s">
        <v>70</v>
      </c>
      <c r="K269" s="1">
        <v>45674</v>
      </c>
    </row>
    <row r="270" spans="1:11" x14ac:dyDescent="0.3">
      <c r="A270" t="s">
        <v>437</v>
      </c>
      <c r="B270" s="1">
        <v>45838</v>
      </c>
      <c r="C270" t="s">
        <v>6</v>
      </c>
      <c r="D270" t="s">
        <v>171</v>
      </c>
      <c r="E270">
        <v>100</v>
      </c>
      <c r="F270" t="s">
        <v>167</v>
      </c>
      <c r="G270" t="s">
        <v>168</v>
      </c>
      <c r="I270" t="s">
        <v>88</v>
      </c>
      <c r="J270" t="s">
        <v>49</v>
      </c>
      <c r="K270" s="1">
        <v>45827</v>
      </c>
    </row>
    <row r="271" spans="1:11" x14ac:dyDescent="0.3">
      <c r="A271" t="s">
        <v>438</v>
      </c>
      <c r="B271" s="1">
        <v>45698</v>
      </c>
      <c r="C271" t="s">
        <v>22</v>
      </c>
      <c r="D271" t="s">
        <v>171</v>
      </c>
      <c r="E271">
        <v>940</v>
      </c>
      <c r="F271" t="s">
        <v>167</v>
      </c>
      <c r="G271" t="s">
        <v>168</v>
      </c>
      <c r="I271" t="s">
        <v>130</v>
      </c>
      <c r="J271" t="s">
        <v>61</v>
      </c>
      <c r="K271" s="1">
        <v>45658</v>
      </c>
    </row>
    <row r="272" spans="1:11" x14ac:dyDescent="0.3">
      <c r="A272" t="s">
        <v>439</v>
      </c>
      <c r="B272" s="1">
        <v>45761</v>
      </c>
      <c r="C272" t="s">
        <v>18</v>
      </c>
      <c r="D272" t="s">
        <v>166</v>
      </c>
      <c r="E272">
        <v>954</v>
      </c>
      <c r="F272" t="s">
        <v>167</v>
      </c>
      <c r="G272" t="s">
        <v>168</v>
      </c>
      <c r="I272" t="s">
        <v>104</v>
      </c>
      <c r="J272" t="s">
        <v>73</v>
      </c>
      <c r="K272" s="1">
        <v>45709</v>
      </c>
    </row>
    <row r="273" spans="1:11" x14ac:dyDescent="0.3">
      <c r="A273" t="s">
        <v>440</v>
      </c>
      <c r="B273" s="1">
        <v>45765</v>
      </c>
      <c r="C273" t="s">
        <v>33</v>
      </c>
      <c r="D273" t="s">
        <v>171</v>
      </c>
      <c r="E273">
        <v>777</v>
      </c>
      <c r="F273" t="s">
        <v>167</v>
      </c>
      <c r="G273" t="s">
        <v>168</v>
      </c>
      <c r="I273" t="s">
        <v>132</v>
      </c>
      <c r="J273" t="s">
        <v>61</v>
      </c>
      <c r="K273" s="1">
        <v>45825</v>
      </c>
    </row>
    <row r="274" spans="1:11" x14ac:dyDescent="0.3">
      <c r="A274" t="s">
        <v>441</v>
      </c>
      <c r="B274" s="1">
        <v>45709</v>
      </c>
      <c r="C274" t="s">
        <v>14</v>
      </c>
      <c r="D274" t="s">
        <v>166</v>
      </c>
      <c r="E274">
        <v>608</v>
      </c>
      <c r="F274" t="s">
        <v>167</v>
      </c>
      <c r="G274" t="s">
        <v>168</v>
      </c>
      <c r="I274" t="s">
        <v>110</v>
      </c>
      <c r="J274" t="s">
        <v>58</v>
      </c>
      <c r="K274" s="1">
        <v>45695</v>
      </c>
    </row>
    <row r="275" spans="1:11" x14ac:dyDescent="0.3">
      <c r="A275" t="s">
        <v>442</v>
      </c>
      <c r="B275" s="1">
        <v>45828</v>
      </c>
      <c r="C275" t="s">
        <v>22</v>
      </c>
      <c r="D275" t="s">
        <v>166</v>
      </c>
      <c r="E275">
        <v>689</v>
      </c>
      <c r="F275" t="s">
        <v>167</v>
      </c>
      <c r="G275" t="s">
        <v>168</v>
      </c>
      <c r="I275" t="s">
        <v>102</v>
      </c>
      <c r="J275" t="s">
        <v>73</v>
      </c>
      <c r="K275" s="1">
        <v>45673</v>
      </c>
    </row>
    <row r="276" spans="1:11" x14ac:dyDescent="0.3">
      <c r="A276" t="s">
        <v>443</v>
      </c>
      <c r="B276" s="1">
        <v>45721</v>
      </c>
      <c r="C276" t="s">
        <v>6</v>
      </c>
      <c r="D276" t="s">
        <v>171</v>
      </c>
      <c r="E276">
        <v>735</v>
      </c>
      <c r="F276" t="s">
        <v>167</v>
      </c>
      <c r="G276" t="s">
        <v>168</v>
      </c>
      <c r="I276" t="s">
        <v>124</v>
      </c>
      <c r="J276" t="s">
        <v>67</v>
      </c>
      <c r="K276" s="1">
        <v>45812</v>
      </c>
    </row>
    <row r="277" spans="1:11" x14ac:dyDescent="0.3">
      <c r="A277" t="s">
        <v>444</v>
      </c>
      <c r="B277" s="1">
        <v>45778</v>
      </c>
      <c r="C277" t="s">
        <v>22</v>
      </c>
      <c r="D277" t="s">
        <v>166</v>
      </c>
      <c r="E277">
        <v>386</v>
      </c>
      <c r="F277" t="s">
        <v>167</v>
      </c>
      <c r="G277" t="s">
        <v>168</v>
      </c>
      <c r="I277" t="s">
        <v>88</v>
      </c>
      <c r="J277" t="s">
        <v>58</v>
      </c>
      <c r="K277" s="1">
        <v>45818</v>
      </c>
    </row>
    <row r="278" spans="1:11" x14ac:dyDescent="0.3">
      <c r="A278" t="s">
        <v>445</v>
      </c>
      <c r="B278" s="1">
        <v>45686</v>
      </c>
      <c r="C278" t="s">
        <v>14</v>
      </c>
      <c r="D278" t="s">
        <v>166</v>
      </c>
      <c r="E278">
        <v>67</v>
      </c>
      <c r="F278" t="s">
        <v>167</v>
      </c>
      <c r="G278" t="s">
        <v>168</v>
      </c>
      <c r="I278" t="s">
        <v>146</v>
      </c>
      <c r="J278" t="s">
        <v>70</v>
      </c>
      <c r="K278" s="1">
        <v>45818</v>
      </c>
    </row>
    <row r="279" spans="1:11" x14ac:dyDescent="0.3">
      <c r="A279" t="s">
        <v>446</v>
      </c>
      <c r="B279" s="1">
        <v>45826</v>
      </c>
      <c r="C279" t="s">
        <v>29</v>
      </c>
      <c r="D279" t="s">
        <v>166</v>
      </c>
      <c r="E279">
        <v>937</v>
      </c>
      <c r="F279" t="s">
        <v>167</v>
      </c>
      <c r="G279" t="s">
        <v>168</v>
      </c>
      <c r="I279" t="s">
        <v>134</v>
      </c>
      <c r="J279" t="s">
        <v>58</v>
      </c>
      <c r="K279" s="1">
        <v>45805</v>
      </c>
    </row>
    <row r="280" spans="1:11" x14ac:dyDescent="0.3">
      <c r="A280" t="s">
        <v>447</v>
      </c>
      <c r="B280" s="1">
        <v>45728</v>
      </c>
      <c r="C280" t="s">
        <v>22</v>
      </c>
      <c r="D280" t="s">
        <v>171</v>
      </c>
      <c r="E280">
        <v>782</v>
      </c>
      <c r="F280" t="s">
        <v>167</v>
      </c>
      <c r="G280" t="s">
        <v>168</v>
      </c>
      <c r="I280" t="s">
        <v>94</v>
      </c>
      <c r="J280" t="s">
        <v>61</v>
      </c>
      <c r="K280" s="1">
        <v>45736</v>
      </c>
    </row>
    <row r="281" spans="1:11" x14ac:dyDescent="0.3">
      <c r="A281" t="s">
        <v>448</v>
      </c>
      <c r="B281" s="1">
        <v>45687</v>
      </c>
      <c r="C281" t="s">
        <v>33</v>
      </c>
      <c r="D281" t="s">
        <v>171</v>
      </c>
      <c r="E281">
        <v>880</v>
      </c>
      <c r="F281" t="s">
        <v>167</v>
      </c>
      <c r="G281" t="s">
        <v>168</v>
      </c>
      <c r="I281" t="s">
        <v>144</v>
      </c>
      <c r="J281" t="s">
        <v>73</v>
      </c>
      <c r="K281" s="1">
        <v>45770</v>
      </c>
    </row>
    <row r="282" spans="1:11" x14ac:dyDescent="0.3">
      <c r="A282" t="s">
        <v>449</v>
      </c>
      <c r="B282" s="1">
        <v>45754</v>
      </c>
      <c r="C282" t="s">
        <v>29</v>
      </c>
      <c r="D282" t="s">
        <v>166</v>
      </c>
      <c r="E282">
        <v>481</v>
      </c>
      <c r="F282" t="s">
        <v>167</v>
      </c>
      <c r="G282" t="s">
        <v>168</v>
      </c>
      <c r="I282" t="s">
        <v>94</v>
      </c>
      <c r="J282" t="s">
        <v>61</v>
      </c>
      <c r="K282" s="1">
        <v>45701</v>
      </c>
    </row>
    <row r="283" spans="1:11" x14ac:dyDescent="0.3">
      <c r="A283" t="s">
        <v>450</v>
      </c>
      <c r="B283" s="1">
        <v>45763</v>
      </c>
      <c r="C283" t="s">
        <v>14</v>
      </c>
      <c r="D283" t="s">
        <v>171</v>
      </c>
      <c r="E283">
        <v>726</v>
      </c>
      <c r="F283" t="s">
        <v>167</v>
      </c>
      <c r="G283" t="s">
        <v>168</v>
      </c>
      <c r="I283" t="s">
        <v>126</v>
      </c>
      <c r="J283" t="s">
        <v>64</v>
      </c>
      <c r="K283" s="1">
        <v>45812</v>
      </c>
    </row>
    <row r="284" spans="1:11" x14ac:dyDescent="0.3">
      <c r="A284" t="s">
        <v>451</v>
      </c>
      <c r="B284" s="1">
        <v>45835</v>
      </c>
      <c r="C284" t="s">
        <v>6</v>
      </c>
      <c r="D284" t="s">
        <v>166</v>
      </c>
      <c r="E284">
        <v>699</v>
      </c>
      <c r="F284" t="s">
        <v>167</v>
      </c>
      <c r="G284" t="s">
        <v>168</v>
      </c>
      <c r="I284" t="s">
        <v>108</v>
      </c>
      <c r="J284" t="s">
        <v>55</v>
      </c>
      <c r="K284" s="1">
        <v>45712</v>
      </c>
    </row>
    <row r="285" spans="1:11" x14ac:dyDescent="0.3">
      <c r="A285" t="s">
        <v>452</v>
      </c>
      <c r="B285" s="1">
        <v>45761</v>
      </c>
      <c r="C285" t="s">
        <v>26</v>
      </c>
      <c r="D285" t="s">
        <v>171</v>
      </c>
      <c r="E285">
        <v>289</v>
      </c>
      <c r="F285" t="s">
        <v>167</v>
      </c>
      <c r="G285" t="s">
        <v>168</v>
      </c>
      <c r="I285" t="s">
        <v>148</v>
      </c>
      <c r="J285" t="s">
        <v>70</v>
      </c>
      <c r="K285" s="1">
        <v>45824</v>
      </c>
    </row>
    <row r="286" spans="1:11" x14ac:dyDescent="0.3">
      <c r="A286" t="s">
        <v>453</v>
      </c>
      <c r="B286" s="1">
        <v>45734</v>
      </c>
      <c r="C286" t="s">
        <v>6</v>
      </c>
      <c r="D286" t="s">
        <v>171</v>
      </c>
      <c r="E286">
        <v>537</v>
      </c>
      <c r="F286" t="s">
        <v>167</v>
      </c>
      <c r="G286" t="s">
        <v>168</v>
      </c>
      <c r="I286" t="s">
        <v>128</v>
      </c>
      <c r="J286" t="s">
        <v>49</v>
      </c>
      <c r="K286" s="1">
        <v>45779</v>
      </c>
    </row>
    <row r="287" spans="1:11" x14ac:dyDescent="0.3">
      <c r="A287" t="s">
        <v>454</v>
      </c>
      <c r="B287" s="1">
        <v>45688</v>
      </c>
      <c r="C287" t="s">
        <v>14</v>
      </c>
      <c r="D287" t="s">
        <v>171</v>
      </c>
      <c r="E287">
        <v>66</v>
      </c>
      <c r="F287" t="s">
        <v>167</v>
      </c>
      <c r="G287" t="s">
        <v>168</v>
      </c>
      <c r="I287" t="s">
        <v>124</v>
      </c>
      <c r="J287" t="s">
        <v>64</v>
      </c>
      <c r="K287" s="1">
        <v>45826</v>
      </c>
    </row>
    <row r="288" spans="1:11" x14ac:dyDescent="0.3">
      <c r="A288" t="s">
        <v>455</v>
      </c>
      <c r="B288" s="1">
        <v>45800</v>
      </c>
      <c r="C288" t="s">
        <v>18</v>
      </c>
      <c r="D288" t="s">
        <v>166</v>
      </c>
      <c r="E288">
        <v>449</v>
      </c>
      <c r="F288" t="s">
        <v>167</v>
      </c>
      <c r="G288" t="s">
        <v>168</v>
      </c>
      <c r="I288" t="s">
        <v>106</v>
      </c>
      <c r="J288" t="s">
        <v>55</v>
      </c>
      <c r="K288" s="1">
        <v>45664</v>
      </c>
    </row>
    <row r="289" spans="1:11" x14ac:dyDescent="0.3">
      <c r="A289" t="s">
        <v>456</v>
      </c>
      <c r="B289" s="1">
        <v>45680</v>
      </c>
      <c r="C289" t="s">
        <v>18</v>
      </c>
      <c r="D289" t="s">
        <v>166</v>
      </c>
      <c r="E289">
        <v>540</v>
      </c>
      <c r="F289" t="s">
        <v>167</v>
      </c>
      <c r="G289" t="s">
        <v>168</v>
      </c>
      <c r="I289" t="s">
        <v>134</v>
      </c>
      <c r="J289" t="s">
        <v>52</v>
      </c>
      <c r="K289" s="1">
        <v>45792</v>
      </c>
    </row>
    <row r="290" spans="1:11" x14ac:dyDescent="0.3">
      <c r="A290" t="s">
        <v>457</v>
      </c>
      <c r="B290" s="1">
        <v>45761</v>
      </c>
      <c r="C290" t="s">
        <v>18</v>
      </c>
      <c r="D290" t="s">
        <v>171</v>
      </c>
      <c r="E290">
        <v>211</v>
      </c>
      <c r="F290" t="s">
        <v>167</v>
      </c>
      <c r="G290" t="s">
        <v>168</v>
      </c>
      <c r="I290" t="s">
        <v>108</v>
      </c>
      <c r="J290" t="s">
        <v>73</v>
      </c>
      <c r="K290" s="1">
        <v>45778</v>
      </c>
    </row>
    <row r="291" spans="1:11" x14ac:dyDescent="0.3">
      <c r="A291" t="s">
        <v>458</v>
      </c>
      <c r="B291" s="1">
        <v>45769</v>
      </c>
      <c r="C291" t="s">
        <v>6</v>
      </c>
      <c r="D291" t="s">
        <v>171</v>
      </c>
      <c r="E291">
        <v>16</v>
      </c>
      <c r="F291" t="s">
        <v>167</v>
      </c>
      <c r="G291" t="s">
        <v>168</v>
      </c>
      <c r="I291" t="s">
        <v>138</v>
      </c>
      <c r="J291" t="s">
        <v>76</v>
      </c>
      <c r="K291" s="1">
        <v>45715</v>
      </c>
    </row>
    <row r="292" spans="1:11" x14ac:dyDescent="0.3">
      <c r="A292" t="s">
        <v>459</v>
      </c>
      <c r="B292" s="1">
        <v>45680</v>
      </c>
      <c r="C292" t="s">
        <v>22</v>
      </c>
      <c r="D292" t="s">
        <v>166</v>
      </c>
      <c r="E292">
        <v>297</v>
      </c>
      <c r="F292" t="s">
        <v>167</v>
      </c>
      <c r="G292" t="s">
        <v>168</v>
      </c>
      <c r="I292" t="s">
        <v>102</v>
      </c>
      <c r="J292" t="s">
        <v>70</v>
      </c>
      <c r="K292" s="1">
        <v>45693</v>
      </c>
    </row>
    <row r="293" spans="1:11" x14ac:dyDescent="0.3">
      <c r="A293" t="s">
        <v>460</v>
      </c>
      <c r="B293" s="1">
        <v>45660</v>
      </c>
      <c r="C293" t="s">
        <v>29</v>
      </c>
      <c r="D293" t="s">
        <v>166</v>
      </c>
      <c r="E293">
        <v>989</v>
      </c>
      <c r="F293" t="s">
        <v>167</v>
      </c>
      <c r="G293" t="s">
        <v>168</v>
      </c>
      <c r="I293" t="s">
        <v>148</v>
      </c>
      <c r="J293" t="s">
        <v>55</v>
      </c>
      <c r="K293" s="1">
        <v>45805</v>
      </c>
    </row>
    <row r="294" spans="1:11" x14ac:dyDescent="0.3">
      <c r="A294" t="s">
        <v>461</v>
      </c>
      <c r="B294" s="1">
        <v>45693</v>
      </c>
      <c r="C294" t="s">
        <v>18</v>
      </c>
      <c r="D294" t="s">
        <v>171</v>
      </c>
      <c r="E294">
        <v>130</v>
      </c>
      <c r="F294" t="s">
        <v>167</v>
      </c>
      <c r="G294" t="s">
        <v>168</v>
      </c>
      <c r="I294" t="s">
        <v>146</v>
      </c>
      <c r="J294" t="s">
        <v>67</v>
      </c>
      <c r="K294" s="1">
        <v>45706</v>
      </c>
    </row>
    <row r="295" spans="1:11" x14ac:dyDescent="0.3">
      <c r="A295" t="s">
        <v>462</v>
      </c>
      <c r="B295" s="1">
        <v>45680</v>
      </c>
      <c r="C295" t="s">
        <v>22</v>
      </c>
      <c r="D295" t="s">
        <v>166</v>
      </c>
      <c r="E295">
        <v>919</v>
      </c>
      <c r="F295" t="s">
        <v>167</v>
      </c>
      <c r="G295" t="s">
        <v>168</v>
      </c>
      <c r="I295" t="s">
        <v>146</v>
      </c>
      <c r="J295" t="s">
        <v>49</v>
      </c>
      <c r="K295" s="1">
        <v>45722</v>
      </c>
    </row>
    <row r="296" spans="1:11" x14ac:dyDescent="0.3">
      <c r="A296" t="s">
        <v>463</v>
      </c>
      <c r="B296" s="1">
        <v>45692</v>
      </c>
      <c r="C296" t="s">
        <v>26</v>
      </c>
      <c r="D296" t="s">
        <v>171</v>
      </c>
      <c r="E296">
        <v>196</v>
      </c>
      <c r="F296" t="s">
        <v>167</v>
      </c>
      <c r="G296" t="s">
        <v>168</v>
      </c>
      <c r="I296" t="s">
        <v>114</v>
      </c>
      <c r="J296" t="s">
        <v>52</v>
      </c>
      <c r="K296" s="1">
        <v>45799</v>
      </c>
    </row>
    <row r="297" spans="1:11" x14ac:dyDescent="0.3">
      <c r="A297" t="s">
        <v>464</v>
      </c>
      <c r="B297" s="1">
        <v>45757</v>
      </c>
      <c r="C297" t="s">
        <v>22</v>
      </c>
      <c r="D297" t="s">
        <v>166</v>
      </c>
      <c r="E297">
        <v>925</v>
      </c>
      <c r="F297" t="s">
        <v>167</v>
      </c>
      <c r="G297" t="s">
        <v>168</v>
      </c>
      <c r="I297" t="s">
        <v>94</v>
      </c>
      <c r="J297" t="s">
        <v>61</v>
      </c>
      <c r="K297" s="1">
        <v>45686</v>
      </c>
    </row>
    <row r="298" spans="1:11" x14ac:dyDescent="0.3">
      <c r="A298" t="s">
        <v>465</v>
      </c>
      <c r="B298" s="1">
        <v>45796</v>
      </c>
      <c r="C298" t="s">
        <v>6</v>
      </c>
      <c r="D298" t="s">
        <v>171</v>
      </c>
      <c r="E298">
        <v>244</v>
      </c>
      <c r="F298" t="s">
        <v>167</v>
      </c>
      <c r="G298" t="s">
        <v>168</v>
      </c>
      <c r="I298" t="s">
        <v>91</v>
      </c>
      <c r="J298" t="s">
        <v>52</v>
      </c>
      <c r="K298" s="1">
        <v>45748</v>
      </c>
    </row>
    <row r="299" spans="1:11" x14ac:dyDescent="0.3">
      <c r="A299" t="s">
        <v>466</v>
      </c>
      <c r="B299" s="1">
        <v>45698</v>
      </c>
      <c r="C299" t="s">
        <v>14</v>
      </c>
      <c r="D299" t="s">
        <v>171</v>
      </c>
      <c r="E299">
        <v>635</v>
      </c>
      <c r="F299" t="s">
        <v>167</v>
      </c>
      <c r="G299" t="s">
        <v>168</v>
      </c>
      <c r="I299" t="s">
        <v>150</v>
      </c>
      <c r="J299" t="s">
        <v>49</v>
      </c>
      <c r="K299" s="1">
        <v>45827</v>
      </c>
    </row>
    <row r="300" spans="1:11" x14ac:dyDescent="0.3">
      <c r="A300" t="s">
        <v>467</v>
      </c>
      <c r="B300" s="1">
        <v>45727</v>
      </c>
      <c r="C300" t="s">
        <v>11</v>
      </c>
      <c r="D300" t="s">
        <v>166</v>
      </c>
      <c r="E300">
        <v>175</v>
      </c>
      <c r="F300" t="s">
        <v>167</v>
      </c>
      <c r="G300" t="s">
        <v>168</v>
      </c>
      <c r="I300" t="s">
        <v>140</v>
      </c>
      <c r="J300" t="s">
        <v>73</v>
      </c>
      <c r="K300" s="1">
        <v>45722</v>
      </c>
    </row>
    <row r="301" spans="1:11" x14ac:dyDescent="0.3">
      <c r="A301" t="s">
        <v>468</v>
      </c>
      <c r="B301" s="1">
        <v>45681</v>
      </c>
      <c r="C301" t="s">
        <v>29</v>
      </c>
      <c r="D301" t="s">
        <v>166</v>
      </c>
      <c r="E301">
        <v>448</v>
      </c>
      <c r="F301" t="s">
        <v>167</v>
      </c>
      <c r="G301" t="s">
        <v>168</v>
      </c>
      <c r="I301" t="s">
        <v>148</v>
      </c>
      <c r="J301" t="s">
        <v>70</v>
      </c>
      <c r="K301" s="1">
        <v>45827</v>
      </c>
    </row>
    <row r="302" spans="1:11" x14ac:dyDescent="0.3">
      <c r="A302" t="s">
        <v>469</v>
      </c>
      <c r="B302" s="1">
        <v>45807</v>
      </c>
      <c r="C302" t="s">
        <v>22</v>
      </c>
      <c r="D302" t="s">
        <v>166</v>
      </c>
      <c r="E302">
        <v>469</v>
      </c>
      <c r="F302" t="s">
        <v>167</v>
      </c>
      <c r="G302" t="s">
        <v>168</v>
      </c>
      <c r="I302" t="s">
        <v>132</v>
      </c>
      <c r="J302" t="s">
        <v>67</v>
      </c>
      <c r="K302" s="1">
        <v>45783</v>
      </c>
    </row>
    <row r="303" spans="1:11" x14ac:dyDescent="0.3">
      <c r="A303" t="s">
        <v>470</v>
      </c>
      <c r="B303" s="1">
        <v>45678</v>
      </c>
      <c r="C303" t="s">
        <v>11</v>
      </c>
      <c r="D303" t="s">
        <v>166</v>
      </c>
      <c r="E303">
        <v>220</v>
      </c>
      <c r="F303" t="s">
        <v>167</v>
      </c>
      <c r="G303" t="s">
        <v>168</v>
      </c>
      <c r="I303" t="s">
        <v>122</v>
      </c>
      <c r="J303" t="s">
        <v>58</v>
      </c>
      <c r="K303" s="1">
        <v>45791</v>
      </c>
    </row>
    <row r="304" spans="1:11" x14ac:dyDescent="0.3">
      <c r="A304" t="s">
        <v>471</v>
      </c>
      <c r="B304" s="1">
        <v>45754</v>
      </c>
      <c r="C304" t="s">
        <v>22</v>
      </c>
      <c r="D304" t="s">
        <v>166</v>
      </c>
      <c r="E304">
        <v>269</v>
      </c>
      <c r="F304" t="s">
        <v>167</v>
      </c>
      <c r="G304" t="s">
        <v>168</v>
      </c>
      <c r="I304" t="s">
        <v>126</v>
      </c>
      <c r="J304" t="s">
        <v>64</v>
      </c>
      <c r="K304" s="1">
        <v>45686</v>
      </c>
    </row>
    <row r="305" spans="1:11" x14ac:dyDescent="0.3">
      <c r="A305" t="s">
        <v>472</v>
      </c>
      <c r="B305" s="1">
        <v>45792</v>
      </c>
      <c r="C305" t="s">
        <v>29</v>
      </c>
      <c r="D305" t="s">
        <v>171</v>
      </c>
      <c r="E305">
        <v>977</v>
      </c>
      <c r="F305" t="s">
        <v>167</v>
      </c>
      <c r="G305" t="s">
        <v>168</v>
      </c>
      <c r="I305" t="s">
        <v>110</v>
      </c>
      <c r="J305" t="s">
        <v>58</v>
      </c>
      <c r="K305" s="1">
        <v>45677</v>
      </c>
    </row>
    <row r="306" spans="1:11" x14ac:dyDescent="0.3">
      <c r="A306" t="s">
        <v>473</v>
      </c>
      <c r="B306" s="1">
        <v>45750</v>
      </c>
      <c r="C306" t="s">
        <v>26</v>
      </c>
      <c r="D306" t="s">
        <v>166</v>
      </c>
      <c r="E306">
        <v>405</v>
      </c>
      <c r="F306" t="s">
        <v>167</v>
      </c>
      <c r="G306" t="s">
        <v>168</v>
      </c>
      <c r="I306" t="s">
        <v>148</v>
      </c>
      <c r="J306" t="s">
        <v>64</v>
      </c>
      <c r="K306" s="1">
        <v>45680</v>
      </c>
    </row>
    <row r="307" spans="1:11" x14ac:dyDescent="0.3">
      <c r="A307" t="s">
        <v>474</v>
      </c>
      <c r="B307" s="1">
        <v>45755</v>
      </c>
      <c r="C307" t="s">
        <v>11</v>
      </c>
      <c r="D307" t="s">
        <v>171</v>
      </c>
      <c r="E307">
        <v>380</v>
      </c>
      <c r="F307" t="s">
        <v>167</v>
      </c>
      <c r="G307" t="s">
        <v>168</v>
      </c>
      <c r="I307" t="s">
        <v>102</v>
      </c>
      <c r="J307" t="s">
        <v>52</v>
      </c>
      <c r="K307" s="1">
        <v>45756</v>
      </c>
    </row>
    <row r="308" spans="1:11" x14ac:dyDescent="0.3">
      <c r="A308" t="s">
        <v>475</v>
      </c>
      <c r="B308" s="1">
        <v>45691</v>
      </c>
      <c r="C308" t="s">
        <v>11</v>
      </c>
      <c r="D308" t="s">
        <v>166</v>
      </c>
      <c r="E308">
        <v>879</v>
      </c>
      <c r="F308" t="s">
        <v>167</v>
      </c>
      <c r="G308" t="s">
        <v>168</v>
      </c>
      <c r="I308" t="s">
        <v>122</v>
      </c>
      <c r="J308" t="s">
        <v>58</v>
      </c>
      <c r="K308" s="1">
        <v>45733</v>
      </c>
    </row>
    <row r="309" spans="1:11" x14ac:dyDescent="0.3">
      <c r="A309" t="s">
        <v>476</v>
      </c>
      <c r="B309" s="1">
        <v>45831</v>
      </c>
      <c r="C309" t="s">
        <v>6</v>
      </c>
      <c r="D309" t="s">
        <v>166</v>
      </c>
      <c r="E309">
        <v>720</v>
      </c>
      <c r="F309" t="s">
        <v>167</v>
      </c>
      <c r="G309" t="s">
        <v>168</v>
      </c>
      <c r="I309" t="s">
        <v>88</v>
      </c>
      <c r="J309" t="s">
        <v>64</v>
      </c>
      <c r="K309" s="1">
        <v>45790</v>
      </c>
    </row>
    <row r="310" spans="1:11" x14ac:dyDescent="0.3">
      <c r="A310" t="s">
        <v>477</v>
      </c>
      <c r="B310" s="1">
        <v>45819</v>
      </c>
      <c r="C310" t="s">
        <v>26</v>
      </c>
      <c r="D310" t="s">
        <v>171</v>
      </c>
      <c r="E310">
        <v>614</v>
      </c>
      <c r="F310" t="s">
        <v>167</v>
      </c>
      <c r="G310" t="s">
        <v>168</v>
      </c>
      <c r="I310" t="s">
        <v>148</v>
      </c>
      <c r="J310" t="s">
        <v>67</v>
      </c>
      <c r="K310" s="1">
        <v>45733</v>
      </c>
    </row>
    <row r="311" spans="1:11" x14ac:dyDescent="0.3">
      <c r="A311" t="s">
        <v>478</v>
      </c>
      <c r="B311" s="1">
        <v>45797</v>
      </c>
      <c r="C311" t="s">
        <v>26</v>
      </c>
      <c r="D311" t="s">
        <v>171</v>
      </c>
      <c r="E311">
        <v>270</v>
      </c>
      <c r="F311" t="s">
        <v>167</v>
      </c>
      <c r="G311" t="s">
        <v>168</v>
      </c>
      <c r="I311" t="s">
        <v>138</v>
      </c>
      <c r="J311" t="s">
        <v>52</v>
      </c>
      <c r="K311" s="1">
        <v>45726</v>
      </c>
    </row>
    <row r="312" spans="1:11" x14ac:dyDescent="0.3">
      <c r="A312" t="s">
        <v>479</v>
      </c>
      <c r="B312" s="1">
        <v>45666</v>
      </c>
      <c r="C312" t="s">
        <v>11</v>
      </c>
      <c r="D312" t="s">
        <v>166</v>
      </c>
      <c r="E312">
        <v>648</v>
      </c>
      <c r="F312" t="s">
        <v>167</v>
      </c>
      <c r="G312" t="s">
        <v>168</v>
      </c>
      <c r="I312" t="s">
        <v>106</v>
      </c>
      <c r="J312" t="s">
        <v>49</v>
      </c>
      <c r="K312" s="1">
        <v>45665</v>
      </c>
    </row>
    <row r="313" spans="1:11" x14ac:dyDescent="0.3">
      <c r="A313" t="s">
        <v>480</v>
      </c>
      <c r="B313" s="1">
        <v>45807</v>
      </c>
      <c r="C313" t="s">
        <v>18</v>
      </c>
      <c r="D313" t="s">
        <v>171</v>
      </c>
      <c r="E313">
        <v>121</v>
      </c>
      <c r="F313" t="s">
        <v>167</v>
      </c>
      <c r="G313" t="s">
        <v>168</v>
      </c>
      <c r="I313" t="s">
        <v>118</v>
      </c>
      <c r="J313" t="s">
        <v>76</v>
      </c>
      <c r="K313" s="1">
        <v>45763</v>
      </c>
    </row>
    <row r="314" spans="1:11" x14ac:dyDescent="0.3">
      <c r="A314" t="s">
        <v>481</v>
      </c>
      <c r="B314" s="1">
        <v>45812</v>
      </c>
      <c r="C314" t="s">
        <v>29</v>
      </c>
      <c r="D314" t="s">
        <v>166</v>
      </c>
      <c r="E314">
        <v>259</v>
      </c>
      <c r="F314" t="s">
        <v>167</v>
      </c>
      <c r="G314" t="s">
        <v>168</v>
      </c>
      <c r="I314" t="s">
        <v>140</v>
      </c>
      <c r="J314" t="s">
        <v>64</v>
      </c>
      <c r="K314" s="1">
        <v>45779</v>
      </c>
    </row>
    <row r="315" spans="1:11" x14ac:dyDescent="0.3">
      <c r="A315" t="s">
        <v>482</v>
      </c>
      <c r="B315" s="1">
        <v>45670</v>
      </c>
      <c r="C315" t="s">
        <v>18</v>
      </c>
      <c r="D315" t="s">
        <v>166</v>
      </c>
      <c r="E315">
        <v>313</v>
      </c>
      <c r="F315" t="s">
        <v>167</v>
      </c>
      <c r="G315" t="s">
        <v>168</v>
      </c>
      <c r="I315" t="s">
        <v>108</v>
      </c>
      <c r="J315" t="s">
        <v>58</v>
      </c>
      <c r="K315" s="1">
        <v>45708</v>
      </c>
    </row>
    <row r="316" spans="1:11" x14ac:dyDescent="0.3">
      <c r="A316" t="s">
        <v>483</v>
      </c>
      <c r="B316" s="1">
        <v>45765</v>
      </c>
      <c r="C316" t="s">
        <v>14</v>
      </c>
      <c r="D316" t="s">
        <v>166</v>
      </c>
      <c r="E316">
        <v>629</v>
      </c>
      <c r="F316" t="s">
        <v>167</v>
      </c>
      <c r="G316" t="s">
        <v>168</v>
      </c>
      <c r="I316" t="s">
        <v>118</v>
      </c>
      <c r="J316" t="s">
        <v>49</v>
      </c>
      <c r="K316" s="1">
        <v>45772</v>
      </c>
    </row>
    <row r="317" spans="1:11" x14ac:dyDescent="0.3">
      <c r="A317" t="s">
        <v>484</v>
      </c>
      <c r="B317" s="1">
        <v>45695</v>
      </c>
      <c r="C317" t="s">
        <v>14</v>
      </c>
      <c r="D317" t="s">
        <v>171</v>
      </c>
      <c r="E317">
        <v>222</v>
      </c>
      <c r="F317" t="s">
        <v>167</v>
      </c>
      <c r="G317" t="s">
        <v>168</v>
      </c>
      <c r="I317" t="s">
        <v>132</v>
      </c>
      <c r="J317" t="s">
        <v>67</v>
      </c>
      <c r="K317" s="1">
        <v>45798</v>
      </c>
    </row>
    <row r="318" spans="1:11" x14ac:dyDescent="0.3">
      <c r="A318" t="s">
        <v>485</v>
      </c>
      <c r="B318" s="1">
        <v>45699</v>
      </c>
      <c r="C318" t="s">
        <v>22</v>
      </c>
      <c r="D318" t="s">
        <v>171</v>
      </c>
      <c r="E318">
        <v>31</v>
      </c>
      <c r="F318" t="s">
        <v>167</v>
      </c>
      <c r="G318" t="s">
        <v>168</v>
      </c>
      <c r="I318" t="s">
        <v>94</v>
      </c>
      <c r="J318" t="s">
        <v>58</v>
      </c>
      <c r="K318" s="1">
        <v>45824</v>
      </c>
    </row>
    <row r="319" spans="1:11" x14ac:dyDescent="0.3">
      <c r="A319" t="s">
        <v>486</v>
      </c>
      <c r="B319" s="1">
        <v>45659</v>
      </c>
      <c r="C319" t="s">
        <v>14</v>
      </c>
      <c r="D319" t="s">
        <v>166</v>
      </c>
      <c r="E319">
        <v>722</v>
      </c>
      <c r="F319" t="s">
        <v>167</v>
      </c>
      <c r="G319" t="s">
        <v>168</v>
      </c>
      <c r="I319" t="s">
        <v>150</v>
      </c>
      <c r="J319" t="s">
        <v>73</v>
      </c>
      <c r="K319" s="1">
        <v>45740</v>
      </c>
    </row>
    <row r="320" spans="1:11" x14ac:dyDescent="0.3">
      <c r="A320" t="s">
        <v>487</v>
      </c>
      <c r="B320" s="1">
        <v>45798</v>
      </c>
      <c r="C320" t="s">
        <v>18</v>
      </c>
      <c r="D320" t="s">
        <v>166</v>
      </c>
      <c r="E320">
        <v>767</v>
      </c>
      <c r="F320" t="s">
        <v>167</v>
      </c>
      <c r="G320" t="s">
        <v>168</v>
      </c>
      <c r="I320" t="s">
        <v>97</v>
      </c>
      <c r="J320" t="s">
        <v>55</v>
      </c>
      <c r="K320" s="1">
        <v>45784</v>
      </c>
    </row>
    <row r="321" spans="1:11" x14ac:dyDescent="0.3">
      <c r="A321" t="s">
        <v>488</v>
      </c>
      <c r="B321" s="1">
        <v>45702</v>
      </c>
      <c r="C321" t="s">
        <v>18</v>
      </c>
      <c r="D321" t="s">
        <v>166</v>
      </c>
      <c r="E321">
        <v>519</v>
      </c>
      <c r="F321" t="s">
        <v>167</v>
      </c>
      <c r="G321" t="s">
        <v>168</v>
      </c>
      <c r="I321" t="s">
        <v>140</v>
      </c>
      <c r="J321" t="s">
        <v>58</v>
      </c>
      <c r="K321" s="1">
        <v>45685</v>
      </c>
    </row>
    <row r="322" spans="1:11" x14ac:dyDescent="0.3">
      <c r="A322" t="s">
        <v>489</v>
      </c>
      <c r="B322" s="1">
        <v>45825</v>
      </c>
      <c r="C322" t="s">
        <v>29</v>
      </c>
      <c r="D322" t="s">
        <v>166</v>
      </c>
      <c r="E322">
        <v>96</v>
      </c>
      <c r="F322" t="s">
        <v>167</v>
      </c>
      <c r="G322" t="s">
        <v>168</v>
      </c>
      <c r="I322" t="s">
        <v>120</v>
      </c>
      <c r="J322" t="s">
        <v>64</v>
      </c>
      <c r="K322" s="1">
        <v>45786</v>
      </c>
    </row>
    <row r="323" spans="1:11" x14ac:dyDescent="0.3">
      <c r="A323" t="s">
        <v>490</v>
      </c>
      <c r="B323" s="1">
        <v>45721</v>
      </c>
      <c r="C323" t="s">
        <v>33</v>
      </c>
      <c r="D323" t="s">
        <v>171</v>
      </c>
      <c r="E323">
        <v>287</v>
      </c>
      <c r="F323" t="s">
        <v>167</v>
      </c>
      <c r="G323" t="s">
        <v>168</v>
      </c>
      <c r="I323" t="s">
        <v>106</v>
      </c>
      <c r="J323" t="s">
        <v>76</v>
      </c>
      <c r="K323" s="1">
        <v>45779</v>
      </c>
    </row>
    <row r="324" spans="1:11" x14ac:dyDescent="0.3">
      <c r="A324" t="s">
        <v>491</v>
      </c>
      <c r="B324" s="1">
        <v>45733</v>
      </c>
      <c r="C324" t="s">
        <v>14</v>
      </c>
      <c r="D324" t="s">
        <v>166</v>
      </c>
      <c r="E324">
        <v>430</v>
      </c>
      <c r="F324" t="s">
        <v>167</v>
      </c>
      <c r="G324" t="s">
        <v>168</v>
      </c>
      <c r="I324" t="s">
        <v>142</v>
      </c>
      <c r="J324" t="s">
        <v>49</v>
      </c>
      <c r="K324" s="1">
        <v>45757</v>
      </c>
    </row>
    <row r="325" spans="1:11" x14ac:dyDescent="0.3">
      <c r="A325" t="s">
        <v>492</v>
      </c>
      <c r="B325" s="1">
        <v>45729</v>
      </c>
      <c r="C325" t="s">
        <v>6</v>
      </c>
      <c r="D325" t="s">
        <v>166</v>
      </c>
      <c r="E325">
        <v>383</v>
      </c>
      <c r="F325" t="s">
        <v>167</v>
      </c>
      <c r="G325" t="s">
        <v>168</v>
      </c>
      <c r="I325" t="s">
        <v>114</v>
      </c>
      <c r="J325" t="s">
        <v>52</v>
      </c>
      <c r="K325" s="1">
        <v>45793</v>
      </c>
    </row>
    <row r="326" spans="1:11" x14ac:dyDescent="0.3">
      <c r="A326" t="s">
        <v>493</v>
      </c>
      <c r="B326" s="1">
        <v>45776</v>
      </c>
      <c r="C326" t="s">
        <v>18</v>
      </c>
      <c r="D326" t="s">
        <v>171</v>
      </c>
      <c r="E326">
        <v>206</v>
      </c>
      <c r="F326" t="s">
        <v>167</v>
      </c>
      <c r="G326" t="s">
        <v>168</v>
      </c>
      <c r="I326" t="s">
        <v>110</v>
      </c>
      <c r="J326" t="s">
        <v>55</v>
      </c>
      <c r="K326" s="1">
        <v>45791</v>
      </c>
    </row>
    <row r="327" spans="1:11" x14ac:dyDescent="0.3">
      <c r="A327" t="s">
        <v>494</v>
      </c>
      <c r="B327" s="1">
        <v>45671</v>
      </c>
      <c r="C327" t="s">
        <v>11</v>
      </c>
      <c r="D327" t="s">
        <v>171</v>
      </c>
      <c r="E327">
        <v>978</v>
      </c>
      <c r="F327" t="s">
        <v>167</v>
      </c>
      <c r="G327" t="s">
        <v>168</v>
      </c>
      <c r="I327" t="s">
        <v>114</v>
      </c>
      <c r="J327" t="s">
        <v>67</v>
      </c>
      <c r="K327" s="1">
        <v>45691</v>
      </c>
    </row>
    <row r="328" spans="1:11" x14ac:dyDescent="0.3">
      <c r="A328" t="s">
        <v>495</v>
      </c>
      <c r="B328" s="1">
        <v>45672</v>
      </c>
      <c r="C328" t="s">
        <v>33</v>
      </c>
      <c r="D328" t="s">
        <v>166</v>
      </c>
      <c r="E328">
        <v>455</v>
      </c>
      <c r="F328" t="s">
        <v>167</v>
      </c>
      <c r="G328" t="s">
        <v>168</v>
      </c>
      <c r="I328" t="s">
        <v>114</v>
      </c>
      <c r="J328" t="s">
        <v>55</v>
      </c>
      <c r="K328" s="1">
        <v>45747</v>
      </c>
    </row>
    <row r="329" spans="1:11" x14ac:dyDescent="0.3">
      <c r="A329" t="s">
        <v>496</v>
      </c>
      <c r="B329" s="1">
        <v>45706</v>
      </c>
      <c r="C329" t="s">
        <v>6</v>
      </c>
      <c r="D329" t="s">
        <v>171</v>
      </c>
      <c r="E329">
        <v>854</v>
      </c>
      <c r="F329" t="s">
        <v>167</v>
      </c>
      <c r="G329" t="s">
        <v>168</v>
      </c>
      <c r="I329" t="s">
        <v>130</v>
      </c>
      <c r="J329" t="s">
        <v>58</v>
      </c>
      <c r="K329" s="1">
        <v>45748</v>
      </c>
    </row>
    <row r="330" spans="1:11" x14ac:dyDescent="0.3">
      <c r="A330" t="s">
        <v>497</v>
      </c>
      <c r="B330" s="1">
        <v>45762</v>
      </c>
      <c r="C330" t="s">
        <v>11</v>
      </c>
      <c r="D330" t="s">
        <v>166</v>
      </c>
      <c r="E330">
        <v>449</v>
      </c>
      <c r="F330" t="s">
        <v>167</v>
      </c>
      <c r="G330" t="s">
        <v>168</v>
      </c>
      <c r="I330" t="s">
        <v>104</v>
      </c>
      <c r="J330" t="s">
        <v>55</v>
      </c>
      <c r="K330" s="1">
        <v>45833</v>
      </c>
    </row>
    <row r="331" spans="1:11" x14ac:dyDescent="0.3">
      <c r="A331" t="s">
        <v>498</v>
      </c>
      <c r="B331" s="1">
        <v>45743</v>
      </c>
      <c r="C331" t="s">
        <v>18</v>
      </c>
      <c r="D331" t="s">
        <v>166</v>
      </c>
      <c r="E331">
        <v>249</v>
      </c>
      <c r="F331" t="s">
        <v>167</v>
      </c>
      <c r="G331" t="s">
        <v>168</v>
      </c>
      <c r="I331" t="s">
        <v>128</v>
      </c>
      <c r="J331" t="s">
        <v>73</v>
      </c>
      <c r="K331" s="1">
        <v>45659</v>
      </c>
    </row>
    <row r="332" spans="1:11" x14ac:dyDescent="0.3">
      <c r="A332" t="s">
        <v>499</v>
      </c>
      <c r="B332" s="1">
        <v>45824</v>
      </c>
      <c r="C332" t="s">
        <v>33</v>
      </c>
      <c r="D332" t="s">
        <v>171</v>
      </c>
      <c r="E332">
        <v>301</v>
      </c>
      <c r="F332" t="s">
        <v>167</v>
      </c>
      <c r="G332" t="s">
        <v>168</v>
      </c>
      <c r="I332" t="s">
        <v>118</v>
      </c>
      <c r="J332" t="s">
        <v>67</v>
      </c>
      <c r="K332" s="1">
        <v>45705</v>
      </c>
    </row>
    <row r="333" spans="1:11" x14ac:dyDescent="0.3">
      <c r="A333" t="s">
        <v>500</v>
      </c>
      <c r="B333" s="1">
        <v>45702</v>
      </c>
      <c r="C333" t="s">
        <v>6</v>
      </c>
      <c r="D333" t="s">
        <v>166</v>
      </c>
      <c r="E333">
        <v>285</v>
      </c>
      <c r="F333" t="s">
        <v>167</v>
      </c>
      <c r="G333" t="s">
        <v>168</v>
      </c>
      <c r="I333" t="s">
        <v>146</v>
      </c>
      <c r="J333" t="s">
        <v>55</v>
      </c>
      <c r="K333" s="1">
        <v>45831</v>
      </c>
    </row>
    <row r="334" spans="1:11" x14ac:dyDescent="0.3">
      <c r="A334" t="s">
        <v>501</v>
      </c>
      <c r="B334" s="1">
        <v>45764</v>
      </c>
      <c r="C334" t="s">
        <v>6</v>
      </c>
      <c r="D334" t="s">
        <v>171</v>
      </c>
      <c r="E334">
        <v>94</v>
      </c>
      <c r="F334" t="s">
        <v>167</v>
      </c>
      <c r="G334" t="s">
        <v>168</v>
      </c>
      <c r="I334" t="s">
        <v>124</v>
      </c>
      <c r="J334" t="s">
        <v>58</v>
      </c>
      <c r="K334" s="1">
        <v>45749</v>
      </c>
    </row>
    <row r="335" spans="1:11" x14ac:dyDescent="0.3">
      <c r="A335" t="s">
        <v>502</v>
      </c>
      <c r="B335" s="1">
        <v>45818</v>
      </c>
      <c r="C335" t="s">
        <v>18</v>
      </c>
      <c r="D335" t="s">
        <v>166</v>
      </c>
      <c r="E335">
        <v>108</v>
      </c>
      <c r="F335" t="s">
        <v>167</v>
      </c>
      <c r="G335" t="s">
        <v>168</v>
      </c>
      <c r="I335" t="s">
        <v>120</v>
      </c>
      <c r="J335" t="s">
        <v>70</v>
      </c>
      <c r="K335" s="1">
        <v>45719</v>
      </c>
    </row>
    <row r="336" spans="1:11" x14ac:dyDescent="0.3">
      <c r="A336" t="s">
        <v>503</v>
      </c>
      <c r="B336" s="1">
        <v>45708</v>
      </c>
      <c r="C336" t="s">
        <v>22</v>
      </c>
      <c r="D336" t="s">
        <v>166</v>
      </c>
      <c r="E336">
        <v>128</v>
      </c>
      <c r="F336" t="s">
        <v>167</v>
      </c>
      <c r="G336" t="s">
        <v>168</v>
      </c>
      <c r="I336" t="s">
        <v>128</v>
      </c>
      <c r="J336" t="s">
        <v>58</v>
      </c>
      <c r="K336" s="1">
        <v>45834</v>
      </c>
    </row>
    <row r="337" spans="1:11" x14ac:dyDescent="0.3">
      <c r="A337" t="s">
        <v>504</v>
      </c>
      <c r="B337" s="1">
        <v>45813</v>
      </c>
      <c r="C337" t="s">
        <v>11</v>
      </c>
      <c r="D337" t="s">
        <v>171</v>
      </c>
      <c r="E337">
        <v>247</v>
      </c>
      <c r="F337" t="s">
        <v>167</v>
      </c>
      <c r="G337" t="s">
        <v>168</v>
      </c>
      <c r="I337" t="s">
        <v>136</v>
      </c>
      <c r="J337" t="s">
        <v>61</v>
      </c>
      <c r="K337" s="1">
        <v>45733</v>
      </c>
    </row>
    <row r="338" spans="1:11" x14ac:dyDescent="0.3">
      <c r="A338" t="s">
        <v>505</v>
      </c>
      <c r="B338" s="1">
        <v>45828</v>
      </c>
      <c r="C338" t="s">
        <v>22</v>
      </c>
      <c r="D338" t="s">
        <v>171</v>
      </c>
      <c r="E338">
        <v>263</v>
      </c>
      <c r="F338" t="s">
        <v>167</v>
      </c>
      <c r="G338" t="s">
        <v>168</v>
      </c>
      <c r="I338" t="s">
        <v>120</v>
      </c>
      <c r="J338" t="s">
        <v>76</v>
      </c>
      <c r="K338" s="1">
        <v>45694</v>
      </c>
    </row>
    <row r="339" spans="1:11" x14ac:dyDescent="0.3">
      <c r="A339" t="s">
        <v>506</v>
      </c>
      <c r="B339" s="1">
        <v>45783</v>
      </c>
      <c r="C339" t="s">
        <v>26</v>
      </c>
      <c r="D339" t="s">
        <v>171</v>
      </c>
      <c r="E339">
        <v>936</v>
      </c>
      <c r="F339" t="s">
        <v>167</v>
      </c>
      <c r="G339" t="s">
        <v>168</v>
      </c>
      <c r="I339" t="s">
        <v>106</v>
      </c>
      <c r="J339" t="s">
        <v>73</v>
      </c>
      <c r="K339" s="1">
        <v>45673</v>
      </c>
    </row>
    <row r="340" spans="1:11" x14ac:dyDescent="0.3">
      <c r="A340" t="s">
        <v>507</v>
      </c>
      <c r="B340" s="1">
        <v>45791</v>
      </c>
      <c r="C340" t="s">
        <v>26</v>
      </c>
      <c r="D340" t="s">
        <v>166</v>
      </c>
      <c r="E340">
        <v>866</v>
      </c>
      <c r="F340" t="s">
        <v>167</v>
      </c>
      <c r="G340" t="s">
        <v>168</v>
      </c>
      <c r="I340" t="s">
        <v>104</v>
      </c>
      <c r="J340" t="s">
        <v>49</v>
      </c>
      <c r="K340" s="1">
        <v>45720</v>
      </c>
    </row>
    <row r="341" spans="1:11" x14ac:dyDescent="0.3">
      <c r="A341" t="s">
        <v>508</v>
      </c>
      <c r="B341" s="1">
        <v>45743</v>
      </c>
      <c r="C341" t="s">
        <v>11</v>
      </c>
      <c r="D341" t="s">
        <v>166</v>
      </c>
      <c r="E341">
        <v>974</v>
      </c>
      <c r="F341" t="s">
        <v>167</v>
      </c>
      <c r="G341" t="s">
        <v>168</v>
      </c>
      <c r="I341" t="s">
        <v>122</v>
      </c>
      <c r="J341" t="s">
        <v>73</v>
      </c>
      <c r="K341" s="1">
        <v>45789</v>
      </c>
    </row>
    <row r="342" spans="1:11" x14ac:dyDescent="0.3">
      <c r="A342" t="s">
        <v>509</v>
      </c>
      <c r="B342" s="1">
        <v>45826</v>
      </c>
      <c r="C342" t="s">
        <v>18</v>
      </c>
      <c r="D342" t="s">
        <v>166</v>
      </c>
      <c r="E342">
        <v>853</v>
      </c>
      <c r="F342" t="s">
        <v>167</v>
      </c>
      <c r="G342" t="s">
        <v>168</v>
      </c>
      <c r="I342" t="s">
        <v>118</v>
      </c>
      <c r="J342" t="s">
        <v>70</v>
      </c>
      <c r="K342" s="1">
        <v>45754</v>
      </c>
    </row>
    <row r="343" spans="1:11" x14ac:dyDescent="0.3">
      <c r="A343" t="s">
        <v>510</v>
      </c>
      <c r="B343" s="1">
        <v>45721</v>
      </c>
      <c r="C343" t="s">
        <v>33</v>
      </c>
      <c r="D343" t="s">
        <v>166</v>
      </c>
      <c r="E343">
        <v>799</v>
      </c>
      <c r="F343" t="s">
        <v>167</v>
      </c>
      <c r="G343" t="s">
        <v>168</v>
      </c>
      <c r="I343" t="s">
        <v>112</v>
      </c>
      <c r="J343" t="s">
        <v>55</v>
      </c>
      <c r="K343" s="1">
        <v>45733</v>
      </c>
    </row>
    <row r="344" spans="1:11" x14ac:dyDescent="0.3">
      <c r="A344" t="s">
        <v>511</v>
      </c>
      <c r="B344" s="1">
        <v>45762</v>
      </c>
      <c r="C344" t="s">
        <v>18</v>
      </c>
      <c r="D344" t="s">
        <v>171</v>
      </c>
      <c r="E344">
        <v>895</v>
      </c>
      <c r="F344" t="s">
        <v>167</v>
      </c>
      <c r="G344" t="s">
        <v>168</v>
      </c>
      <c r="I344" t="s">
        <v>104</v>
      </c>
      <c r="J344" t="s">
        <v>67</v>
      </c>
      <c r="K344" s="1">
        <v>45833</v>
      </c>
    </row>
    <row r="345" spans="1:11" x14ac:dyDescent="0.3">
      <c r="A345" t="s">
        <v>512</v>
      </c>
      <c r="B345" s="1">
        <v>45743</v>
      </c>
      <c r="C345" t="s">
        <v>14</v>
      </c>
      <c r="D345" t="s">
        <v>171</v>
      </c>
      <c r="E345">
        <v>32</v>
      </c>
      <c r="F345" t="s">
        <v>167</v>
      </c>
      <c r="G345" t="s">
        <v>168</v>
      </c>
      <c r="I345" t="s">
        <v>132</v>
      </c>
      <c r="J345" t="s">
        <v>70</v>
      </c>
      <c r="K345" s="1">
        <v>45685</v>
      </c>
    </row>
    <row r="346" spans="1:11" x14ac:dyDescent="0.3">
      <c r="A346" t="s">
        <v>513</v>
      </c>
      <c r="B346" s="1">
        <v>45814</v>
      </c>
      <c r="C346" t="s">
        <v>18</v>
      </c>
      <c r="D346" t="s">
        <v>171</v>
      </c>
      <c r="E346">
        <v>53</v>
      </c>
      <c r="F346" t="s">
        <v>167</v>
      </c>
      <c r="G346" t="s">
        <v>168</v>
      </c>
      <c r="I346" t="s">
        <v>118</v>
      </c>
      <c r="J346" t="s">
        <v>58</v>
      </c>
      <c r="K346" s="1">
        <v>45694</v>
      </c>
    </row>
    <row r="347" spans="1:11" x14ac:dyDescent="0.3">
      <c r="A347" t="s">
        <v>514</v>
      </c>
      <c r="B347" s="1">
        <v>45807</v>
      </c>
      <c r="C347" t="s">
        <v>26</v>
      </c>
      <c r="D347" t="s">
        <v>166</v>
      </c>
      <c r="E347">
        <v>228</v>
      </c>
      <c r="F347" t="s">
        <v>167</v>
      </c>
      <c r="G347" t="s">
        <v>168</v>
      </c>
      <c r="I347" t="s">
        <v>140</v>
      </c>
      <c r="J347" t="s">
        <v>49</v>
      </c>
      <c r="K347" s="1">
        <v>45666</v>
      </c>
    </row>
    <row r="348" spans="1:11" x14ac:dyDescent="0.3">
      <c r="A348" t="s">
        <v>515</v>
      </c>
      <c r="B348" s="1">
        <v>45672</v>
      </c>
      <c r="C348" t="s">
        <v>29</v>
      </c>
      <c r="D348" t="s">
        <v>171</v>
      </c>
      <c r="E348">
        <v>879</v>
      </c>
      <c r="F348" t="s">
        <v>167</v>
      </c>
      <c r="G348" t="s">
        <v>168</v>
      </c>
      <c r="I348" t="s">
        <v>108</v>
      </c>
      <c r="J348" t="s">
        <v>61</v>
      </c>
      <c r="K348" s="1">
        <v>45796</v>
      </c>
    </row>
    <row r="349" spans="1:11" x14ac:dyDescent="0.3">
      <c r="A349" t="s">
        <v>516</v>
      </c>
      <c r="B349" s="1">
        <v>45713</v>
      </c>
      <c r="C349" t="s">
        <v>18</v>
      </c>
      <c r="D349" t="s">
        <v>171</v>
      </c>
      <c r="E349">
        <v>796</v>
      </c>
      <c r="F349" t="s">
        <v>167</v>
      </c>
      <c r="G349" t="s">
        <v>168</v>
      </c>
      <c r="I349" t="s">
        <v>134</v>
      </c>
      <c r="J349" t="s">
        <v>61</v>
      </c>
      <c r="K349" s="1">
        <v>45705</v>
      </c>
    </row>
    <row r="350" spans="1:11" x14ac:dyDescent="0.3">
      <c r="A350" t="s">
        <v>517</v>
      </c>
      <c r="B350" s="1">
        <v>45665</v>
      </c>
      <c r="C350" t="s">
        <v>14</v>
      </c>
      <c r="D350" t="s">
        <v>171</v>
      </c>
      <c r="E350">
        <v>793</v>
      </c>
      <c r="F350" t="s">
        <v>167</v>
      </c>
      <c r="G350" t="s">
        <v>168</v>
      </c>
      <c r="I350" t="s">
        <v>138</v>
      </c>
      <c r="J350" t="s">
        <v>49</v>
      </c>
      <c r="K350" s="1">
        <v>45749</v>
      </c>
    </row>
    <row r="351" spans="1:11" x14ac:dyDescent="0.3">
      <c r="A351" t="s">
        <v>518</v>
      </c>
      <c r="B351" s="1">
        <v>45756</v>
      </c>
      <c r="C351" t="s">
        <v>14</v>
      </c>
      <c r="D351" t="s">
        <v>171</v>
      </c>
      <c r="E351">
        <v>887</v>
      </c>
      <c r="F351" t="s">
        <v>167</v>
      </c>
      <c r="G351" t="s">
        <v>168</v>
      </c>
      <c r="I351" t="s">
        <v>118</v>
      </c>
      <c r="J351" t="s">
        <v>61</v>
      </c>
      <c r="K351" s="1">
        <v>45671</v>
      </c>
    </row>
    <row r="352" spans="1:11" x14ac:dyDescent="0.3">
      <c r="A352" t="s">
        <v>519</v>
      </c>
      <c r="B352" s="1">
        <v>45691</v>
      </c>
      <c r="C352" t="s">
        <v>29</v>
      </c>
      <c r="D352" t="s">
        <v>166</v>
      </c>
      <c r="E352">
        <v>320</v>
      </c>
      <c r="F352" t="s">
        <v>167</v>
      </c>
      <c r="G352" t="s">
        <v>168</v>
      </c>
      <c r="I352" t="s">
        <v>128</v>
      </c>
      <c r="J352" t="s">
        <v>58</v>
      </c>
      <c r="K352" s="1">
        <v>45820</v>
      </c>
    </row>
    <row r="353" spans="1:11" x14ac:dyDescent="0.3">
      <c r="A353" t="s">
        <v>520</v>
      </c>
      <c r="B353" s="1">
        <v>45688</v>
      </c>
      <c r="C353" t="s">
        <v>29</v>
      </c>
      <c r="D353" t="s">
        <v>166</v>
      </c>
      <c r="E353">
        <v>604</v>
      </c>
      <c r="F353" t="s">
        <v>167</v>
      </c>
      <c r="G353" t="s">
        <v>168</v>
      </c>
      <c r="I353" t="s">
        <v>118</v>
      </c>
      <c r="J353" t="s">
        <v>76</v>
      </c>
      <c r="K353" s="1">
        <v>45832</v>
      </c>
    </row>
    <row r="354" spans="1:11" x14ac:dyDescent="0.3">
      <c r="A354" t="s">
        <v>521</v>
      </c>
      <c r="B354" s="1">
        <v>45835</v>
      </c>
      <c r="C354" t="s">
        <v>14</v>
      </c>
      <c r="D354" t="s">
        <v>171</v>
      </c>
      <c r="E354">
        <v>711</v>
      </c>
      <c r="F354" t="s">
        <v>167</v>
      </c>
      <c r="G354" t="s">
        <v>168</v>
      </c>
      <c r="I354" t="s">
        <v>106</v>
      </c>
      <c r="J354" t="s">
        <v>76</v>
      </c>
      <c r="K354" s="1">
        <v>45720</v>
      </c>
    </row>
    <row r="355" spans="1:11" x14ac:dyDescent="0.3">
      <c r="A355" t="s">
        <v>522</v>
      </c>
      <c r="B355" s="1">
        <v>45679</v>
      </c>
      <c r="C355" t="s">
        <v>11</v>
      </c>
      <c r="D355" t="s">
        <v>166</v>
      </c>
      <c r="E355">
        <v>432</v>
      </c>
      <c r="F355" t="s">
        <v>167</v>
      </c>
      <c r="G355" t="s">
        <v>168</v>
      </c>
      <c r="I355" t="s">
        <v>91</v>
      </c>
      <c r="J355" t="s">
        <v>55</v>
      </c>
      <c r="K355" s="1">
        <v>45720</v>
      </c>
    </row>
    <row r="356" spans="1:11" x14ac:dyDescent="0.3">
      <c r="A356" t="s">
        <v>523</v>
      </c>
      <c r="B356" s="1">
        <v>45799</v>
      </c>
      <c r="C356" t="s">
        <v>11</v>
      </c>
      <c r="D356" t="s">
        <v>171</v>
      </c>
      <c r="E356">
        <v>913</v>
      </c>
      <c r="F356" t="s">
        <v>167</v>
      </c>
      <c r="G356" t="s">
        <v>168</v>
      </c>
      <c r="I356" t="s">
        <v>108</v>
      </c>
      <c r="J356" t="s">
        <v>61</v>
      </c>
      <c r="K356" s="1">
        <v>45686</v>
      </c>
    </row>
    <row r="357" spans="1:11" x14ac:dyDescent="0.3">
      <c r="A357" t="s">
        <v>524</v>
      </c>
      <c r="B357" s="1">
        <v>45800</v>
      </c>
      <c r="C357" t="s">
        <v>11</v>
      </c>
      <c r="D357" t="s">
        <v>166</v>
      </c>
      <c r="E357">
        <v>988</v>
      </c>
      <c r="F357" t="s">
        <v>167</v>
      </c>
      <c r="G357" t="s">
        <v>168</v>
      </c>
      <c r="I357" t="s">
        <v>104</v>
      </c>
      <c r="J357" t="s">
        <v>49</v>
      </c>
      <c r="K357" s="1">
        <v>45663</v>
      </c>
    </row>
    <row r="358" spans="1:11" x14ac:dyDescent="0.3">
      <c r="A358" t="s">
        <v>525</v>
      </c>
      <c r="B358" s="1">
        <v>45751</v>
      </c>
      <c r="C358" t="s">
        <v>6</v>
      </c>
      <c r="D358" t="s">
        <v>166</v>
      </c>
      <c r="E358">
        <v>707</v>
      </c>
      <c r="F358" t="s">
        <v>167</v>
      </c>
      <c r="G358" t="s">
        <v>168</v>
      </c>
      <c r="I358" t="s">
        <v>112</v>
      </c>
      <c r="J358" t="s">
        <v>70</v>
      </c>
      <c r="K358" s="1">
        <v>45825</v>
      </c>
    </row>
    <row r="359" spans="1:11" x14ac:dyDescent="0.3">
      <c r="A359" t="s">
        <v>526</v>
      </c>
      <c r="B359" s="1">
        <v>45818</v>
      </c>
      <c r="C359" t="s">
        <v>6</v>
      </c>
      <c r="D359" t="s">
        <v>171</v>
      </c>
      <c r="E359">
        <v>783</v>
      </c>
      <c r="F359" t="s">
        <v>167</v>
      </c>
      <c r="G359" t="s">
        <v>168</v>
      </c>
      <c r="I359" t="s">
        <v>94</v>
      </c>
      <c r="J359" t="s">
        <v>76</v>
      </c>
      <c r="K359" s="1">
        <v>45758</v>
      </c>
    </row>
    <row r="360" spans="1:11" x14ac:dyDescent="0.3">
      <c r="A360" t="s">
        <v>527</v>
      </c>
      <c r="B360" s="1">
        <v>45798</v>
      </c>
      <c r="C360" t="s">
        <v>33</v>
      </c>
      <c r="D360" t="s">
        <v>171</v>
      </c>
      <c r="E360">
        <v>349</v>
      </c>
      <c r="F360" t="s">
        <v>167</v>
      </c>
      <c r="G360" t="s">
        <v>168</v>
      </c>
      <c r="I360" t="s">
        <v>97</v>
      </c>
      <c r="J360" t="s">
        <v>64</v>
      </c>
      <c r="K360" s="1">
        <v>45708</v>
      </c>
    </row>
    <row r="361" spans="1:11" x14ac:dyDescent="0.3">
      <c r="A361" t="s">
        <v>528</v>
      </c>
      <c r="B361" s="1">
        <v>45730</v>
      </c>
      <c r="C361" t="s">
        <v>26</v>
      </c>
      <c r="D361" t="s">
        <v>171</v>
      </c>
      <c r="E361">
        <v>666</v>
      </c>
      <c r="F361" t="s">
        <v>167</v>
      </c>
      <c r="G361" t="s">
        <v>168</v>
      </c>
      <c r="I361" t="s">
        <v>140</v>
      </c>
      <c r="J361" t="s">
        <v>73</v>
      </c>
      <c r="K361" s="1">
        <v>45805</v>
      </c>
    </row>
    <row r="362" spans="1:11" x14ac:dyDescent="0.3">
      <c r="A362" t="s">
        <v>529</v>
      </c>
      <c r="B362" s="1">
        <v>45663</v>
      </c>
      <c r="C362" t="s">
        <v>29</v>
      </c>
      <c r="D362" t="s">
        <v>171</v>
      </c>
      <c r="E362">
        <v>685</v>
      </c>
      <c r="F362" t="s">
        <v>167</v>
      </c>
      <c r="G362" t="s">
        <v>168</v>
      </c>
      <c r="I362" t="s">
        <v>106</v>
      </c>
      <c r="J362" t="s">
        <v>52</v>
      </c>
      <c r="K362" s="1">
        <v>45713</v>
      </c>
    </row>
    <row r="363" spans="1:11" x14ac:dyDescent="0.3">
      <c r="A363" t="s">
        <v>530</v>
      </c>
      <c r="B363" s="1">
        <v>45677</v>
      </c>
      <c r="C363" t="s">
        <v>18</v>
      </c>
      <c r="D363" t="s">
        <v>166</v>
      </c>
      <c r="E363">
        <v>65</v>
      </c>
      <c r="F363" t="s">
        <v>167</v>
      </c>
      <c r="G363" t="s">
        <v>168</v>
      </c>
      <c r="I363" t="s">
        <v>94</v>
      </c>
      <c r="J363" t="s">
        <v>49</v>
      </c>
      <c r="K363" s="1">
        <v>45814</v>
      </c>
    </row>
    <row r="364" spans="1:11" x14ac:dyDescent="0.3">
      <c r="A364" t="s">
        <v>531</v>
      </c>
      <c r="B364" s="1">
        <v>45684</v>
      </c>
      <c r="C364" t="s">
        <v>26</v>
      </c>
      <c r="D364" t="s">
        <v>171</v>
      </c>
      <c r="E364">
        <v>362</v>
      </c>
      <c r="F364" t="s">
        <v>167</v>
      </c>
      <c r="G364" t="s">
        <v>168</v>
      </c>
      <c r="I364" t="s">
        <v>138</v>
      </c>
      <c r="J364" t="s">
        <v>61</v>
      </c>
      <c r="K364" s="1">
        <v>45825</v>
      </c>
    </row>
    <row r="365" spans="1:11" x14ac:dyDescent="0.3">
      <c r="A365" t="s">
        <v>532</v>
      </c>
      <c r="B365" s="1">
        <v>45826</v>
      </c>
      <c r="C365" t="s">
        <v>33</v>
      </c>
      <c r="D365" t="s">
        <v>166</v>
      </c>
      <c r="E365">
        <v>393</v>
      </c>
      <c r="F365" t="s">
        <v>167</v>
      </c>
      <c r="G365" t="s">
        <v>168</v>
      </c>
      <c r="I365" t="s">
        <v>124</v>
      </c>
      <c r="J365" t="s">
        <v>61</v>
      </c>
      <c r="K365" s="1">
        <v>45776</v>
      </c>
    </row>
    <row r="366" spans="1:11" x14ac:dyDescent="0.3">
      <c r="A366" t="s">
        <v>533</v>
      </c>
      <c r="B366" s="1">
        <v>45673</v>
      </c>
      <c r="C366" t="s">
        <v>29</v>
      </c>
      <c r="D366" t="s">
        <v>171</v>
      </c>
      <c r="E366">
        <v>165</v>
      </c>
      <c r="F366" t="s">
        <v>167</v>
      </c>
      <c r="G366" t="s">
        <v>168</v>
      </c>
      <c r="I366" t="s">
        <v>138</v>
      </c>
      <c r="J366" t="s">
        <v>61</v>
      </c>
      <c r="K366" s="1">
        <v>45785</v>
      </c>
    </row>
    <row r="367" spans="1:11" x14ac:dyDescent="0.3">
      <c r="A367" t="s">
        <v>534</v>
      </c>
      <c r="B367" s="1">
        <v>45826</v>
      </c>
      <c r="C367" t="s">
        <v>29</v>
      </c>
      <c r="D367" t="s">
        <v>166</v>
      </c>
      <c r="E367">
        <v>747</v>
      </c>
      <c r="F367" t="s">
        <v>167</v>
      </c>
      <c r="G367" t="s">
        <v>168</v>
      </c>
      <c r="I367" t="s">
        <v>132</v>
      </c>
      <c r="J367" t="s">
        <v>67</v>
      </c>
      <c r="K367" s="1">
        <v>45686</v>
      </c>
    </row>
    <row r="368" spans="1:11" x14ac:dyDescent="0.3">
      <c r="A368" t="s">
        <v>535</v>
      </c>
      <c r="B368" s="1">
        <v>45688</v>
      </c>
      <c r="C368" t="s">
        <v>33</v>
      </c>
      <c r="D368" t="s">
        <v>171</v>
      </c>
      <c r="E368">
        <v>164</v>
      </c>
      <c r="F368" t="s">
        <v>167</v>
      </c>
      <c r="G368" t="s">
        <v>168</v>
      </c>
      <c r="I368" t="s">
        <v>106</v>
      </c>
      <c r="J368" t="s">
        <v>49</v>
      </c>
      <c r="K368" s="1">
        <v>45700</v>
      </c>
    </row>
    <row r="369" spans="1:11" x14ac:dyDescent="0.3">
      <c r="A369" t="s">
        <v>536</v>
      </c>
      <c r="B369" s="1">
        <v>45832</v>
      </c>
      <c r="C369" t="s">
        <v>29</v>
      </c>
      <c r="D369" t="s">
        <v>166</v>
      </c>
      <c r="E369">
        <v>88</v>
      </c>
      <c r="F369" t="s">
        <v>167</v>
      </c>
      <c r="G369" t="s">
        <v>168</v>
      </c>
      <c r="I369" t="s">
        <v>138</v>
      </c>
      <c r="J369" t="s">
        <v>58</v>
      </c>
      <c r="K369" s="1">
        <v>45764</v>
      </c>
    </row>
    <row r="370" spans="1:11" x14ac:dyDescent="0.3">
      <c r="A370" t="s">
        <v>537</v>
      </c>
      <c r="B370" s="1">
        <v>45805</v>
      </c>
      <c r="C370" t="s">
        <v>11</v>
      </c>
      <c r="D370" t="s">
        <v>166</v>
      </c>
      <c r="E370">
        <v>202</v>
      </c>
      <c r="F370" t="s">
        <v>167</v>
      </c>
      <c r="G370" t="s">
        <v>168</v>
      </c>
      <c r="I370" t="s">
        <v>128</v>
      </c>
      <c r="J370" t="s">
        <v>73</v>
      </c>
      <c r="K370" s="1">
        <v>45700</v>
      </c>
    </row>
    <row r="371" spans="1:11" x14ac:dyDescent="0.3">
      <c r="A371" t="s">
        <v>538</v>
      </c>
      <c r="B371" s="1">
        <v>45707</v>
      </c>
      <c r="C371" t="s">
        <v>6</v>
      </c>
      <c r="D371" t="s">
        <v>171</v>
      </c>
      <c r="E371">
        <v>573</v>
      </c>
      <c r="F371" t="s">
        <v>167</v>
      </c>
      <c r="G371" t="s">
        <v>168</v>
      </c>
      <c r="I371" t="s">
        <v>150</v>
      </c>
      <c r="J371" t="s">
        <v>70</v>
      </c>
      <c r="K371" s="1">
        <v>45679</v>
      </c>
    </row>
    <row r="372" spans="1:11" x14ac:dyDescent="0.3">
      <c r="A372" t="s">
        <v>539</v>
      </c>
      <c r="B372" s="1">
        <v>45835</v>
      </c>
      <c r="C372" t="s">
        <v>22</v>
      </c>
      <c r="D372" t="s">
        <v>171</v>
      </c>
      <c r="E372">
        <v>296</v>
      </c>
      <c r="F372" t="s">
        <v>167</v>
      </c>
      <c r="G372" t="s">
        <v>168</v>
      </c>
      <c r="I372" t="s">
        <v>144</v>
      </c>
      <c r="J372" t="s">
        <v>64</v>
      </c>
      <c r="K372" s="1">
        <v>45786</v>
      </c>
    </row>
    <row r="373" spans="1:11" x14ac:dyDescent="0.3">
      <c r="A373" t="s">
        <v>540</v>
      </c>
      <c r="B373" s="1">
        <v>45750</v>
      </c>
      <c r="C373" t="s">
        <v>33</v>
      </c>
      <c r="D373" t="s">
        <v>166</v>
      </c>
      <c r="E373">
        <v>65</v>
      </c>
      <c r="F373" t="s">
        <v>167</v>
      </c>
      <c r="G373" t="s">
        <v>168</v>
      </c>
      <c r="I373" t="s">
        <v>134</v>
      </c>
      <c r="J373" t="s">
        <v>52</v>
      </c>
      <c r="K373" s="1">
        <v>45678</v>
      </c>
    </row>
    <row r="374" spans="1:11" x14ac:dyDescent="0.3">
      <c r="A374" t="s">
        <v>541</v>
      </c>
      <c r="B374" s="1">
        <v>45722</v>
      </c>
      <c r="C374" t="s">
        <v>14</v>
      </c>
      <c r="D374" t="s">
        <v>171</v>
      </c>
      <c r="E374">
        <v>66</v>
      </c>
      <c r="F374" t="s">
        <v>167</v>
      </c>
      <c r="G374" t="s">
        <v>168</v>
      </c>
      <c r="I374" t="s">
        <v>120</v>
      </c>
      <c r="J374" t="s">
        <v>67</v>
      </c>
      <c r="K374" s="1">
        <v>45666</v>
      </c>
    </row>
    <row r="375" spans="1:11" x14ac:dyDescent="0.3">
      <c r="A375" t="s">
        <v>542</v>
      </c>
      <c r="B375" s="1">
        <v>45789</v>
      </c>
      <c r="C375" t="s">
        <v>26</v>
      </c>
      <c r="D375" t="s">
        <v>171</v>
      </c>
      <c r="E375">
        <v>819</v>
      </c>
      <c r="F375" t="s">
        <v>167</v>
      </c>
      <c r="G375" t="s">
        <v>168</v>
      </c>
      <c r="I375" t="s">
        <v>116</v>
      </c>
      <c r="J375" t="s">
        <v>67</v>
      </c>
      <c r="K375" s="1">
        <v>45658</v>
      </c>
    </row>
    <row r="376" spans="1:11" x14ac:dyDescent="0.3">
      <c r="A376" t="s">
        <v>543</v>
      </c>
      <c r="B376" s="1">
        <v>45742</v>
      </c>
      <c r="C376" t="s">
        <v>22</v>
      </c>
      <c r="D376" t="s">
        <v>166</v>
      </c>
      <c r="E376">
        <v>480</v>
      </c>
      <c r="F376" t="s">
        <v>167</v>
      </c>
      <c r="G376" t="s">
        <v>168</v>
      </c>
      <c r="I376" t="s">
        <v>128</v>
      </c>
      <c r="J376" t="s">
        <v>76</v>
      </c>
      <c r="K376" s="1">
        <v>45733</v>
      </c>
    </row>
    <row r="377" spans="1:11" x14ac:dyDescent="0.3">
      <c r="A377" t="s">
        <v>544</v>
      </c>
      <c r="B377" s="1">
        <v>45792</v>
      </c>
      <c r="C377" t="s">
        <v>14</v>
      </c>
      <c r="D377" t="s">
        <v>171</v>
      </c>
      <c r="E377">
        <v>801</v>
      </c>
      <c r="F377" t="s">
        <v>167</v>
      </c>
      <c r="G377" t="s">
        <v>168</v>
      </c>
      <c r="I377" t="s">
        <v>130</v>
      </c>
      <c r="J377" t="s">
        <v>55</v>
      </c>
      <c r="K377" s="1">
        <v>45714</v>
      </c>
    </row>
    <row r="378" spans="1:11" x14ac:dyDescent="0.3">
      <c r="A378" t="s">
        <v>545</v>
      </c>
      <c r="B378" s="1">
        <v>45691</v>
      </c>
      <c r="C378" t="s">
        <v>33</v>
      </c>
      <c r="D378" t="s">
        <v>171</v>
      </c>
      <c r="E378">
        <v>726</v>
      </c>
      <c r="F378" t="s">
        <v>167</v>
      </c>
      <c r="G378" t="s">
        <v>168</v>
      </c>
      <c r="I378" t="s">
        <v>140</v>
      </c>
      <c r="J378" t="s">
        <v>67</v>
      </c>
      <c r="K378" s="1">
        <v>45723</v>
      </c>
    </row>
    <row r="379" spans="1:11" x14ac:dyDescent="0.3">
      <c r="A379" t="s">
        <v>546</v>
      </c>
      <c r="B379" s="1">
        <v>45716</v>
      </c>
      <c r="C379" t="s">
        <v>6</v>
      </c>
      <c r="D379" t="s">
        <v>171</v>
      </c>
      <c r="E379">
        <v>550</v>
      </c>
      <c r="F379" t="s">
        <v>167</v>
      </c>
      <c r="G379" t="s">
        <v>168</v>
      </c>
      <c r="I379" t="s">
        <v>134</v>
      </c>
      <c r="J379" t="s">
        <v>55</v>
      </c>
      <c r="K379" s="1">
        <v>45680</v>
      </c>
    </row>
    <row r="380" spans="1:11" x14ac:dyDescent="0.3">
      <c r="A380" t="s">
        <v>547</v>
      </c>
      <c r="B380" s="1">
        <v>45715</v>
      </c>
      <c r="C380" t="s">
        <v>22</v>
      </c>
      <c r="D380" t="s">
        <v>171</v>
      </c>
      <c r="E380">
        <v>871</v>
      </c>
      <c r="F380" t="s">
        <v>167</v>
      </c>
      <c r="G380" t="s">
        <v>168</v>
      </c>
      <c r="I380" t="s">
        <v>146</v>
      </c>
      <c r="J380" t="s">
        <v>49</v>
      </c>
      <c r="K380" s="1">
        <v>45810</v>
      </c>
    </row>
    <row r="381" spans="1:11" x14ac:dyDescent="0.3">
      <c r="A381" t="s">
        <v>548</v>
      </c>
      <c r="B381" s="1">
        <v>45770</v>
      </c>
      <c r="C381" t="s">
        <v>29</v>
      </c>
      <c r="D381" t="s">
        <v>171</v>
      </c>
      <c r="E381">
        <v>679</v>
      </c>
      <c r="F381" t="s">
        <v>167</v>
      </c>
      <c r="G381" t="s">
        <v>168</v>
      </c>
      <c r="I381" t="s">
        <v>104</v>
      </c>
      <c r="J381" t="s">
        <v>52</v>
      </c>
      <c r="K381" s="1">
        <v>45681</v>
      </c>
    </row>
    <row r="382" spans="1:11" x14ac:dyDescent="0.3">
      <c r="A382" t="s">
        <v>549</v>
      </c>
      <c r="B382" s="1">
        <v>45811</v>
      </c>
      <c r="C382" t="s">
        <v>18</v>
      </c>
      <c r="D382" t="s">
        <v>171</v>
      </c>
      <c r="E382">
        <v>570</v>
      </c>
      <c r="F382" t="s">
        <v>167</v>
      </c>
      <c r="G382" t="s">
        <v>168</v>
      </c>
      <c r="I382" t="s">
        <v>124</v>
      </c>
      <c r="J382" t="s">
        <v>73</v>
      </c>
      <c r="K382" s="1">
        <v>45838</v>
      </c>
    </row>
    <row r="383" spans="1:11" x14ac:dyDescent="0.3">
      <c r="A383" t="s">
        <v>550</v>
      </c>
      <c r="B383" s="1">
        <v>45805</v>
      </c>
      <c r="C383" t="s">
        <v>6</v>
      </c>
      <c r="D383" t="s">
        <v>166</v>
      </c>
      <c r="E383">
        <v>308</v>
      </c>
      <c r="F383" t="s">
        <v>167</v>
      </c>
      <c r="G383" t="s">
        <v>168</v>
      </c>
      <c r="I383" t="s">
        <v>150</v>
      </c>
      <c r="J383" t="s">
        <v>58</v>
      </c>
      <c r="K383" s="1">
        <v>45706</v>
      </c>
    </row>
    <row r="384" spans="1:11" x14ac:dyDescent="0.3">
      <c r="A384" t="s">
        <v>551</v>
      </c>
      <c r="B384" s="1">
        <v>45666</v>
      </c>
      <c r="C384" t="s">
        <v>11</v>
      </c>
      <c r="D384" t="s">
        <v>166</v>
      </c>
      <c r="E384">
        <v>473</v>
      </c>
      <c r="F384" t="s">
        <v>167</v>
      </c>
      <c r="G384" t="s">
        <v>168</v>
      </c>
      <c r="I384" t="s">
        <v>148</v>
      </c>
      <c r="J384" t="s">
        <v>52</v>
      </c>
      <c r="K384" s="1">
        <v>45735</v>
      </c>
    </row>
    <row r="385" spans="1:11" x14ac:dyDescent="0.3">
      <c r="A385" t="s">
        <v>552</v>
      </c>
      <c r="B385" s="1">
        <v>45743</v>
      </c>
      <c r="C385" t="s">
        <v>29</v>
      </c>
      <c r="D385" t="s">
        <v>171</v>
      </c>
      <c r="E385">
        <v>337</v>
      </c>
      <c r="F385" t="s">
        <v>167</v>
      </c>
      <c r="G385" t="s">
        <v>168</v>
      </c>
      <c r="I385" t="s">
        <v>138</v>
      </c>
      <c r="J385" t="s">
        <v>49</v>
      </c>
      <c r="K385" s="1">
        <v>45741</v>
      </c>
    </row>
    <row r="386" spans="1:11" x14ac:dyDescent="0.3">
      <c r="A386" t="s">
        <v>553</v>
      </c>
      <c r="B386" s="1">
        <v>45771</v>
      </c>
      <c r="C386" t="s">
        <v>18</v>
      </c>
      <c r="D386" t="s">
        <v>171</v>
      </c>
      <c r="E386">
        <v>372</v>
      </c>
      <c r="F386" t="s">
        <v>167</v>
      </c>
      <c r="G386" t="s">
        <v>168</v>
      </c>
      <c r="I386" t="s">
        <v>118</v>
      </c>
      <c r="J386" t="s">
        <v>76</v>
      </c>
      <c r="K386" s="1">
        <v>45693</v>
      </c>
    </row>
    <row r="387" spans="1:11" x14ac:dyDescent="0.3">
      <c r="A387" t="s">
        <v>554</v>
      </c>
      <c r="B387" s="1">
        <v>45779</v>
      </c>
      <c r="C387" t="s">
        <v>33</v>
      </c>
      <c r="D387" t="s">
        <v>166</v>
      </c>
      <c r="E387">
        <v>715</v>
      </c>
      <c r="F387" t="s">
        <v>167</v>
      </c>
      <c r="G387" t="s">
        <v>168</v>
      </c>
      <c r="I387" t="s">
        <v>128</v>
      </c>
      <c r="J387" t="s">
        <v>76</v>
      </c>
      <c r="K387" s="1">
        <v>45694</v>
      </c>
    </row>
    <row r="388" spans="1:11" x14ac:dyDescent="0.3">
      <c r="A388" t="s">
        <v>555</v>
      </c>
      <c r="B388" s="1">
        <v>45832</v>
      </c>
      <c r="C388" t="s">
        <v>11</v>
      </c>
      <c r="D388" t="s">
        <v>171</v>
      </c>
      <c r="E388">
        <v>403</v>
      </c>
      <c r="F388" t="s">
        <v>167</v>
      </c>
      <c r="G388" t="s">
        <v>168</v>
      </c>
      <c r="I388" t="s">
        <v>126</v>
      </c>
      <c r="J388" t="s">
        <v>49</v>
      </c>
      <c r="K388" s="1">
        <v>45835</v>
      </c>
    </row>
    <row r="389" spans="1:11" x14ac:dyDescent="0.3">
      <c r="A389" t="s">
        <v>556</v>
      </c>
      <c r="B389" s="1">
        <v>45824</v>
      </c>
      <c r="C389" t="s">
        <v>22</v>
      </c>
      <c r="D389" t="s">
        <v>171</v>
      </c>
      <c r="E389">
        <v>171</v>
      </c>
      <c r="F389" t="s">
        <v>167</v>
      </c>
      <c r="G389" t="s">
        <v>168</v>
      </c>
      <c r="I389" t="s">
        <v>112</v>
      </c>
      <c r="J389" t="s">
        <v>73</v>
      </c>
      <c r="K389" s="1">
        <v>45765</v>
      </c>
    </row>
    <row r="390" spans="1:11" x14ac:dyDescent="0.3">
      <c r="A390" t="s">
        <v>557</v>
      </c>
      <c r="B390" s="1">
        <v>45755</v>
      </c>
      <c r="C390" t="s">
        <v>29</v>
      </c>
      <c r="D390" t="s">
        <v>166</v>
      </c>
      <c r="E390">
        <v>814</v>
      </c>
      <c r="F390" t="s">
        <v>167</v>
      </c>
      <c r="G390" t="s">
        <v>168</v>
      </c>
      <c r="I390" t="s">
        <v>142</v>
      </c>
      <c r="J390" t="s">
        <v>67</v>
      </c>
      <c r="K390" s="1">
        <v>45684</v>
      </c>
    </row>
    <row r="391" spans="1:11" x14ac:dyDescent="0.3">
      <c r="A391" t="s">
        <v>558</v>
      </c>
      <c r="B391" s="1">
        <v>45667</v>
      </c>
      <c r="C391" t="s">
        <v>33</v>
      </c>
      <c r="D391" t="s">
        <v>171</v>
      </c>
      <c r="E391">
        <v>675</v>
      </c>
      <c r="F391" t="s">
        <v>167</v>
      </c>
      <c r="G391" t="s">
        <v>168</v>
      </c>
      <c r="I391" t="s">
        <v>118</v>
      </c>
      <c r="J391" t="s">
        <v>76</v>
      </c>
      <c r="K391" s="1">
        <v>45764</v>
      </c>
    </row>
    <row r="392" spans="1:11" x14ac:dyDescent="0.3">
      <c r="A392" t="s">
        <v>559</v>
      </c>
      <c r="B392" s="1">
        <v>45728</v>
      </c>
      <c r="C392" t="s">
        <v>29</v>
      </c>
      <c r="D392" t="s">
        <v>171</v>
      </c>
      <c r="E392">
        <v>113</v>
      </c>
      <c r="F392" t="s">
        <v>167</v>
      </c>
      <c r="G392" t="s">
        <v>168</v>
      </c>
      <c r="I392" t="s">
        <v>104</v>
      </c>
      <c r="J392" t="s">
        <v>58</v>
      </c>
      <c r="K392" s="1">
        <v>45789</v>
      </c>
    </row>
    <row r="393" spans="1:11" x14ac:dyDescent="0.3">
      <c r="A393" t="s">
        <v>560</v>
      </c>
      <c r="B393" s="1">
        <v>45742</v>
      </c>
      <c r="C393" t="s">
        <v>33</v>
      </c>
      <c r="D393" t="s">
        <v>166</v>
      </c>
      <c r="E393">
        <v>925</v>
      </c>
      <c r="F393" t="s">
        <v>167</v>
      </c>
      <c r="G393" t="s">
        <v>168</v>
      </c>
      <c r="I393" t="s">
        <v>112</v>
      </c>
      <c r="J393" t="s">
        <v>70</v>
      </c>
      <c r="K393" s="1">
        <v>45733</v>
      </c>
    </row>
    <row r="394" spans="1:11" x14ac:dyDescent="0.3">
      <c r="A394" t="s">
        <v>561</v>
      </c>
      <c r="B394" s="1">
        <v>45702</v>
      </c>
      <c r="C394" t="s">
        <v>18</v>
      </c>
      <c r="D394" t="s">
        <v>171</v>
      </c>
      <c r="E394">
        <v>363</v>
      </c>
      <c r="F394" t="s">
        <v>167</v>
      </c>
      <c r="G394" t="s">
        <v>168</v>
      </c>
      <c r="I394" t="s">
        <v>91</v>
      </c>
      <c r="J394" t="s">
        <v>52</v>
      </c>
      <c r="K394" s="1">
        <v>45726</v>
      </c>
    </row>
    <row r="395" spans="1:11" x14ac:dyDescent="0.3">
      <c r="A395" t="s">
        <v>562</v>
      </c>
      <c r="B395" s="1">
        <v>45695</v>
      </c>
      <c r="C395" t="s">
        <v>29</v>
      </c>
      <c r="D395" t="s">
        <v>171</v>
      </c>
      <c r="E395">
        <v>744</v>
      </c>
      <c r="F395" t="s">
        <v>167</v>
      </c>
      <c r="G395" t="s">
        <v>168</v>
      </c>
      <c r="I395" t="s">
        <v>134</v>
      </c>
      <c r="J395" t="s">
        <v>52</v>
      </c>
      <c r="K395" s="1">
        <v>45835</v>
      </c>
    </row>
    <row r="396" spans="1:11" x14ac:dyDescent="0.3">
      <c r="A396" t="s">
        <v>563</v>
      </c>
      <c r="B396" s="1">
        <v>45695</v>
      </c>
      <c r="C396" t="s">
        <v>22</v>
      </c>
      <c r="D396" t="s">
        <v>171</v>
      </c>
      <c r="E396">
        <v>819</v>
      </c>
      <c r="F396" t="s">
        <v>167</v>
      </c>
      <c r="G396" t="s">
        <v>168</v>
      </c>
      <c r="I396" t="s">
        <v>122</v>
      </c>
      <c r="J396" t="s">
        <v>64</v>
      </c>
      <c r="K396" s="1">
        <v>45824</v>
      </c>
    </row>
    <row r="397" spans="1:11" x14ac:dyDescent="0.3">
      <c r="A397" t="s">
        <v>564</v>
      </c>
      <c r="B397" s="1">
        <v>45740</v>
      </c>
      <c r="C397" t="s">
        <v>11</v>
      </c>
      <c r="D397" t="s">
        <v>171</v>
      </c>
      <c r="E397">
        <v>955</v>
      </c>
      <c r="F397" t="s">
        <v>167</v>
      </c>
      <c r="G397" t="s">
        <v>168</v>
      </c>
      <c r="I397" t="s">
        <v>138</v>
      </c>
      <c r="J397" t="s">
        <v>52</v>
      </c>
      <c r="K397" s="1">
        <v>45793</v>
      </c>
    </row>
    <row r="398" spans="1:11" x14ac:dyDescent="0.3">
      <c r="A398" t="s">
        <v>565</v>
      </c>
      <c r="B398" s="1">
        <v>45708</v>
      </c>
      <c r="C398" t="s">
        <v>18</v>
      </c>
      <c r="D398" t="s">
        <v>171</v>
      </c>
      <c r="E398">
        <v>906</v>
      </c>
      <c r="F398" t="s">
        <v>167</v>
      </c>
      <c r="G398" t="s">
        <v>168</v>
      </c>
      <c r="I398" t="s">
        <v>88</v>
      </c>
      <c r="J398" t="s">
        <v>49</v>
      </c>
      <c r="K398" s="1">
        <v>45786</v>
      </c>
    </row>
    <row r="399" spans="1:11" x14ac:dyDescent="0.3">
      <c r="A399" t="s">
        <v>566</v>
      </c>
      <c r="B399" s="1">
        <v>45687</v>
      </c>
      <c r="C399" t="s">
        <v>11</v>
      </c>
      <c r="D399" t="s">
        <v>166</v>
      </c>
      <c r="E399">
        <v>847</v>
      </c>
      <c r="F399" t="s">
        <v>167</v>
      </c>
      <c r="G399" t="s">
        <v>168</v>
      </c>
      <c r="I399" t="s">
        <v>146</v>
      </c>
      <c r="J399" t="s">
        <v>70</v>
      </c>
      <c r="K399" s="1">
        <v>45762</v>
      </c>
    </row>
    <row r="400" spans="1:11" x14ac:dyDescent="0.3">
      <c r="A400" t="s">
        <v>567</v>
      </c>
      <c r="B400" s="1">
        <v>45658</v>
      </c>
      <c r="C400" t="s">
        <v>6</v>
      </c>
      <c r="D400" t="s">
        <v>171</v>
      </c>
      <c r="E400">
        <v>766</v>
      </c>
      <c r="F400" t="s">
        <v>167</v>
      </c>
      <c r="G400" t="s">
        <v>168</v>
      </c>
      <c r="I400" t="s">
        <v>150</v>
      </c>
      <c r="J400" t="s">
        <v>64</v>
      </c>
      <c r="K400" s="1">
        <v>45663</v>
      </c>
    </row>
    <row r="401" spans="1:11" x14ac:dyDescent="0.3">
      <c r="A401" t="s">
        <v>568</v>
      </c>
      <c r="B401" s="1">
        <v>45828</v>
      </c>
      <c r="C401" t="s">
        <v>6</v>
      </c>
      <c r="D401" t="s">
        <v>166</v>
      </c>
      <c r="E401">
        <v>148</v>
      </c>
      <c r="F401" t="s">
        <v>167</v>
      </c>
      <c r="G401" t="s">
        <v>168</v>
      </c>
      <c r="I401" t="s">
        <v>102</v>
      </c>
      <c r="J401" t="s">
        <v>61</v>
      </c>
      <c r="K401" s="1">
        <v>45786</v>
      </c>
    </row>
    <row r="402" spans="1:11" x14ac:dyDescent="0.3">
      <c r="A402" t="s">
        <v>569</v>
      </c>
      <c r="B402" s="1">
        <v>45761</v>
      </c>
      <c r="C402" t="s">
        <v>11</v>
      </c>
      <c r="D402" t="s">
        <v>166</v>
      </c>
      <c r="E402">
        <v>363</v>
      </c>
      <c r="F402" t="s">
        <v>167</v>
      </c>
      <c r="G402" t="s">
        <v>168</v>
      </c>
      <c r="I402" t="s">
        <v>124</v>
      </c>
      <c r="J402" t="s">
        <v>49</v>
      </c>
      <c r="K402" s="1">
        <v>45748</v>
      </c>
    </row>
    <row r="403" spans="1:11" x14ac:dyDescent="0.3">
      <c r="A403" t="s">
        <v>570</v>
      </c>
      <c r="B403" s="1">
        <v>45800</v>
      </c>
      <c r="C403" t="s">
        <v>14</v>
      </c>
      <c r="D403" t="s">
        <v>171</v>
      </c>
      <c r="E403">
        <v>154</v>
      </c>
      <c r="F403" t="s">
        <v>167</v>
      </c>
      <c r="G403" t="s">
        <v>168</v>
      </c>
      <c r="I403" t="s">
        <v>148</v>
      </c>
      <c r="J403" t="s">
        <v>67</v>
      </c>
      <c r="K403" s="1">
        <v>45681</v>
      </c>
    </row>
    <row r="404" spans="1:11" x14ac:dyDescent="0.3">
      <c r="A404" t="s">
        <v>571</v>
      </c>
      <c r="B404" s="1">
        <v>45762</v>
      </c>
      <c r="C404" t="s">
        <v>33</v>
      </c>
      <c r="D404" t="s">
        <v>171</v>
      </c>
      <c r="E404">
        <v>985</v>
      </c>
      <c r="F404" t="s">
        <v>167</v>
      </c>
      <c r="G404" t="s">
        <v>168</v>
      </c>
      <c r="I404" t="s">
        <v>132</v>
      </c>
      <c r="J404" t="s">
        <v>52</v>
      </c>
      <c r="K404" s="1">
        <v>45821</v>
      </c>
    </row>
    <row r="405" spans="1:11" x14ac:dyDescent="0.3">
      <c r="A405" t="s">
        <v>572</v>
      </c>
      <c r="B405" s="1">
        <v>45688</v>
      </c>
      <c r="C405" t="s">
        <v>29</v>
      </c>
      <c r="D405" t="s">
        <v>166</v>
      </c>
      <c r="E405">
        <v>56</v>
      </c>
      <c r="F405" t="s">
        <v>167</v>
      </c>
      <c r="G405" t="s">
        <v>168</v>
      </c>
      <c r="I405" t="s">
        <v>130</v>
      </c>
      <c r="J405" t="s">
        <v>76</v>
      </c>
      <c r="K405" s="1">
        <v>45674</v>
      </c>
    </row>
    <row r="406" spans="1:11" x14ac:dyDescent="0.3">
      <c r="A406" t="s">
        <v>573</v>
      </c>
      <c r="B406" s="1">
        <v>45764</v>
      </c>
      <c r="C406" t="s">
        <v>26</v>
      </c>
      <c r="D406" t="s">
        <v>166</v>
      </c>
      <c r="E406">
        <v>428</v>
      </c>
      <c r="F406" t="s">
        <v>167</v>
      </c>
      <c r="G406" t="s">
        <v>168</v>
      </c>
      <c r="I406" t="s">
        <v>140</v>
      </c>
      <c r="J406" t="s">
        <v>49</v>
      </c>
      <c r="K406" s="1">
        <v>45834</v>
      </c>
    </row>
    <row r="407" spans="1:11" x14ac:dyDescent="0.3">
      <c r="A407" t="s">
        <v>574</v>
      </c>
      <c r="B407" s="1">
        <v>45791</v>
      </c>
      <c r="C407" t="s">
        <v>22</v>
      </c>
      <c r="D407" t="s">
        <v>171</v>
      </c>
      <c r="E407">
        <v>959</v>
      </c>
      <c r="F407" t="s">
        <v>167</v>
      </c>
      <c r="G407" t="s">
        <v>168</v>
      </c>
      <c r="I407" t="s">
        <v>112</v>
      </c>
      <c r="J407" t="s">
        <v>61</v>
      </c>
      <c r="K407" s="1">
        <v>45825</v>
      </c>
    </row>
    <row r="408" spans="1:11" x14ac:dyDescent="0.3">
      <c r="A408" t="s">
        <v>575</v>
      </c>
      <c r="B408" s="1">
        <v>45761</v>
      </c>
      <c r="C408" t="s">
        <v>29</v>
      </c>
      <c r="D408" t="s">
        <v>166</v>
      </c>
      <c r="E408">
        <v>448</v>
      </c>
      <c r="F408" t="s">
        <v>167</v>
      </c>
      <c r="G408" t="s">
        <v>168</v>
      </c>
      <c r="I408" t="s">
        <v>122</v>
      </c>
      <c r="J408" t="s">
        <v>64</v>
      </c>
      <c r="K408" s="1">
        <v>45735</v>
      </c>
    </row>
    <row r="409" spans="1:11" x14ac:dyDescent="0.3">
      <c r="A409" t="s">
        <v>576</v>
      </c>
      <c r="B409" s="1">
        <v>45762</v>
      </c>
      <c r="C409" t="s">
        <v>26</v>
      </c>
      <c r="D409" t="s">
        <v>166</v>
      </c>
      <c r="E409">
        <v>262</v>
      </c>
      <c r="F409" t="s">
        <v>167</v>
      </c>
      <c r="G409" t="s">
        <v>168</v>
      </c>
      <c r="I409" t="s">
        <v>142</v>
      </c>
      <c r="J409" t="s">
        <v>73</v>
      </c>
      <c r="K409" s="1">
        <v>45742</v>
      </c>
    </row>
    <row r="410" spans="1:11" x14ac:dyDescent="0.3">
      <c r="A410" t="s">
        <v>577</v>
      </c>
      <c r="B410" s="1">
        <v>45733</v>
      </c>
      <c r="C410" t="s">
        <v>11</v>
      </c>
      <c r="D410" t="s">
        <v>166</v>
      </c>
      <c r="E410">
        <v>40</v>
      </c>
      <c r="F410" t="s">
        <v>167</v>
      </c>
      <c r="G410" t="s">
        <v>168</v>
      </c>
      <c r="I410" t="s">
        <v>110</v>
      </c>
      <c r="J410" t="s">
        <v>52</v>
      </c>
      <c r="K410" s="1">
        <v>45754</v>
      </c>
    </row>
    <row r="411" spans="1:11" x14ac:dyDescent="0.3">
      <c r="A411" t="s">
        <v>578</v>
      </c>
      <c r="B411" s="1">
        <v>45777</v>
      </c>
      <c r="C411" t="s">
        <v>11</v>
      </c>
      <c r="D411" t="s">
        <v>166</v>
      </c>
      <c r="E411">
        <v>474</v>
      </c>
      <c r="F411" t="s">
        <v>167</v>
      </c>
      <c r="G411" t="s">
        <v>168</v>
      </c>
      <c r="I411" t="s">
        <v>94</v>
      </c>
      <c r="J411" t="s">
        <v>76</v>
      </c>
      <c r="K411" s="1">
        <v>45728</v>
      </c>
    </row>
    <row r="412" spans="1:11" x14ac:dyDescent="0.3">
      <c r="A412" t="s">
        <v>579</v>
      </c>
      <c r="B412" s="1">
        <v>45685</v>
      </c>
      <c r="C412" t="s">
        <v>6</v>
      </c>
      <c r="D412" t="s">
        <v>166</v>
      </c>
      <c r="E412">
        <v>300</v>
      </c>
      <c r="F412" t="s">
        <v>167</v>
      </c>
      <c r="G412" t="s">
        <v>168</v>
      </c>
      <c r="I412" t="s">
        <v>108</v>
      </c>
      <c r="J412" t="s">
        <v>61</v>
      </c>
      <c r="K412" s="1">
        <v>45798</v>
      </c>
    </row>
    <row r="413" spans="1:11" x14ac:dyDescent="0.3">
      <c r="A413" t="s">
        <v>580</v>
      </c>
      <c r="B413" s="1">
        <v>45789</v>
      </c>
      <c r="C413" t="s">
        <v>14</v>
      </c>
      <c r="D413" t="s">
        <v>166</v>
      </c>
      <c r="E413">
        <v>949</v>
      </c>
      <c r="F413" t="s">
        <v>167</v>
      </c>
      <c r="G413" t="s">
        <v>168</v>
      </c>
      <c r="I413" t="s">
        <v>148</v>
      </c>
      <c r="J413" t="s">
        <v>70</v>
      </c>
      <c r="K413" s="1">
        <v>45695</v>
      </c>
    </row>
    <row r="414" spans="1:11" x14ac:dyDescent="0.3">
      <c r="A414" t="s">
        <v>581</v>
      </c>
      <c r="B414" s="1">
        <v>45832</v>
      </c>
      <c r="C414" t="s">
        <v>11</v>
      </c>
      <c r="D414" t="s">
        <v>171</v>
      </c>
      <c r="E414">
        <v>82</v>
      </c>
      <c r="F414" t="s">
        <v>167</v>
      </c>
      <c r="G414" t="s">
        <v>168</v>
      </c>
      <c r="I414" t="s">
        <v>122</v>
      </c>
      <c r="J414" t="s">
        <v>73</v>
      </c>
      <c r="K414" s="1">
        <v>45792</v>
      </c>
    </row>
    <row r="415" spans="1:11" x14ac:dyDescent="0.3">
      <c r="A415" t="s">
        <v>582</v>
      </c>
      <c r="B415" s="1">
        <v>45737</v>
      </c>
      <c r="C415" t="s">
        <v>11</v>
      </c>
      <c r="D415" t="s">
        <v>166</v>
      </c>
      <c r="E415">
        <v>284</v>
      </c>
      <c r="F415" t="s">
        <v>167</v>
      </c>
      <c r="G415" t="s">
        <v>168</v>
      </c>
      <c r="I415" t="s">
        <v>136</v>
      </c>
      <c r="J415" t="s">
        <v>49</v>
      </c>
      <c r="K415" s="1">
        <v>45828</v>
      </c>
    </row>
    <row r="416" spans="1:11" x14ac:dyDescent="0.3">
      <c r="A416" t="s">
        <v>583</v>
      </c>
      <c r="B416" s="1">
        <v>45749</v>
      </c>
      <c r="C416" t="s">
        <v>11</v>
      </c>
      <c r="D416" t="s">
        <v>171</v>
      </c>
      <c r="E416">
        <v>787</v>
      </c>
      <c r="F416" t="s">
        <v>167</v>
      </c>
      <c r="G416" t="s">
        <v>168</v>
      </c>
      <c r="I416" t="s">
        <v>102</v>
      </c>
      <c r="J416" t="s">
        <v>70</v>
      </c>
      <c r="K416" s="1">
        <v>45714</v>
      </c>
    </row>
    <row r="417" spans="1:11" x14ac:dyDescent="0.3">
      <c r="A417" t="s">
        <v>584</v>
      </c>
      <c r="B417" s="1">
        <v>45702</v>
      </c>
      <c r="C417" t="s">
        <v>33</v>
      </c>
      <c r="D417" t="s">
        <v>171</v>
      </c>
      <c r="E417">
        <v>922</v>
      </c>
      <c r="F417" t="s">
        <v>167</v>
      </c>
      <c r="G417" t="s">
        <v>168</v>
      </c>
      <c r="I417" t="s">
        <v>112</v>
      </c>
      <c r="J417" t="s">
        <v>61</v>
      </c>
      <c r="K417" s="1">
        <v>45758</v>
      </c>
    </row>
    <row r="418" spans="1:11" x14ac:dyDescent="0.3">
      <c r="A418" t="s">
        <v>585</v>
      </c>
      <c r="B418" s="1">
        <v>45813</v>
      </c>
      <c r="C418" t="s">
        <v>26</v>
      </c>
      <c r="D418" t="s">
        <v>166</v>
      </c>
      <c r="E418">
        <v>665</v>
      </c>
      <c r="F418" t="s">
        <v>167</v>
      </c>
      <c r="G418" t="s">
        <v>168</v>
      </c>
      <c r="I418" t="s">
        <v>118</v>
      </c>
      <c r="J418" t="s">
        <v>52</v>
      </c>
      <c r="K418" s="1">
        <v>45699</v>
      </c>
    </row>
    <row r="419" spans="1:11" x14ac:dyDescent="0.3">
      <c r="A419" t="s">
        <v>586</v>
      </c>
      <c r="B419" s="1">
        <v>45740</v>
      </c>
      <c r="C419" t="s">
        <v>22</v>
      </c>
      <c r="D419" t="s">
        <v>171</v>
      </c>
      <c r="E419">
        <v>186</v>
      </c>
      <c r="F419" t="s">
        <v>167</v>
      </c>
      <c r="G419" t="s">
        <v>168</v>
      </c>
      <c r="I419" t="s">
        <v>136</v>
      </c>
      <c r="J419" t="s">
        <v>58</v>
      </c>
      <c r="K419" s="1">
        <v>45686</v>
      </c>
    </row>
    <row r="420" spans="1:11" x14ac:dyDescent="0.3">
      <c r="A420" t="s">
        <v>587</v>
      </c>
      <c r="B420" s="1">
        <v>45699</v>
      </c>
      <c r="C420" t="s">
        <v>26</v>
      </c>
      <c r="D420" t="s">
        <v>171</v>
      </c>
      <c r="E420">
        <v>964</v>
      </c>
      <c r="F420" t="s">
        <v>167</v>
      </c>
      <c r="G420" t="s">
        <v>168</v>
      </c>
      <c r="I420" t="s">
        <v>88</v>
      </c>
      <c r="J420" t="s">
        <v>58</v>
      </c>
      <c r="K420" s="1">
        <v>45665</v>
      </c>
    </row>
    <row r="421" spans="1:11" x14ac:dyDescent="0.3">
      <c r="A421" t="s">
        <v>588</v>
      </c>
      <c r="B421" s="1">
        <v>45762</v>
      </c>
      <c r="C421" t="s">
        <v>29</v>
      </c>
      <c r="D421" t="s">
        <v>171</v>
      </c>
      <c r="E421">
        <v>166</v>
      </c>
      <c r="F421" t="s">
        <v>167</v>
      </c>
      <c r="G421" t="s">
        <v>168</v>
      </c>
      <c r="I421" t="s">
        <v>120</v>
      </c>
      <c r="J421" t="s">
        <v>67</v>
      </c>
      <c r="K421" s="1">
        <v>45747</v>
      </c>
    </row>
    <row r="422" spans="1:11" x14ac:dyDescent="0.3">
      <c r="A422" t="s">
        <v>589</v>
      </c>
      <c r="B422" s="1">
        <v>45749</v>
      </c>
      <c r="C422" t="s">
        <v>26</v>
      </c>
      <c r="D422" t="s">
        <v>166</v>
      </c>
      <c r="E422">
        <v>671</v>
      </c>
      <c r="F422" t="s">
        <v>167</v>
      </c>
      <c r="G422" t="s">
        <v>168</v>
      </c>
      <c r="I422" t="s">
        <v>138</v>
      </c>
      <c r="J422" t="s">
        <v>52</v>
      </c>
      <c r="K422" s="1">
        <v>45707</v>
      </c>
    </row>
    <row r="423" spans="1:11" x14ac:dyDescent="0.3">
      <c r="A423" t="s">
        <v>590</v>
      </c>
      <c r="B423" s="1">
        <v>45742</v>
      </c>
      <c r="C423" t="s">
        <v>18</v>
      </c>
      <c r="D423" t="s">
        <v>166</v>
      </c>
      <c r="E423">
        <v>866</v>
      </c>
      <c r="F423" t="s">
        <v>167</v>
      </c>
      <c r="G423" t="s">
        <v>168</v>
      </c>
      <c r="I423" t="s">
        <v>118</v>
      </c>
      <c r="J423" t="s">
        <v>61</v>
      </c>
      <c r="K423" s="1">
        <v>45763</v>
      </c>
    </row>
    <row r="424" spans="1:11" x14ac:dyDescent="0.3">
      <c r="A424" t="s">
        <v>591</v>
      </c>
      <c r="B424" s="1">
        <v>45799</v>
      </c>
      <c r="C424" t="s">
        <v>29</v>
      </c>
      <c r="D424" t="s">
        <v>166</v>
      </c>
      <c r="E424">
        <v>319</v>
      </c>
      <c r="F424" t="s">
        <v>167</v>
      </c>
      <c r="G424" t="s">
        <v>168</v>
      </c>
      <c r="I424" t="s">
        <v>110</v>
      </c>
      <c r="J424" t="s">
        <v>49</v>
      </c>
      <c r="K424" s="1">
        <v>45670</v>
      </c>
    </row>
    <row r="425" spans="1:11" x14ac:dyDescent="0.3">
      <c r="A425" t="s">
        <v>592</v>
      </c>
      <c r="B425" s="1">
        <v>45748</v>
      </c>
      <c r="C425" t="s">
        <v>14</v>
      </c>
      <c r="D425" t="s">
        <v>166</v>
      </c>
      <c r="E425">
        <v>740</v>
      </c>
      <c r="F425" t="s">
        <v>167</v>
      </c>
      <c r="G425" t="s">
        <v>168</v>
      </c>
      <c r="I425" t="s">
        <v>126</v>
      </c>
      <c r="J425" t="s">
        <v>73</v>
      </c>
      <c r="K425" s="1">
        <v>45771</v>
      </c>
    </row>
    <row r="426" spans="1:11" x14ac:dyDescent="0.3">
      <c r="A426" t="s">
        <v>593</v>
      </c>
      <c r="B426" s="1">
        <v>45736</v>
      </c>
      <c r="C426" t="s">
        <v>26</v>
      </c>
      <c r="D426" t="s">
        <v>171</v>
      </c>
      <c r="E426">
        <v>385</v>
      </c>
      <c r="F426" t="s">
        <v>167</v>
      </c>
      <c r="G426" t="s">
        <v>168</v>
      </c>
      <c r="I426" t="s">
        <v>136</v>
      </c>
      <c r="J426" t="s">
        <v>52</v>
      </c>
      <c r="K426" s="1">
        <v>45737</v>
      </c>
    </row>
    <row r="427" spans="1:11" x14ac:dyDescent="0.3">
      <c r="A427" t="s">
        <v>594</v>
      </c>
      <c r="B427" s="1">
        <v>45827</v>
      </c>
      <c r="C427" t="s">
        <v>26</v>
      </c>
      <c r="D427" t="s">
        <v>166</v>
      </c>
      <c r="E427">
        <v>50</v>
      </c>
      <c r="F427" t="s">
        <v>167</v>
      </c>
      <c r="G427" t="s">
        <v>168</v>
      </c>
      <c r="I427" t="s">
        <v>97</v>
      </c>
      <c r="J427" t="s">
        <v>61</v>
      </c>
      <c r="K427" s="1">
        <v>45681</v>
      </c>
    </row>
    <row r="428" spans="1:11" x14ac:dyDescent="0.3">
      <c r="A428" t="s">
        <v>595</v>
      </c>
      <c r="B428" s="1">
        <v>45728</v>
      </c>
      <c r="C428" t="s">
        <v>14</v>
      </c>
      <c r="D428" t="s">
        <v>166</v>
      </c>
      <c r="E428">
        <v>841</v>
      </c>
      <c r="F428" t="s">
        <v>167</v>
      </c>
      <c r="G428" t="s">
        <v>168</v>
      </c>
      <c r="I428" t="s">
        <v>130</v>
      </c>
      <c r="J428" t="s">
        <v>70</v>
      </c>
      <c r="K428" s="1">
        <v>45700</v>
      </c>
    </row>
    <row r="429" spans="1:11" x14ac:dyDescent="0.3">
      <c r="A429" t="s">
        <v>596</v>
      </c>
      <c r="B429" s="1">
        <v>45719</v>
      </c>
      <c r="C429" t="s">
        <v>11</v>
      </c>
      <c r="D429" t="s">
        <v>171</v>
      </c>
      <c r="E429">
        <v>631</v>
      </c>
      <c r="F429" t="s">
        <v>167</v>
      </c>
      <c r="G429" t="s">
        <v>168</v>
      </c>
      <c r="I429" t="s">
        <v>100</v>
      </c>
      <c r="J429" t="s">
        <v>73</v>
      </c>
      <c r="K429" s="1">
        <v>45728</v>
      </c>
    </row>
    <row r="430" spans="1:11" x14ac:dyDescent="0.3">
      <c r="A430" t="s">
        <v>597</v>
      </c>
      <c r="B430" s="1">
        <v>45797</v>
      </c>
      <c r="C430" t="s">
        <v>6</v>
      </c>
      <c r="D430" t="s">
        <v>166</v>
      </c>
      <c r="E430">
        <v>157</v>
      </c>
      <c r="F430" t="s">
        <v>167</v>
      </c>
      <c r="G430" t="s">
        <v>168</v>
      </c>
      <c r="I430" t="s">
        <v>124</v>
      </c>
      <c r="J430" t="s">
        <v>70</v>
      </c>
      <c r="K430" s="1">
        <v>45748</v>
      </c>
    </row>
    <row r="431" spans="1:11" x14ac:dyDescent="0.3">
      <c r="A431" t="s">
        <v>598</v>
      </c>
      <c r="B431" s="1">
        <v>45775</v>
      </c>
      <c r="C431" t="s">
        <v>29</v>
      </c>
      <c r="D431" t="s">
        <v>166</v>
      </c>
      <c r="E431">
        <v>546</v>
      </c>
      <c r="F431" t="s">
        <v>167</v>
      </c>
      <c r="G431" t="s">
        <v>168</v>
      </c>
      <c r="I431" t="s">
        <v>94</v>
      </c>
      <c r="J431" t="s">
        <v>61</v>
      </c>
      <c r="K431" s="1">
        <v>45716</v>
      </c>
    </row>
    <row r="432" spans="1:11" x14ac:dyDescent="0.3">
      <c r="A432" t="s">
        <v>599</v>
      </c>
      <c r="B432" s="1">
        <v>45727</v>
      </c>
      <c r="C432" t="s">
        <v>29</v>
      </c>
      <c r="D432" t="s">
        <v>166</v>
      </c>
      <c r="E432">
        <v>711</v>
      </c>
      <c r="F432" t="s">
        <v>167</v>
      </c>
      <c r="G432" t="s">
        <v>168</v>
      </c>
      <c r="I432" t="s">
        <v>97</v>
      </c>
      <c r="J432" t="s">
        <v>49</v>
      </c>
      <c r="K432" s="1">
        <v>45824</v>
      </c>
    </row>
    <row r="433" spans="1:11" x14ac:dyDescent="0.3">
      <c r="A433" t="s">
        <v>600</v>
      </c>
      <c r="B433" s="1">
        <v>45757</v>
      </c>
      <c r="C433" t="s">
        <v>33</v>
      </c>
      <c r="D433" t="s">
        <v>171</v>
      </c>
      <c r="E433">
        <v>846</v>
      </c>
      <c r="F433" t="s">
        <v>167</v>
      </c>
      <c r="G433" t="s">
        <v>168</v>
      </c>
      <c r="I433" t="s">
        <v>132</v>
      </c>
      <c r="J433" t="s">
        <v>73</v>
      </c>
      <c r="K433" s="1">
        <v>45793</v>
      </c>
    </row>
    <row r="434" spans="1:11" x14ac:dyDescent="0.3">
      <c r="A434" t="s">
        <v>601</v>
      </c>
      <c r="B434" s="1">
        <v>45789</v>
      </c>
      <c r="C434" t="s">
        <v>6</v>
      </c>
      <c r="D434" t="s">
        <v>166</v>
      </c>
      <c r="E434">
        <v>443</v>
      </c>
      <c r="F434" t="s">
        <v>167</v>
      </c>
      <c r="G434" t="s">
        <v>168</v>
      </c>
      <c r="I434" t="s">
        <v>142</v>
      </c>
      <c r="J434" t="s">
        <v>58</v>
      </c>
      <c r="K434" s="1">
        <v>45749</v>
      </c>
    </row>
    <row r="435" spans="1:11" x14ac:dyDescent="0.3">
      <c r="A435" t="s">
        <v>602</v>
      </c>
      <c r="B435" s="1">
        <v>45677</v>
      </c>
      <c r="C435" t="s">
        <v>18</v>
      </c>
      <c r="D435" t="s">
        <v>171</v>
      </c>
      <c r="E435">
        <v>230</v>
      </c>
      <c r="F435" t="s">
        <v>167</v>
      </c>
      <c r="G435" t="s">
        <v>168</v>
      </c>
      <c r="I435" t="s">
        <v>110</v>
      </c>
      <c r="J435" t="s">
        <v>70</v>
      </c>
      <c r="K435" s="1">
        <v>45786</v>
      </c>
    </row>
    <row r="436" spans="1:11" x14ac:dyDescent="0.3">
      <c r="A436" t="s">
        <v>603</v>
      </c>
      <c r="B436" s="1">
        <v>45796</v>
      </c>
      <c r="C436" t="s">
        <v>6</v>
      </c>
      <c r="D436" t="s">
        <v>171</v>
      </c>
      <c r="E436">
        <v>736</v>
      </c>
      <c r="F436" t="s">
        <v>167</v>
      </c>
      <c r="G436" t="s">
        <v>168</v>
      </c>
      <c r="I436" t="s">
        <v>114</v>
      </c>
      <c r="J436" t="s">
        <v>49</v>
      </c>
      <c r="K436" s="1">
        <v>45671</v>
      </c>
    </row>
    <row r="437" spans="1:11" x14ac:dyDescent="0.3">
      <c r="A437" t="s">
        <v>604</v>
      </c>
      <c r="B437" s="1">
        <v>45835</v>
      </c>
      <c r="C437" t="s">
        <v>14</v>
      </c>
      <c r="D437" t="s">
        <v>171</v>
      </c>
      <c r="E437">
        <v>584</v>
      </c>
      <c r="F437" t="s">
        <v>167</v>
      </c>
      <c r="G437" t="s">
        <v>168</v>
      </c>
      <c r="I437" t="s">
        <v>118</v>
      </c>
      <c r="J437" t="s">
        <v>55</v>
      </c>
      <c r="K437" s="1">
        <v>45734</v>
      </c>
    </row>
    <row r="438" spans="1:11" x14ac:dyDescent="0.3">
      <c r="A438" t="s">
        <v>605</v>
      </c>
      <c r="B438" s="1">
        <v>45819</v>
      </c>
      <c r="C438" t="s">
        <v>11</v>
      </c>
      <c r="D438" t="s">
        <v>171</v>
      </c>
      <c r="E438">
        <v>728</v>
      </c>
      <c r="F438" t="s">
        <v>167</v>
      </c>
      <c r="G438" t="s">
        <v>168</v>
      </c>
      <c r="I438" t="s">
        <v>132</v>
      </c>
      <c r="J438" t="s">
        <v>58</v>
      </c>
      <c r="K438" s="1">
        <v>45831</v>
      </c>
    </row>
    <row r="439" spans="1:11" x14ac:dyDescent="0.3">
      <c r="A439" t="s">
        <v>606</v>
      </c>
      <c r="B439" s="1">
        <v>45714</v>
      </c>
      <c r="C439" t="s">
        <v>11</v>
      </c>
      <c r="D439" t="s">
        <v>171</v>
      </c>
      <c r="E439">
        <v>420</v>
      </c>
      <c r="F439" t="s">
        <v>167</v>
      </c>
      <c r="G439" t="s">
        <v>168</v>
      </c>
      <c r="I439" t="s">
        <v>100</v>
      </c>
      <c r="J439" t="s">
        <v>55</v>
      </c>
      <c r="K439" s="1">
        <v>45695</v>
      </c>
    </row>
    <row r="440" spans="1:11" x14ac:dyDescent="0.3">
      <c r="A440" t="s">
        <v>607</v>
      </c>
      <c r="B440" s="1">
        <v>45744</v>
      </c>
      <c r="C440" t="s">
        <v>22</v>
      </c>
      <c r="D440" t="s">
        <v>166</v>
      </c>
      <c r="E440">
        <v>238</v>
      </c>
      <c r="F440" t="s">
        <v>167</v>
      </c>
      <c r="G440" t="s">
        <v>168</v>
      </c>
      <c r="I440" t="s">
        <v>112</v>
      </c>
      <c r="J440" t="s">
        <v>49</v>
      </c>
      <c r="K440" s="1">
        <v>45700</v>
      </c>
    </row>
    <row r="441" spans="1:11" x14ac:dyDescent="0.3">
      <c r="A441" t="s">
        <v>608</v>
      </c>
      <c r="B441" s="1">
        <v>45685</v>
      </c>
      <c r="C441" t="s">
        <v>22</v>
      </c>
      <c r="D441" t="s">
        <v>171</v>
      </c>
      <c r="E441">
        <v>344</v>
      </c>
      <c r="F441" t="s">
        <v>167</v>
      </c>
      <c r="G441" t="s">
        <v>168</v>
      </c>
      <c r="I441" t="s">
        <v>138</v>
      </c>
      <c r="J441" t="s">
        <v>73</v>
      </c>
      <c r="K441" s="1">
        <v>45713</v>
      </c>
    </row>
    <row r="442" spans="1:11" x14ac:dyDescent="0.3">
      <c r="A442" t="s">
        <v>609</v>
      </c>
      <c r="B442" s="1">
        <v>45712</v>
      </c>
      <c r="C442" t="s">
        <v>18</v>
      </c>
      <c r="D442" t="s">
        <v>171</v>
      </c>
      <c r="E442">
        <v>677</v>
      </c>
      <c r="F442" t="s">
        <v>167</v>
      </c>
      <c r="G442" t="s">
        <v>168</v>
      </c>
      <c r="I442" t="s">
        <v>136</v>
      </c>
      <c r="J442" t="s">
        <v>61</v>
      </c>
      <c r="K442" s="1">
        <v>45741</v>
      </c>
    </row>
    <row r="443" spans="1:11" x14ac:dyDescent="0.3">
      <c r="A443" t="s">
        <v>610</v>
      </c>
      <c r="B443" s="1">
        <v>45805</v>
      </c>
      <c r="C443" t="s">
        <v>33</v>
      </c>
      <c r="D443" t="s">
        <v>171</v>
      </c>
      <c r="E443">
        <v>390</v>
      </c>
      <c r="F443" t="s">
        <v>167</v>
      </c>
      <c r="G443" t="s">
        <v>168</v>
      </c>
      <c r="I443" t="s">
        <v>122</v>
      </c>
      <c r="J443" t="s">
        <v>70</v>
      </c>
      <c r="K443" s="1">
        <v>45835</v>
      </c>
    </row>
    <row r="444" spans="1:11" x14ac:dyDescent="0.3">
      <c r="A444" t="s">
        <v>611</v>
      </c>
      <c r="B444" s="1">
        <v>45679</v>
      </c>
      <c r="C444" t="s">
        <v>14</v>
      </c>
      <c r="D444" t="s">
        <v>166</v>
      </c>
      <c r="E444">
        <v>287</v>
      </c>
      <c r="F444" t="s">
        <v>167</v>
      </c>
      <c r="G444" t="s">
        <v>168</v>
      </c>
      <c r="I444" t="s">
        <v>108</v>
      </c>
      <c r="J444" t="s">
        <v>49</v>
      </c>
      <c r="K444" s="1">
        <v>45800</v>
      </c>
    </row>
    <row r="445" spans="1:11" x14ac:dyDescent="0.3">
      <c r="A445" t="s">
        <v>612</v>
      </c>
      <c r="B445" s="1">
        <v>45800</v>
      </c>
      <c r="C445" t="s">
        <v>6</v>
      </c>
      <c r="D445" t="s">
        <v>171</v>
      </c>
      <c r="E445">
        <v>928</v>
      </c>
      <c r="F445" t="s">
        <v>167</v>
      </c>
      <c r="G445" t="s">
        <v>168</v>
      </c>
      <c r="I445" t="s">
        <v>150</v>
      </c>
      <c r="J445" t="s">
        <v>55</v>
      </c>
      <c r="K445" s="1">
        <v>45835</v>
      </c>
    </row>
    <row r="446" spans="1:11" x14ac:dyDescent="0.3">
      <c r="A446" t="s">
        <v>613</v>
      </c>
      <c r="B446" s="1">
        <v>45700</v>
      </c>
      <c r="C446" t="s">
        <v>11</v>
      </c>
      <c r="D446" t="s">
        <v>171</v>
      </c>
      <c r="E446">
        <v>848</v>
      </c>
      <c r="F446" t="s">
        <v>167</v>
      </c>
      <c r="G446" t="s">
        <v>168</v>
      </c>
      <c r="I446" t="s">
        <v>91</v>
      </c>
      <c r="J446" t="s">
        <v>76</v>
      </c>
      <c r="K446" s="1">
        <v>45680</v>
      </c>
    </row>
    <row r="447" spans="1:11" x14ac:dyDescent="0.3">
      <c r="A447" t="s">
        <v>614</v>
      </c>
      <c r="B447" s="1">
        <v>45678</v>
      </c>
      <c r="C447" t="s">
        <v>22</v>
      </c>
      <c r="D447" t="s">
        <v>166</v>
      </c>
      <c r="E447">
        <v>897</v>
      </c>
      <c r="F447" t="s">
        <v>167</v>
      </c>
      <c r="G447" t="s">
        <v>168</v>
      </c>
      <c r="I447" t="s">
        <v>108</v>
      </c>
      <c r="J447" t="s">
        <v>49</v>
      </c>
      <c r="K447" s="1">
        <v>45826</v>
      </c>
    </row>
    <row r="448" spans="1:11" x14ac:dyDescent="0.3">
      <c r="A448" t="s">
        <v>615</v>
      </c>
      <c r="B448" s="1">
        <v>45772</v>
      </c>
      <c r="C448" t="s">
        <v>11</v>
      </c>
      <c r="D448" t="s">
        <v>171</v>
      </c>
      <c r="E448">
        <v>234</v>
      </c>
      <c r="F448" t="s">
        <v>167</v>
      </c>
      <c r="G448" t="s">
        <v>168</v>
      </c>
      <c r="I448" t="s">
        <v>97</v>
      </c>
      <c r="J448" t="s">
        <v>55</v>
      </c>
      <c r="K448" s="1">
        <v>45686</v>
      </c>
    </row>
    <row r="449" spans="1:11" x14ac:dyDescent="0.3">
      <c r="A449" t="s">
        <v>616</v>
      </c>
      <c r="B449" s="1">
        <v>45758</v>
      </c>
      <c r="C449" t="s">
        <v>29</v>
      </c>
      <c r="D449" t="s">
        <v>171</v>
      </c>
      <c r="E449">
        <v>878</v>
      </c>
      <c r="F449" t="s">
        <v>167</v>
      </c>
      <c r="G449" t="s">
        <v>168</v>
      </c>
      <c r="I449" t="s">
        <v>150</v>
      </c>
      <c r="J449" t="s">
        <v>76</v>
      </c>
      <c r="K449" s="1">
        <v>45679</v>
      </c>
    </row>
    <row r="450" spans="1:11" x14ac:dyDescent="0.3">
      <c r="A450" t="s">
        <v>617</v>
      </c>
      <c r="B450" s="1">
        <v>45758</v>
      </c>
      <c r="C450" t="s">
        <v>6</v>
      </c>
      <c r="D450" t="s">
        <v>166</v>
      </c>
      <c r="E450">
        <v>644</v>
      </c>
      <c r="F450" t="s">
        <v>167</v>
      </c>
      <c r="G450" t="s">
        <v>168</v>
      </c>
      <c r="I450" t="s">
        <v>94</v>
      </c>
      <c r="J450" t="s">
        <v>49</v>
      </c>
      <c r="K450" s="1">
        <v>45677</v>
      </c>
    </row>
    <row r="451" spans="1:11" x14ac:dyDescent="0.3">
      <c r="A451" t="s">
        <v>618</v>
      </c>
      <c r="B451" s="1">
        <v>45728</v>
      </c>
      <c r="C451" t="s">
        <v>29</v>
      </c>
      <c r="D451" t="s">
        <v>171</v>
      </c>
      <c r="E451">
        <v>796</v>
      </c>
      <c r="F451" t="s">
        <v>167</v>
      </c>
      <c r="G451" t="s">
        <v>168</v>
      </c>
      <c r="I451" t="s">
        <v>144</v>
      </c>
      <c r="J451" t="s">
        <v>52</v>
      </c>
      <c r="K451" s="1">
        <v>45736</v>
      </c>
    </row>
    <row r="452" spans="1:11" x14ac:dyDescent="0.3">
      <c r="A452" t="s">
        <v>619</v>
      </c>
      <c r="B452" s="1">
        <v>45825</v>
      </c>
      <c r="C452" t="s">
        <v>26</v>
      </c>
      <c r="D452" t="s">
        <v>166</v>
      </c>
      <c r="E452">
        <v>91</v>
      </c>
      <c r="F452" t="s">
        <v>167</v>
      </c>
      <c r="G452" t="s">
        <v>168</v>
      </c>
      <c r="I452" t="s">
        <v>118</v>
      </c>
      <c r="J452" t="s">
        <v>73</v>
      </c>
      <c r="K452" s="1">
        <v>45722</v>
      </c>
    </row>
    <row r="453" spans="1:11" x14ac:dyDescent="0.3">
      <c r="A453" t="s">
        <v>620</v>
      </c>
      <c r="B453" s="1">
        <v>45761</v>
      </c>
      <c r="C453" t="s">
        <v>26</v>
      </c>
      <c r="D453" t="s">
        <v>171</v>
      </c>
      <c r="E453">
        <v>418</v>
      </c>
      <c r="F453" t="s">
        <v>167</v>
      </c>
      <c r="G453" t="s">
        <v>168</v>
      </c>
      <c r="I453" t="s">
        <v>108</v>
      </c>
      <c r="J453" t="s">
        <v>61</v>
      </c>
      <c r="K453" s="1">
        <v>45755</v>
      </c>
    </row>
    <row r="454" spans="1:11" x14ac:dyDescent="0.3">
      <c r="A454" t="s">
        <v>621</v>
      </c>
      <c r="B454" s="1">
        <v>45693</v>
      </c>
      <c r="C454" t="s">
        <v>26</v>
      </c>
      <c r="D454" t="s">
        <v>171</v>
      </c>
      <c r="E454">
        <v>721</v>
      </c>
      <c r="F454" t="s">
        <v>167</v>
      </c>
      <c r="G454" t="s">
        <v>168</v>
      </c>
      <c r="I454" t="s">
        <v>118</v>
      </c>
      <c r="J454" t="s">
        <v>55</v>
      </c>
      <c r="K454" s="1">
        <v>45798</v>
      </c>
    </row>
    <row r="455" spans="1:11" x14ac:dyDescent="0.3">
      <c r="A455" t="s">
        <v>622</v>
      </c>
      <c r="B455" s="1">
        <v>45728</v>
      </c>
      <c r="C455" t="s">
        <v>26</v>
      </c>
      <c r="D455" t="s">
        <v>171</v>
      </c>
      <c r="E455">
        <v>280</v>
      </c>
      <c r="F455" t="s">
        <v>167</v>
      </c>
      <c r="G455" t="s">
        <v>168</v>
      </c>
      <c r="I455" t="s">
        <v>140</v>
      </c>
      <c r="J455" t="s">
        <v>70</v>
      </c>
      <c r="K455" s="1">
        <v>45720</v>
      </c>
    </row>
    <row r="456" spans="1:11" x14ac:dyDescent="0.3">
      <c r="A456" t="s">
        <v>623</v>
      </c>
      <c r="B456" s="1">
        <v>45800</v>
      </c>
      <c r="C456" t="s">
        <v>22</v>
      </c>
      <c r="D456" t="s">
        <v>166</v>
      </c>
      <c r="E456">
        <v>659</v>
      </c>
      <c r="F456" t="s">
        <v>167</v>
      </c>
      <c r="G456" t="s">
        <v>168</v>
      </c>
      <c r="I456" t="s">
        <v>94</v>
      </c>
      <c r="J456" t="s">
        <v>58</v>
      </c>
      <c r="K456" s="1">
        <v>45685</v>
      </c>
    </row>
    <row r="457" spans="1:11" x14ac:dyDescent="0.3">
      <c r="A457" t="s">
        <v>624</v>
      </c>
      <c r="B457" s="1">
        <v>45688</v>
      </c>
      <c r="C457" t="s">
        <v>29</v>
      </c>
      <c r="D457" t="s">
        <v>166</v>
      </c>
      <c r="E457">
        <v>569</v>
      </c>
      <c r="F457" t="s">
        <v>167</v>
      </c>
      <c r="G457" t="s">
        <v>168</v>
      </c>
      <c r="I457" t="s">
        <v>110</v>
      </c>
      <c r="J457" t="s">
        <v>61</v>
      </c>
      <c r="K457" s="1">
        <v>45817</v>
      </c>
    </row>
    <row r="458" spans="1:11" x14ac:dyDescent="0.3">
      <c r="A458" t="s">
        <v>625</v>
      </c>
      <c r="B458" s="1">
        <v>45754</v>
      </c>
      <c r="C458" t="s">
        <v>18</v>
      </c>
      <c r="D458" t="s">
        <v>166</v>
      </c>
      <c r="E458">
        <v>834</v>
      </c>
      <c r="F458" t="s">
        <v>167</v>
      </c>
      <c r="G458" t="s">
        <v>168</v>
      </c>
      <c r="I458" t="s">
        <v>130</v>
      </c>
      <c r="J458" t="s">
        <v>70</v>
      </c>
      <c r="K458" s="1">
        <v>45744</v>
      </c>
    </row>
    <row r="459" spans="1:11" x14ac:dyDescent="0.3">
      <c r="A459" t="s">
        <v>626</v>
      </c>
      <c r="B459" s="1">
        <v>45691</v>
      </c>
      <c r="C459" t="s">
        <v>26</v>
      </c>
      <c r="D459" t="s">
        <v>166</v>
      </c>
      <c r="E459">
        <v>230</v>
      </c>
      <c r="F459" t="s">
        <v>167</v>
      </c>
      <c r="G459" t="s">
        <v>168</v>
      </c>
      <c r="I459" t="s">
        <v>104</v>
      </c>
      <c r="J459" t="s">
        <v>64</v>
      </c>
      <c r="K459" s="1">
        <v>45714</v>
      </c>
    </row>
    <row r="460" spans="1:11" x14ac:dyDescent="0.3">
      <c r="A460" t="s">
        <v>627</v>
      </c>
      <c r="B460" s="1">
        <v>45786</v>
      </c>
      <c r="C460" t="s">
        <v>6</v>
      </c>
      <c r="D460" t="s">
        <v>171</v>
      </c>
      <c r="E460">
        <v>624</v>
      </c>
      <c r="F460" t="s">
        <v>167</v>
      </c>
      <c r="G460" t="s">
        <v>168</v>
      </c>
      <c r="I460" t="s">
        <v>88</v>
      </c>
      <c r="J460" t="s">
        <v>67</v>
      </c>
      <c r="K460" s="1">
        <v>45727</v>
      </c>
    </row>
    <row r="461" spans="1:11" x14ac:dyDescent="0.3">
      <c r="A461" t="s">
        <v>628</v>
      </c>
      <c r="B461" s="1">
        <v>45677</v>
      </c>
      <c r="C461" t="s">
        <v>26</v>
      </c>
      <c r="D461" t="s">
        <v>166</v>
      </c>
      <c r="E461">
        <v>451</v>
      </c>
      <c r="F461" t="s">
        <v>167</v>
      </c>
      <c r="G461" t="s">
        <v>168</v>
      </c>
      <c r="I461" t="s">
        <v>106</v>
      </c>
      <c r="J461" t="s">
        <v>64</v>
      </c>
      <c r="K461" s="1">
        <v>45828</v>
      </c>
    </row>
    <row r="462" spans="1:11" x14ac:dyDescent="0.3">
      <c r="A462" t="s">
        <v>629</v>
      </c>
      <c r="B462" s="1">
        <v>45784</v>
      </c>
      <c r="C462" t="s">
        <v>6</v>
      </c>
      <c r="D462" t="s">
        <v>166</v>
      </c>
      <c r="E462">
        <v>176</v>
      </c>
      <c r="F462" t="s">
        <v>167</v>
      </c>
      <c r="G462" t="s">
        <v>168</v>
      </c>
      <c r="I462" t="s">
        <v>134</v>
      </c>
      <c r="J462" t="s">
        <v>58</v>
      </c>
      <c r="K462" s="1">
        <v>45784</v>
      </c>
    </row>
    <row r="463" spans="1:11" x14ac:dyDescent="0.3">
      <c r="A463" t="s">
        <v>630</v>
      </c>
      <c r="B463" s="1">
        <v>45811</v>
      </c>
      <c r="C463" t="s">
        <v>11</v>
      </c>
      <c r="D463" t="s">
        <v>166</v>
      </c>
      <c r="E463">
        <v>991</v>
      </c>
      <c r="F463" t="s">
        <v>167</v>
      </c>
      <c r="G463" t="s">
        <v>168</v>
      </c>
      <c r="I463" t="s">
        <v>144</v>
      </c>
      <c r="J463" t="s">
        <v>70</v>
      </c>
      <c r="K463" s="1">
        <v>45792</v>
      </c>
    </row>
    <row r="464" spans="1:11" x14ac:dyDescent="0.3">
      <c r="A464" t="s">
        <v>631</v>
      </c>
      <c r="B464" s="1">
        <v>45686</v>
      </c>
      <c r="C464" t="s">
        <v>14</v>
      </c>
      <c r="D464" t="s">
        <v>171</v>
      </c>
      <c r="E464">
        <v>150</v>
      </c>
      <c r="F464" t="s">
        <v>167</v>
      </c>
      <c r="G464" t="s">
        <v>168</v>
      </c>
      <c r="I464" t="s">
        <v>91</v>
      </c>
      <c r="J464" t="s">
        <v>67</v>
      </c>
      <c r="K464" s="1">
        <v>45820</v>
      </c>
    </row>
    <row r="465" spans="1:11" x14ac:dyDescent="0.3">
      <c r="A465" t="s">
        <v>632</v>
      </c>
      <c r="B465" s="1">
        <v>45708</v>
      </c>
      <c r="C465" t="s">
        <v>18</v>
      </c>
      <c r="D465" t="s">
        <v>171</v>
      </c>
      <c r="E465">
        <v>696</v>
      </c>
      <c r="F465" t="s">
        <v>167</v>
      </c>
      <c r="G465" t="s">
        <v>168</v>
      </c>
      <c r="I465" t="s">
        <v>148</v>
      </c>
      <c r="J465" t="s">
        <v>70</v>
      </c>
      <c r="K465" s="1">
        <v>45799</v>
      </c>
    </row>
    <row r="466" spans="1:11" x14ac:dyDescent="0.3">
      <c r="A466" t="s">
        <v>633</v>
      </c>
      <c r="B466" s="1">
        <v>45701</v>
      </c>
      <c r="C466" t="s">
        <v>14</v>
      </c>
      <c r="D466" t="s">
        <v>171</v>
      </c>
      <c r="E466">
        <v>235</v>
      </c>
      <c r="F466" t="s">
        <v>167</v>
      </c>
      <c r="G466" t="s">
        <v>168</v>
      </c>
      <c r="I466" t="s">
        <v>126</v>
      </c>
      <c r="J466" t="s">
        <v>52</v>
      </c>
      <c r="K466" s="1">
        <v>45762</v>
      </c>
    </row>
    <row r="467" spans="1:11" x14ac:dyDescent="0.3">
      <c r="A467" t="s">
        <v>634</v>
      </c>
      <c r="B467" s="1">
        <v>45709</v>
      </c>
      <c r="C467" t="s">
        <v>18</v>
      </c>
      <c r="D467" t="s">
        <v>171</v>
      </c>
      <c r="E467">
        <v>34</v>
      </c>
      <c r="F467" t="s">
        <v>167</v>
      </c>
      <c r="G467" t="s">
        <v>168</v>
      </c>
      <c r="I467" t="s">
        <v>110</v>
      </c>
      <c r="J467" t="s">
        <v>67</v>
      </c>
      <c r="K467" s="1">
        <v>45688</v>
      </c>
    </row>
    <row r="468" spans="1:11" x14ac:dyDescent="0.3">
      <c r="A468" t="s">
        <v>635</v>
      </c>
      <c r="B468" s="1">
        <v>45714</v>
      </c>
      <c r="C468" t="s">
        <v>14</v>
      </c>
      <c r="D468" t="s">
        <v>171</v>
      </c>
      <c r="E468">
        <v>167</v>
      </c>
      <c r="F468" t="s">
        <v>167</v>
      </c>
      <c r="G468" t="s">
        <v>168</v>
      </c>
      <c r="I468" t="s">
        <v>97</v>
      </c>
      <c r="J468" t="s">
        <v>76</v>
      </c>
      <c r="K468" s="1">
        <v>45670</v>
      </c>
    </row>
    <row r="469" spans="1:11" x14ac:dyDescent="0.3">
      <c r="A469" t="s">
        <v>636</v>
      </c>
      <c r="B469" s="1">
        <v>45726</v>
      </c>
      <c r="C469" t="s">
        <v>33</v>
      </c>
      <c r="D469" t="s">
        <v>166</v>
      </c>
      <c r="E469">
        <v>668</v>
      </c>
      <c r="F469" t="s">
        <v>167</v>
      </c>
      <c r="G469" t="s">
        <v>168</v>
      </c>
      <c r="I469" t="s">
        <v>132</v>
      </c>
      <c r="J469" t="s">
        <v>67</v>
      </c>
      <c r="K469" s="1">
        <v>45694</v>
      </c>
    </row>
    <row r="470" spans="1:11" x14ac:dyDescent="0.3">
      <c r="A470" t="s">
        <v>637</v>
      </c>
      <c r="B470" s="1">
        <v>45811</v>
      </c>
      <c r="C470" t="s">
        <v>26</v>
      </c>
      <c r="D470" t="s">
        <v>166</v>
      </c>
      <c r="E470">
        <v>429</v>
      </c>
      <c r="F470" t="s">
        <v>167</v>
      </c>
      <c r="G470" t="s">
        <v>168</v>
      </c>
      <c r="I470" t="s">
        <v>110</v>
      </c>
      <c r="J470" t="s">
        <v>55</v>
      </c>
      <c r="K470" s="1">
        <v>45800</v>
      </c>
    </row>
    <row r="471" spans="1:11" x14ac:dyDescent="0.3">
      <c r="A471" t="s">
        <v>638</v>
      </c>
      <c r="B471" s="1">
        <v>45708</v>
      </c>
      <c r="C471" t="s">
        <v>14</v>
      </c>
      <c r="D471" t="s">
        <v>171</v>
      </c>
      <c r="E471">
        <v>55</v>
      </c>
      <c r="F471" t="s">
        <v>167</v>
      </c>
      <c r="G471" t="s">
        <v>168</v>
      </c>
      <c r="I471" t="s">
        <v>100</v>
      </c>
      <c r="J471" t="s">
        <v>64</v>
      </c>
      <c r="K471" s="1">
        <v>45712</v>
      </c>
    </row>
    <row r="472" spans="1:11" x14ac:dyDescent="0.3">
      <c r="A472" t="s">
        <v>639</v>
      </c>
      <c r="B472" s="1">
        <v>45832</v>
      </c>
      <c r="C472" t="s">
        <v>6</v>
      </c>
      <c r="D472" t="s">
        <v>171</v>
      </c>
      <c r="E472">
        <v>713</v>
      </c>
      <c r="F472" t="s">
        <v>167</v>
      </c>
      <c r="G472" t="s">
        <v>168</v>
      </c>
      <c r="I472" t="s">
        <v>108</v>
      </c>
      <c r="J472" t="s">
        <v>73</v>
      </c>
      <c r="K472" s="1">
        <v>45698</v>
      </c>
    </row>
    <row r="473" spans="1:11" x14ac:dyDescent="0.3">
      <c r="A473" t="s">
        <v>640</v>
      </c>
      <c r="B473" s="1">
        <v>45742</v>
      </c>
      <c r="C473" t="s">
        <v>29</v>
      </c>
      <c r="D473" t="s">
        <v>166</v>
      </c>
      <c r="E473">
        <v>792</v>
      </c>
      <c r="F473" t="s">
        <v>167</v>
      </c>
      <c r="G473" t="s">
        <v>168</v>
      </c>
      <c r="I473" t="s">
        <v>148</v>
      </c>
      <c r="J473" t="s">
        <v>49</v>
      </c>
      <c r="K473" s="1">
        <v>45730</v>
      </c>
    </row>
    <row r="474" spans="1:11" x14ac:dyDescent="0.3">
      <c r="A474" t="s">
        <v>641</v>
      </c>
      <c r="B474" s="1">
        <v>45673</v>
      </c>
      <c r="C474" t="s">
        <v>22</v>
      </c>
      <c r="D474" t="s">
        <v>171</v>
      </c>
      <c r="E474">
        <v>823</v>
      </c>
      <c r="F474" t="s">
        <v>167</v>
      </c>
      <c r="G474" t="s">
        <v>168</v>
      </c>
      <c r="I474" t="s">
        <v>132</v>
      </c>
      <c r="J474" t="s">
        <v>70</v>
      </c>
      <c r="K474" s="1">
        <v>45672</v>
      </c>
    </row>
    <row r="475" spans="1:11" x14ac:dyDescent="0.3">
      <c r="A475" t="s">
        <v>642</v>
      </c>
      <c r="B475" s="1">
        <v>45769</v>
      </c>
      <c r="C475" t="s">
        <v>14</v>
      </c>
      <c r="D475" t="s">
        <v>171</v>
      </c>
      <c r="E475">
        <v>656</v>
      </c>
      <c r="F475" t="s">
        <v>167</v>
      </c>
      <c r="G475" t="s">
        <v>168</v>
      </c>
      <c r="I475" t="s">
        <v>132</v>
      </c>
      <c r="J475" t="s">
        <v>55</v>
      </c>
      <c r="K475" s="1">
        <v>45803</v>
      </c>
    </row>
    <row r="476" spans="1:11" x14ac:dyDescent="0.3">
      <c r="A476" t="s">
        <v>643</v>
      </c>
      <c r="B476" s="1">
        <v>45707</v>
      </c>
      <c r="C476" t="s">
        <v>29</v>
      </c>
      <c r="D476" t="s">
        <v>166</v>
      </c>
      <c r="E476">
        <v>959</v>
      </c>
      <c r="F476" t="s">
        <v>167</v>
      </c>
      <c r="G476" t="s">
        <v>168</v>
      </c>
      <c r="I476" t="s">
        <v>146</v>
      </c>
      <c r="J476" t="s">
        <v>52</v>
      </c>
      <c r="K476" s="1">
        <v>45742</v>
      </c>
    </row>
    <row r="477" spans="1:11" x14ac:dyDescent="0.3">
      <c r="A477" t="s">
        <v>644</v>
      </c>
      <c r="B477" s="1">
        <v>45820</v>
      </c>
      <c r="C477" t="s">
        <v>33</v>
      </c>
      <c r="D477" t="s">
        <v>171</v>
      </c>
      <c r="E477">
        <v>564</v>
      </c>
      <c r="F477" t="s">
        <v>167</v>
      </c>
      <c r="G477" t="s">
        <v>168</v>
      </c>
      <c r="I477" t="s">
        <v>138</v>
      </c>
      <c r="J477" t="s">
        <v>61</v>
      </c>
      <c r="K477" s="1">
        <v>45707</v>
      </c>
    </row>
    <row r="478" spans="1:11" x14ac:dyDescent="0.3">
      <c r="A478" t="s">
        <v>645</v>
      </c>
      <c r="B478" s="1">
        <v>45769</v>
      </c>
      <c r="C478" t="s">
        <v>33</v>
      </c>
      <c r="D478" t="s">
        <v>171</v>
      </c>
      <c r="E478">
        <v>345</v>
      </c>
      <c r="F478" t="s">
        <v>167</v>
      </c>
      <c r="G478" t="s">
        <v>168</v>
      </c>
      <c r="I478" t="s">
        <v>136</v>
      </c>
      <c r="J478" t="s">
        <v>73</v>
      </c>
      <c r="K478" s="1">
        <v>45673</v>
      </c>
    </row>
    <row r="479" spans="1:11" x14ac:dyDescent="0.3">
      <c r="A479" t="s">
        <v>646</v>
      </c>
      <c r="B479" s="1">
        <v>45749</v>
      </c>
      <c r="C479" t="s">
        <v>11</v>
      </c>
      <c r="D479" t="s">
        <v>171</v>
      </c>
      <c r="E479">
        <v>922</v>
      </c>
      <c r="F479" t="s">
        <v>167</v>
      </c>
      <c r="G479" t="s">
        <v>168</v>
      </c>
      <c r="I479" t="s">
        <v>132</v>
      </c>
      <c r="J479" t="s">
        <v>67</v>
      </c>
      <c r="K479" s="1">
        <v>45756</v>
      </c>
    </row>
    <row r="480" spans="1:11" x14ac:dyDescent="0.3">
      <c r="A480" t="s">
        <v>647</v>
      </c>
      <c r="B480" s="1">
        <v>45828</v>
      </c>
      <c r="C480" t="s">
        <v>11</v>
      </c>
      <c r="D480" t="s">
        <v>171</v>
      </c>
      <c r="E480">
        <v>11</v>
      </c>
      <c r="F480" t="s">
        <v>167</v>
      </c>
      <c r="G480" t="s">
        <v>168</v>
      </c>
      <c r="I480" t="s">
        <v>124</v>
      </c>
      <c r="J480" t="s">
        <v>55</v>
      </c>
      <c r="K480" s="1">
        <v>45659</v>
      </c>
    </row>
    <row r="481" spans="1:11" x14ac:dyDescent="0.3">
      <c r="A481" t="s">
        <v>648</v>
      </c>
      <c r="B481" s="1">
        <v>45684</v>
      </c>
      <c r="C481" t="s">
        <v>26</v>
      </c>
      <c r="D481" t="s">
        <v>166</v>
      </c>
      <c r="E481">
        <v>16</v>
      </c>
      <c r="F481" t="s">
        <v>167</v>
      </c>
      <c r="G481" t="s">
        <v>168</v>
      </c>
      <c r="I481" t="s">
        <v>94</v>
      </c>
      <c r="J481" t="s">
        <v>58</v>
      </c>
      <c r="K481" s="1">
        <v>45810</v>
      </c>
    </row>
    <row r="482" spans="1:11" x14ac:dyDescent="0.3">
      <c r="A482" t="s">
        <v>649</v>
      </c>
      <c r="B482" s="1">
        <v>45700</v>
      </c>
      <c r="C482" t="s">
        <v>33</v>
      </c>
      <c r="D482" t="s">
        <v>171</v>
      </c>
      <c r="E482">
        <v>810</v>
      </c>
      <c r="F482" t="s">
        <v>167</v>
      </c>
      <c r="G482" t="s">
        <v>168</v>
      </c>
      <c r="I482" t="s">
        <v>118</v>
      </c>
      <c r="J482" t="s">
        <v>64</v>
      </c>
      <c r="K482" s="1">
        <v>45713</v>
      </c>
    </row>
    <row r="483" spans="1:11" x14ac:dyDescent="0.3">
      <c r="A483" t="s">
        <v>650</v>
      </c>
      <c r="B483" s="1">
        <v>45684</v>
      </c>
      <c r="C483" t="s">
        <v>33</v>
      </c>
      <c r="D483" t="s">
        <v>166</v>
      </c>
      <c r="E483">
        <v>858</v>
      </c>
      <c r="F483" t="s">
        <v>167</v>
      </c>
      <c r="G483" t="s">
        <v>168</v>
      </c>
      <c r="I483" t="s">
        <v>132</v>
      </c>
      <c r="J483" t="s">
        <v>67</v>
      </c>
      <c r="K483" s="1">
        <v>45688</v>
      </c>
    </row>
    <row r="484" spans="1:11" x14ac:dyDescent="0.3">
      <c r="A484" t="s">
        <v>651</v>
      </c>
      <c r="B484" s="1">
        <v>45770</v>
      </c>
      <c r="C484" t="s">
        <v>11</v>
      </c>
      <c r="D484" t="s">
        <v>171</v>
      </c>
      <c r="E484">
        <v>616</v>
      </c>
      <c r="F484" t="s">
        <v>167</v>
      </c>
      <c r="G484" t="s">
        <v>168</v>
      </c>
      <c r="I484" t="s">
        <v>116</v>
      </c>
      <c r="J484" t="s">
        <v>49</v>
      </c>
      <c r="K484" s="1">
        <v>45658</v>
      </c>
    </row>
    <row r="485" spans="1:11" x14ac:dyDescent="0.3">
      <c r="A485" t="s">
        <v>652</v>
      </c>
      <c r="B485" s="1">
        <v>45736</v>
      </c>
      <c r="C485" t="s">
        <v>33</v>
      </c>
      <c r="D485" t="s">
        <v>171</v>
      </c>
      <c r="E485">
        <v>666</v>
      </c>
      <c r="F485" t="s">
        <v>167</v>
      </c>
      <c r="G485" t="s">
        <v>168</v>
      </c>
      <c r="I485" t="s">
        <v>124</v>
      </c>
      <c r="J485" t="s">
        <v>70</v>
      </c>
      <c r="K485" s="1">
        <v>45826</v>
      </c>
    </row>
    <row r="486" spans="1:11" x14ac:dyDescent="0.3">
      <c r="A486" t="s">
        <v>653</v>
      </c>
      <c r="B486" s="1">
        <v>45686</v>
      </c>
      <c r="C486" t="s">
        <v>18</v>
      </c>
      <c r="D486" t="s">
        <v>171</v>
      </c>
      <c r="E486">
        <v>61</v>
      </c>
      <c r="F486" t="s">
        <v>167</v>
      </c>
      <c r="G486" t="s">
        <v>168</v>
      </c>
      <c r="I486" t="s">
        <v>102</v>
      </c>
      <c r="J486" t="s">
        <v>55</v>
      </c>
      <c r="K486" s="1">
        <v>45826</v>
      </c>
    </row>
    <row r="487" spans="1:11" x14ac:dyDescent="0.3">
      <c r="A487" t="s">
        <v>654</v>
      </c>
      <c r="B487" s="1">
        <v>45751</v>
      </c>
      <c r="C487" t="s">
        <v>29</v>
      </c>
      <c r="D487" t="s">
        <v>166</v>
      </c>
      <c r="E487">
        <v>515</v>
      </c>
      <c r="F487" t="s">
        <v>167</v>
      </c>
      <c r="G487" t="s">
        <v>168</v>
      </c>
      <c r="I487" t="s">
        <v>130</v>
      </c>
      <c r="J487" t="s">
        <v>55</v>
      </c>
      <c r="K487" s="1">
        <v>45680</v>
      </c>
    </row>
    <row r="488" spans="1:11" x14ac:dyDescent="0.3">
      <c r="A488" t="s">
        <v>655</v>
      </c>
      <c r="B488" s="1">
        <v>45807</v>
      </c>
      <c r="C488" t="s">
        <v>29</v>
      </c>
      <c r="D488" t="s">
        <v>171</v>
      </c>
      <c r="E488">
        <v>972</v>
      </c>
      <c r="F488" t="s">
        <v>167</v>
      </c>
      <c r="G488" t="s">
        <v>168</v>
      </c>
      <c r="I488" t="s">
        <v>120</v>
      </c>
      <c r="J488" t="s">
        <v>67</v>
      </c>
      <c r="K488" s="1">
        <v>45835</v>
      </c>
    </row>
    <row r="489" spans="1:11" x14ac:dyDescent="0.3">
      <c r="A489" t="s">
        <v>656</v>
      </c>
      <c r="B489" s="1">
        <v>45750</v>
      </c>
      <c r="C489" t="s">
        <v>18</v>
      </c>
      <c r="D489" t="s">
        <v>171</v>
      </c>
      <c r="E489">
        <v>814</v>
      </c>
      <c r="F489" t="s">
        <v>167</v>
      </c>
      <c r="G489" t="s">
        <v>168</v>
      </c>
      <c r="I489" t="s">
        <v>100</v>
      </c>
      <c r="J489" t="s">
        <v>49</v>
      </c>
      <c r="K489" s="1">
        <v>45733</v>
      </c>
    </row>
    <row r="490" spans="1:11" x14ac:dyDescent="0.3">
      <c r="A490" t="s">
        <v>657</v>
      </c>
      <c r="B490" s="1">
        <v>45827</v>
      </c>
      <c r="C490" t="s">
        <v>29</v>
      </c>
      <c r="D490" t="s">
        <v>171</v>
      </c>
      <c r="E490">
        <v>867</v>
      </c>
      <c r="F490" t="s">
        <v>167</v>
      </c>
      <c r="G490" t="s">
        <v>168</v>
      </c>
      <c r="I490" t="s">
        <v>108</v>
      </c>
      <c r="J490" t="s">
        <v>73</v>
      </c>
      <c r="K490" s="1">
        <v>45681</v>
      </c>
    </row>
    <row r="491" spans="1:11" x14ac:dyDescent="0.3">
      <c r="A491" t="s">
        <v>658</v>
      </c>
      <c r="B491" s="1">
        <v>45693</v>
      </c>
      <c r="C491" t="s">
        <v>33</v>
      </c>
      <c r="D491" t="s">
        <v>166</v>
      </c>
      <c r="E491">
        <v>50</v>
      </c>
      <c r="F491" t="s">
        <v>167</v>
      </c>
      <c r="G491" t="s">
        <v>168</v>
      </c>
      <c r="I491" t="s">
        <v>140</v>
      </c>
      <c r="J491" t="s">
        <v>76</v>
      </c>
      <c r="K491" s="1">
        <v>45702</v>
      </c>
    </row>
    <row r="492" spans="1:11" x14ac:dyDescent="0.3">
      <c r="A492" t="s">
        <v>659</v>
      </c>
      <c r="B492" s="1">
        <v>45741</v>
      </c>
      <c r="C492" t="s">
        <v>6</v>
      </c>
      <c r="D492" t="s">
        <v>171</v>
      </c>
      <c r="E492">
        <v>460</v>
      </c>
      <c r="F492" t="s">
        <v>167</v>
      </c>
      <c r="G492" t="s">
        <v>168</v>
      </c>
      <c r="I492" t="s">
        <v>122</v>
      </c>
      <c r="J492" t="s">
        <v>64</v>
      </c>
      <c r="K492" s="1">
        <v>45721</v>
      </c>
    </row>
    <row r="493" spans="1:11" x14ac:dyDescent="0.3">
      <c r="A493" t="s">
        <v>660</v>
      </c>
      <c r="B493" s="1">
        <v>45719</v>
      </c>
      <c r="C493" t="s">
        <v>14</v>
      </c>
      <c r="D493" t="s">
        <v>166</v>
      </c>
      <c r="E493">
        <v>153</v>
      </c>
      <c r="F493" t="s">
        <v>167</v>
      </c>
      <c r="G493" t="s">
        <v>168</v>
      </c>
      <c r="I493" t="s">
        <v>102</v>
      </c>
      <c r="J493" t="s">
        <v>58</v>
      </c>
      <c r="K493" s="1">
        <v>45807</v>
      </c>
    </row>
    <row r="494" spans="1:11" x14ac:dyDescent="0.3">
      <c r="A494" t="s">
        <v>661</v>
      </c>
      <c r="B494" s="1">
        <v>45799</v>
      </c>
      <c r="C494" t="s">
        <v>22</v>
      </c>
      <c r="D494" t="s">
        <v>166</v>
      </c>
      <c r="E494">
        <v>432</v>
      </c>
      <c r="F494" t="s">
        <v>167</v>
      </c>
      <c r="G494" t="s">
        <v>168</v>
      </c>
      <c r="I494" t="s">
        <v>150</v>
      </c>
      <c r="J494" t="s">
        <v>61</v>
      </c>
      <c r="K494" s="1">
        <v>45806</v>
      </c>
    </row>
    <row r="495" spans="1:11" x14ac:dyDescent="0.3">
      <c r="A495" t="s">
        <v>662</v>
      </c>
      <c r="B495" s="1">
        <v>45761</v>
      </c>
      <c r="C495" t="s">
        <v>11</v>
      </c>
      <c r="D495" t="s">
        <v>171</v>
      </c>
      <c r="E495">
        <v>562</v>
      </c>
      <c r="F495" t="s">
        <v>167</v>
      </c>
      <c r="G495" t="s">
        <v>168</v>
      </c>
      <c r="I495" t="s">
        <v>130</v>
      </c>
      <c r="J495" t="s">
        <v>73</v>
      </c>
      <c r="K495" s="1">
        <v>45743</v>
      </c>
    </row>
    <row r="496" spans="1:11" x14ac:dyDescent="0.3">
      <c r="A496" t="s">
        <v>663</v>
      </c>
      <c r="B496" s="1">
        <v>45778</v>
      </c>
      <c r="C496" t="s">
        <v>11</v>
      </c>
      <c r="D496" t="s">
        <v>166</v>
      </c>
      <c r="E496">
        <v>630</v>
      </c>
      <c r="F496" t="s">
        <v>167</v>
      </c>
      <c r="G496" t="s">
        <v>168</v>
      </c>
      <c r="I496" t="s">
        <v>148</v>
      </c>
      <c r="J496" t="s">
        <v>61</v>
      </c>
      <c r="K496" s="1">
        <v>45834</v>
      </c>
    </row>
    <row r="497" spans="1:11" x14ac:dyDescent="0.3">
      <c r="A497" t="s">
        <v>664</v>
      </c>
      <c r="B497" s="1">
        <v>45699</v>
      </c>
      <c r="C497" t="s">
        <v>18</v>
      </c>
      <c r="D497" t="s">
        <v>166</v>
      </c>
      <c r="E497">
        <v>965</v>
      </c>
      <c r="F497" t="s">
        <v>167</v>
      </c>
      <c r="G497" t="s">
        <v>168</v>
      </c>
      <c r="I497" t="s">
        <v>128</v>
      </c>
      <c r="J497" t="s">
        <v>70</v>
      </c>
      <c r="K497" s="1">
        <v>45702</v>
      </c>
    </row>
    <row r="498" spans="1:11" x14ac:dyDescent="0.3">
      <c r="A498" t="s">
        <v>665</v>
      </c>
      <c r="B498" s="1">
        <v>45826</v>
      </c>
      <c r="C498" t="s">
        <v>26</v>
      </c>
      <c r="D498" t="s">
        <v>171</v>
      </c>
      <c r="E498">
        <v>206</v>
      </c>
      <c r="F498" t="s">
        <v>167</v>
      </c>
      <c r="G498" t="s">
        <v>168</v>
      </c>
      <c r="I498" t="s">
        <v>104</v>
      </c>
      <c r="J498" t="s">
        <v>67</v>
      </c>
      <c r="K498" s="1">
        <v>45834</v>
      </c>
    </row>
    <row r="499" spans="1:11" x14ac:dyDescent="0.3">
      <c r="A499" t="s">
        <v>666</v>
      </c>
      <c r="B499" s="1">
        <v>45685</v>
      </c>
      <c r="C499" t="s">
        <v>18</v>
      </c>
      <c r="D499" t="s">
        <v>166</v>
      </c>
      <c r="E499">
        <v>537</v>
      </c>
      <c r="F499" t="s">
        <v>167</v>
      </c>
      <c r="G499" t="s">
        <v>168</v>
      </c>
      <c r="I499" t="s">
        <v>142</v>
      </c>
      <c r="J499" t="s">
        <v>73</v>
      </c>
      <c r="K499" s="1">
        <v>45796</v>
      </c>
    </row>
    <row r="500" spans="1:11" x14ac:dyDescent="0.3">
      <c r="A500" t="s">
        <v>667</v>
      </c>
      <c r="B500" s="1">
        <v>45715</v>
      </c>
      <c r="C500" t="s">
        <v>29</v>
      </c>
      <c r="D500" t="s">
        <v>171</v>
      </c>
      <c r="E500">
        <v>21</v>
      </c>
      <c r="F500" t="s">
        <v>167</v>
      </c>
      <c r="G500" t="s">
        <v>168</v>
      </c>
      <c r="I500" t="s">
        <v>97</v>
      </c>
      <c r="J500" t="s">
        <v>55</v>
      </c>
      <c r="K500" s="1">
        <v>45735</v>
      </c>
    </row>
    <row r="501" spans="1:11" x14ac:dyDescent="0.3">
      <c r="A501" t="s">
        <v>668</v>
      </c>
      <c r="B501" s="1">
        <v>45765</v>
      </c>
      <c r="C501" t="s">
        <v>18</v>
      </c>
      <c r="D501" t="s">
        <v>166</v>
      </c>
      <c r="E501">
        <v>902</v>
      </c>
      <c r="F501" t="s">
        <v>167</v>
      </c>
      <c r="G501" t="s">
        <v>168</v>
      </c>
      <c r="I501" t="s">
        <v>120</v>
      </c>
      <c r="J501" t="s">
        <v>55</v>
      </c>
      <c r="K501" s="1">
        <v>45749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AE19-9CD7-4EE6-9E14-88B5ABAA2284}">
  <dimension ref="A1:G81"/>
  <sheetViews>
    <sheetView workbookViewId="0">
      <selection activeCell="G2" sqref="G2"/>
    </sheetView>
  </sheetViews>
  <sheetFormatPr defaultRowHeight="14.4" x14ac:dyDescent="0.3"/>
  <cols>
    <col min="1" max="1" width="13.109375" bestFit="1" customWidth="1"/>
    <col min="2" max="2" width="13.6640625" bestFit="1" customWidth="1"/>
    <col min="3" max="3" width="15.44140625" bestFit="1" customWidth="1"/>
    <col min="4" max="4" width="10.33203125" bestFit="1" customWidth="1"/>
    <col min="5" max="5" width="28.77734375" bestFit="1" customWidth="1"/>
    <col min="6" max="6" width="22.33203125" bestFit="1" customWidth="1"/>
    <col min="7" max="7" width="15.88671875" bestFit="1" customWidth="1"/>
  </cols>
  <sheetData>
    <row r="1" spans="1:7" x14ac:dyDescent="0.3">
      <c r="A1" t="s">
        <v>46</v>
      </c>
      <c r="B1" t="s">
        <v>1</v>
      </c>
      <c r="C1" t="s">
        <v>0</v>
      </c>
      <c r="D1" t="s">
        <v>161</v>
      </c>
      <c r="E1" t="s">
        <v>1209</v>
      </c>
      <c r="F1" t="s">
        <v>1210</v>
      </c>
      <c r="G1" t="s">
        <v>1211</v>
      </c>
    </row>
    <row r="2" spans="1:7" x14ac:dyDescent="0.3">
      <c r="A2" s="23" t="s">
        <v>70</v>
      </c>
      <c r="B2" s="23" t="s">
        <v>26</v>
      </c>
      <c r="C2" s="1">
        <v>45667</v>
      </c>
      <c r="D2">
        <v>896</v>
      </c>
      <c r="E2" s="23" t="s">
        <v>6</v>
      </c>
      <c r="F2">
        <v>791.89</v>
      </c>
      <c r="G2">
        <f>Merge1[[#This Row],[quantity]]*Merge1[[#This Row],[fact_daily_prices.close]]</f>
        <v>709533.44</v>
      </c>
    </row>
    <row r="3" spans="1:7" x14ac:dyDescent="0.3">
      <c r="A3" s="23" t="s">
        <v>76</v>
      </c>
      <c r="B3" s="23" t="s">
        <v>29</v>
      </c>
      <c r="C3" s="1">
        <v>45706</v>
      </c>
      <c r="D3">
        <v>916</v>
      </c>
      <c r="E3" s="23" t="s">
        <v>6</v>
      </c>
      <c r="F3">
        <v>769.29</v>
      </c>
      <c r="G3">
        <f>Merge1[[#This Row],[quantity]]*Merge1[[#This Row],[fact_daily_prices.close]]</f>
        <v>704669.64</v>
      </c>
    </row>
    <row r="4" spans="1:7" x14ac:dyDescent="0.3">
      <c r="A4" s="23" t="s">
        <v>52</v>
      </c>
      <c r="B4" s="23" t="s">
        <v>33</v>
      </c>
      <c r="C4" s="1">
        <v>45707</v>
      </c>
      <c r="D4">
        <v>809</v>
      </c>
      <c r="E4" s="23" t="s">
        <v>6</v>
      </c>
      <c r="F4">
        <v>781.13</v>
      </c>
      <c r="G4">
        <f>Merge1[[#This Row],[quantity]]*Merge1[[#This Row],[fact_daily_prices.close]]</f>
        <v>631934.17000000004</v>
      </c>
    </row>
    <row r="5" spans="1:7" x14ac:dyDescent="0.3">
      <c r="A5" s="23" t="s">
        <v>70</v>
      </c>
      <c r="B5" s="23" t="s">
        <v>18</v>
      </c>
      <c r="C5" s="1">
        <v>45709</v>
      </c>
      <c r="D5">
        <v>345</v>
      </c>
      <c r="E5" s="23" t="s">
        <v>6</v>
      </c>
      <c r="F5">
        <v>792.41</v>
      </c>
      <c r="G5">
        <f>Merge1[[#This Row],[quantity]]*Merge1[[#This Row],[fact_daily_prices.close]]</f>
        <v>273381.45</v>
      </c>
    </row>
    <row r="6" spans="1:7" x14ac:dyDescent="0.3">
      <c r="A6" s="23" t="s">
        <v>73</v>
      </c>
      <c r="B6" s="23" t="s">
        <v>14</v>
      </c>
      <c r="C6" s="1">
        <v>45715</v>
      </c>
      <c r="D6">
        <v>479</v>
      </c>
      <c r="E6" s="23" t="s">
        <v>6</v>
      </c>
      <c r="F6">
        <v>769.96</v>
      </c>
      <c r="G6">
        <f>Merge1[[#This Row],[quantity]]*Merge1[[#This Row],[fact_daily_prices.close]]</f>
        <v>368810.84</v>
      </c>
    </row>
    <row r="7" spans="1:7" x14ac:dyDescent="0.3">
      <c r="A7" s="23" t="s">
        <v>49</v>
      </c>
      <c r="B7" s="23" t="s">
        <v>18</v>
      </c>
      <c r="C7" s="1">
        <v>45716</v>
      </c>
      <c r="D7">
        <v>908</v>
      </c>
      <c r="E7" s="23" t="s">
        <v>6</v>
      </c>
      <c r="F7">
        <v>757.19</v>
      </c>
      <c r="G7">
        <f>Merge1[[#This Row],[quantity]]*Merge1[[#This Row],[fact_daily_prices.close]]</f>
        <v>687528.52</v>
      </c>
    </row>
    <row r="8" spans="1:7" x14ac:dyDescent="0.3">
      <c r="A8" s="23" t="s">
        <v>67</v>
      </c>
      <c r="B8" s="23" t="s">
        <v>26</v>
      </c>
      <c r="C8" s="1">
        <v>45737</v>
      </c>
      <c r="D8">
        <v>833</v>
      </c>
      <c r="E8" s="23" t="s">
        <v>6</v>
      </c>
      <c r="F8">
        <v>757</v>
      </c>
      <c r="G8">
        <f>Merge1[[#This Row],[quantity]]*Merge1[[#This Row],[fact_daily_prices.close]]</f>
        <v>630581</v>
      </c>
    </row>
    <row r="9" spans="1:7" x14ac:dyDescent="0.3">
      <c r="A9" s="23" t="s">
        <v>67</v>
      </c>
      <c r="B9" s="23" t="s">
        <v>14</v>
      </c>
      <c r="C9" s="1">
        <v>45763</v>
      </c>
      <c r="D9">
        <v>202</v>
      </c>
      <c r="E9" s="23" t="s">
        <v>6</v>
      </c>
      <c r="F9">
        <v>800.85</v>
      </c>
      <c r="G9">
        <f>Merge1[[#This Row],[quantity]]*Merge1[[#This Row],[fact_daily_prices.close]]</f>
        <v>161771.70000000001</v>
      </c>
    </row>
    <row r="10" spans="1:7" x14ac:dyDescent="0.3">
      <c r="A10" s="23" t="s">
        <v>58</v>
      </c>
      <c r="B10" s="23" t="s">
        <v>6</v>
      </c>
      <c r="C10" s="1">
        <v>45776</v>
      </c>
      <c r="D10">
        <v>618</v>
      </c>
      <c r="E10" s="23" t="s">
        <v>6</v>
      </c>
      <c r="F10">
        <v>832.62</v>
      </c>
      <c r="G10">
        <f>Merge1[[#This Row],[quantity]]*Merge1[[#This Row],[fact_daily_prices.close]]</f>
        <v>514559.16</v>
      </c>
    </row>
    <row r="11" spans="1:7" x14ac:dyDescent="0.3">
      <c r="A11" s="23" t="s">
        <v>61</v>
      </c>
      <c r="B11" s="23" t="s">
        <v>6</v>
      </c>
      <c r="C11" s="1">
        <v>45813</v>
      </c>
      <c r="D11">
        <v>934</v>
      </c>
      <c r="E11" s="23" t="s">
        <v>6</v>
      </c>
      <c r="F11">
        <v>760.7</v>
      </c>
      <c r="G11">
        <f>Merge1[[#This Row],[quantity]]*Merge1[[#This Row],[fact_daily_prices.close]]</f>
        <v>710493.8</v>
      </c>
    </row>
    <row r="12" spans="1:7" x14ac:dyDescent="0.3">
      <c r="A12" s="23" t="s">
        <v>70</v>
      </c>
      <c r="B12" s="23" t="s">
        <v>26</v>
      </c>
      <c r="C12" s="1">
        <v>45667</v>
      </c>
      <c r="D12">
        <v>896</v>
      </c>
      <c r="E12" s="23" t="s">
        <v>11</v>
      </c>
      <c r="F12">
        <v>1177.96</v>
      </c>
      <c r="G12">
        <f>Merge1[[#This Row],[quantity]]*Merge1[[#This Row],[fact_daily_prices.close]]</f>
        <v>1055452.1600000001</v>
      </c>
    </row>
    <row r="13" spans="1:7" x14ac:dyDescent="0.3">
      <c r="A13" s="23" t="s">
        <v>76</v>
      </c>
      <c r="B13" s="23" t="s">
        <v>29</v>
      </c>
      <c r="C13" s="1">
        <v>45706</v>
      </c>
      <c r="D13">
        <v>916</v>
      </c>
      <c r="E13" s="23" t="s">
        <v>11</v>
      </c>
      <c r="F13">
        <v>1200.9100000000001</v>
      </c>
      <c r="G13">
        <f>Merge1[[#This Row],[quantity]]*Merge1[[#This Row],[fact_daily_prices.close]]</f>
        <v>1100033.56</v>
      </c>
    </row>
    <row r="14" spans="1:7" x14ac:dyDescent="0.3">
      <c r="A14" s="23" t="s">
        <v>52</v>
      </c>
      <c r="B14" s="23" t="s">
        <v>33</v>
      </c>
      <c r="C14" s="1">
        <v>45707</v>
      </c>
      <c r="D14">
        <v>809</v>
      </c>
      <c r="E14" s="23" t="s">
        <v>11</v>
      </c>
      <c r="F14">
        <v>1210.21</v>
      </c>
      <c r="G14">
        <f>Merge1[[#This Row],[quantity]]*Merge1[[#This Row],[fact_daily_prices.close]]</f>
        <v>979059.89</v>
      </c>
    </row>
    <row r="15" spans="1:7" x14ac:dyDescent="0.3">
      <c r="A15" s="23" t="s">
        <v>70</v>
      </c>
      <c r="B15" s="23" t="s">
        <v>18</v>
      </c>
      <c r="C15" s="1">
        <v>45709</v>
      </c>
      <c r="D15">
        <v>345</v>
      </c>
      <c r="E15" s="23" t="s">
        <v>11</v>
      </c>
      <c r="F15">
        <v>1232.58</v>
      </c>
      <c r="G15">
        <f>Merge1[[#This Row],[quantity]]*Merge1[[#This Row],[fact_daily_prices.close]]</f>
        <v>425240.1</v>
      </c>
    </row>
    <row r="16" spans="1:7" x14ac:dyDescent="0.3">
      <c r="A16" s="23" t="s">
        <v>73</v>
      </c>
      <c r="B16" s="23" t="s">
        <v>14</v>
      </c>
      <c r="C16" s="1">
        <v>45715</v>
      </c>
      <c r="D16">
        <v>479</v>
      </c>
      <c r="E16" s="23" t="s">
        <v>11</v>
      </c>
      <c r="F16">
        <v>1266.29</v>
      </c>
      <c r="G16">
        <f>Merge1[[#This Row],[quantity]]*Merge1[[#This Row],[fact_daily_prices.close]]</f>
        <v>606552.91</v>
      </c>
    </row>
    <row r="17" spans="1:7" x14ac:dyDescent="0.3">
      <c r="A17" s="23" t="s">
        <v>49</v>
      </c>
      <c r="B17" s="23" t="s">
        <v>18</v>
      </c>
      <c r="C17" s="1">
        <v>45716</v>
      </c>
      <c r="D17">
        <v>908</v>
      </c>
      <c r="E17" s="23" t="s">
        <v>11</v>
      </c>
      <c r="F17">
        <v>1268.45</v>
      </c>
      <c r="G17">
        <f>Merge1[[#This Row],[quantity]]*Merge1[[#This Row],[fact_daily_prices.close]]</f>
        <v>1151752.6000000001</v>
      </c>
    </row>
    <row r="18" spans="1:7" x14ac:dyDescent="0.3">
      <c r="A18" s="23" t="s">
        <v>67</v>
      </c>
      <c r="B18" s="23" t="s">
        <v>26</v>
      </c>
      <c r="C18" s="1">
        <v>45737</v>
      </c>
      <c r="D18">
        <v>833</v>
      </c>
      <c r="E18" s="23" t="s">
        <v>11</v>
      </c>
      <c r="F18">
        <v>1271.97</v>
      </c>
      <c r="G18">
        <f>Merge1[[#This Row],[quantity]]*Merge1[[#This Row],[fact_daily_prices.close]]</f>
        <v>1059551.01</v>
      </c>
    </row>
    <row r="19" spans="1:7" x14ac:dyDescent="0.3">
      <c r="A19" s="23" t="s">
        <v>67</v>
      </c>
      <c r="B19" s="23" t="s">
        <v>14</v>
      </c>
      <c r="C19" s="1">
        <v>45763</v>
      </c>
      <c r="D19">
        <v>202</v>
      </c>
      <c r="E19" s="23" t="s">
        <v>11</v>
      </c>
      <c r="F19">
        <v>1280.4100000000001</v>
      </c>
      <c r="G19">
        <f>Merge1[[#This Row],[quantity]]*Merge1[[#This Row],[fact_daily_prices.close]]</f>
        <v>258642.82</v>
      </c>
    </row>
    <row r="20" spans="1:7" x14ac:dyDescent="0.3">
      <c r="A20" s="23" t="s">
        <v>58</v>
      </c>
      <c r="B20" s="23" t="s">
        <v>6</v>
      </c>
      <c r="C20" s="1">
        <v>45776</v>
      </c>
      <c r="D20">
        <v>618</v>
      </c>
      <c r="E20" s="23" t="s">
        <v>11</v>
      </c>
      <c r="F20">
        <v>1230.19</v>
      </c>
      <c r="G20">
        <f>Merge1[[#This Row],[quantity]]*Merge1[[#This Row],[fact_daily_prices.close]]</f>
        <v>760257.42</v>
      </c>
    </row>
    <row r="21" spans="1:7" x14ac:dyDescent="0.3">
      <c r="A21" s="23" t="s">
        <v>61</v>
      </c>
      <c r="B21" s="23" t="s">
        <v>6</v>
      </c>
      <c r="C21" s="1">
        <v>45813</v>
      </c>
      <c r="D21">
        <v>934</v>
      </c>
      <c r="E21" s="23" t="s">
        <v>11</v>
      </c>
      <c r="F21">
        <v>1194.03</v>
      </c>
      <c r="G21">
        <f>Merge1[[#This Row],[quantity]]*Merge1[[#This Row],[fact_daily_prices.close]]</f>
        <v>1115224.02</v>
      </c>
    </row>
    <row r="22" spans="1:7" x14ac:dyDescent="0.3">
      <c r="A22" s="23" t="s">
        <v>70</v>
      </c>
      <c r="B22" s="23" t="s">
        <v>26</v>
      </c>
      <c r="C22" s="1">
        <v>45667</v>
      </c>
      <c r="D22">
        <v>896</v>
      </c>
      <c r="E22" s="23" t="s">
        <v>14</v>
      </c>
      <c r="F22">
        <v>1974.95</v>
      </c>
      <c r="G22">
        <f>Merge1[[#This Row],[quantity]]*Merge1[[#This Row],[fact_daily_prices.close]]</f>
        <v>1769555.2</v>
      </c>
    </row>
    <row r="23" spans="1:7" x14ac:dyDescent="0.3">
      <c r="A23" s="23" t="s">
        <v>76</v>
      </c>
      <c r="B23" s="23" t="s">
        <v>29</v>
      </c>
      <c r="C23" s="1">
        <v>45706</v>
      </c>
      <c r="D23">
        <v>916</v>
      </c>
      <c r="E23" s="23" t="s">
        <v>14</v>
      </c>
      <c r="F23">
        <v>2180.9299999999998</v>
      </c>
      <c r="G23">
        <f>Merge1[[#This Row],[quantity]]*Merge1[[#This Row],[fact_daily_prices.close]]</f>
        <v>1997731.88</v>
      </c>
    </row>
    <row r="24" spans="1:7" x14ac:dyDescent="0.3">
      <c r="A24" s="23" t="s">
        <v>52</v>
      </c>
      <c r="B24" s="23" t="s">
        <v>33</v>
      </c>
      <c r="C24" s="1">
        <v>45707</v>
      </c>
      <c r="D24">
        <v>809</v>
      </c>
      <c r="E24" s="23" t="s">
        <v>14</v>
      </c>
      <c r="F24">
        <v>2163.65</v>
      </c>
      <c r="G24">
        <f>Merge1[[#This Row],[quantity]]*Merge1[[#This Row],[fact_daily_prices.close]]</f>
        <v>1750392.85</v>
      </c>
    </row>
    <row r="25" spans="1:7" x14ac:dyDescent="0.3">
      <c r="A25" s="23" t="s">
        <v>70</v>
      </c>
      <c r="B25" s="23" t="s">
        <v>18</v>
      </c>
      <c r="C25" s="1">
        <v>45709</v>
      </c>
      <c r="D25">
        <v>345</v>
      </c>
      <c r="E25" s="23" t="s">
        <v>14</v>
      </c>
      <c r="F25">
        <v>2105.5300000000002</v>
      </c>
      <c r="G25">
        <f>Merge1[[#This Row],[quantity]]*Merge1[[#This Row],[fact_daily_prices.close]]</f>
        <v>726407.85000000009</v>
      </c>
    </row>
    <row r="26" spans="1:7" x14ac:dyDescent="0.3">
      <c r="A26" s="23" t="s">
        <v>73</v>
      </c>
      <c r="B26" s="23" t="s">
        <v>14</v>
      </c>
      <c r="C26" s="1">
        <v>45715</v>
      </c>
      <c r="D26">
        <v>479</v>
      </c>
      <c r="E26" s="23" t="s">
        <v>14</v>
      </c>
      <c r="F26">
        <v>2133.59</v>
      </c>
      <c r="G26">
        <f>Merge1[[#This Row],[quantity]]*Merge1[[#This Row],[fact_daily_prices.close]]</f>
        <v>1021989.6100000001</v>
      </c>
    </row>
    <row r="27" spans="1:7" x14ac:dyDescent="0.3">
      <c r="A27" s="23" t="s">
        <v>49</v>
      </c>
      <c r="B27" s="23" t="s">
        <v>18</v>
      </c>
      <c r="C27" s="1">
        <v>45716</v>
      </c>
      <c r="D27">
        <v>908</v>
      </c>
      <c r="E27" s="23" t="s">
        <v>14</v>
      </c>
      <c r="F27">
        <v>2133.86</v>
      </c>
      <c r="G27">
        <f>Merge1[[#This Row],[quantity]]*Merge1[[#This Row],[fact_daily_prices.close]]</f>
        <v>1937544.8800000001</v>
      </c>
    </row>
    <row r="28" spans="1:7" x14ac:dyDescent="0.3">
      <c r="A28" s="23" t="s">
        <v>67</v>
      </c>
      <c r="B28" s="23" t="s">
        <v>26</v>
      </c>
      <c r="C28" s="1">
        <v>45737</v>
      </c>
      <c r="D28">
        <v>833</v>
      </c>
      <c r="E28" s="23" t="s">
        <v>14</v>
      </c>
      <c r="F28">
        <v>2161.1</v>
      </c>
      <c r="G28">
        <f>Merge1[[#This Row],[quantity]]*Merge1[[#This Row],[fact_daily_prices.close]]</f>
        <v>1800196.2999999998</v>
      </c>
    </row>
    <row r="29" spans="1:7" x14ac:dyDescent="0.3">
      <c r="A29" s="23" t="s">
        <v>67</v>
      </c>
      <c r="B29" s="23" t="s">
        <v>14</v>
      </c>
      <c r="C29" s="1">
        <v>45763</v>
      </c>
      <c r="D29">
        <v>202</v>
      </c>
      <c r="E29" s="23" t="s">
        <v>14</v>
      </c>
      <c r="F29">
        <v>2198.52</v>
      </c>
      <c r="G29">
        <f>Merge1[[#This Row],[quantity]]*Merge1[[#This Row],[fact_daily_prices.close]]</f>
        <v>444101.04</v>
      </c>
    </row>
    <row r="30" spans="1:7" x14ac:dyDescent="0.3">
      <c r="A30" s="23" t="s">
        <v>58</v>
      </c>
      <c r="B30" s="23" t="s">
        <v>6</v>
      </c>
      <c r="C30" s="1">
        <v>45776</v>
      </c>
      <c r="D30">
        <v>618</v>
      </c>
      <c r="E30" s="23" t="s">
        <v>14</v>
      </c>
      <c r="F30">
        <v>2105.06</v>
      </c>
      <c r="G30">
        <f>Merge1[[#This Row],[quantity]]*Merge1[[#This Row],[fact_daily_prices.close]]</f>
        <v>1300927.08</v>
      </c>
    </row>
    <row r="31" spans="1:7" x14ac:dyDescent="0.3">
      <c r="A31" s="23" t="s">
        <v>61</v>
      </c>
      <c r="B31" s="23" t="s">
        <v>6</v>
      </c>
      <c r="C31" s="1">
        <v>45813</v>
      </c>
      <c r="D31">
        <v>934</v>
      </c>
      <c r="E31" s="23" t="s">
        <v>14</v>
      </c>
      <c r="F31">
        <v>2177.64</v>
      </c>
      <c r="G31">
        <f>Merge1[[#This Row],[quantity]]*Merge1[[#This Row],[fact_daily_prices.close]]</f>
        <v>2033915.7599999998</v>
      </c>
    </row>
    <row r="32" spans="1:7" x14ac:dyDescent="0.3">
      <c r="A32" s="23" t="s">
        <v>70</v>
      </c>
      <c r="B32" s="23" t="s">
        <v>26</v>
      </c>
      <c r="C32" s="1">
        <v>45667</v>
      </c>
      <c r="D32">
        <v>896</v>
      </c>
      <c r="E32" s="23" t="s">
        <v>18</v>
      </c>
      <c r="F32">
        <v>616.4</v>
      </c>
      <c r="G32">
        <f>Merge1[[#This Row],[quantity]]*Merge1[[#This Row],[fact_daily_prices.close]]</f>
        <v>552294.40000000002</v>
      </c>
    </row>
    <row r="33" spans="1:7" x14ac:dyDescent="0.3">
      <c r="A33" s="23" t="s">
        <v>76</v>
      </c>
      <c r="B33" s="23" t="s">
        <v>29</v>
      </c>
      <c r="C33" s="1">
        <v>45706</v>
      </c>
      <c r="D33">
        <v>916</v>
      </c>
      <c r="E33" s="23" t="s">
        <v>18</v>
      </c>
      <c r="F33">
        <v>641.42999999999995</v>
      </c>
      <c r="G33">
        <f>Merge1[[#This Row],[quantity]]*Merge1[[#This Row],[fact_daily_prices.close]]</f>
        <v>587549.88</v>
      </c>
    </row>
    <row r="34" spans="1:7" x14ac:dyDescent="0.3">
      <c r="A34" s="23" t="s">
        <v>52</v>
      </c>
      <c r="B34" s="23" t="s">
        <v>33</v>
      </c>
      <c r="C34" s="1">
        <v>45707</v>
      </c>
      <c r="D34">
        <v>809</v>
      </c>
      <c r="E34" s="23" t="s">
        <v>18</v>
      </c>
      <c r="F34">
        <v>637.09</v>
      </c>
      <c r="G34">
        <f>Merge1[[#This Row],[quantity]]*Merge1[[#This Row],[fact_daily_prices.close]]</f>
        <v>515405.81</v>
      </c>
    </row>
    <row r="35" spans="1:7" x14ac:dyDescent="0.3">
      <c r="A35" s="23" t="s">
        <v>70</v>
      </c>
      <c r="B35" s="23" t="s">
        <v>18</v>
      </c>
      <c r="C35" s="1">
        <v>45709</v>
      </c>
      <c r="D35">
        <v>345</v>
      </c>
      <c r="E35" s="23" t="s">
        <v>18</v>
      </c>
      <c r="F35">
        <v>625.79</v>
      </c>
      <c r="G35">
        <f>Merge1[[#This Row],[quantity]]*Merge1[[#This Row],[fact_daily_prices.close]]</f>
        <v>215897.55</v>
      </c>
    </row>
    <row r="36" spans="1:7" x14ac:dyDescent="0.3">
      <c r="A36" s="23" t="s">
        <v>73</v>
      </c>
      <c r="B36" s="23" t="s">
        <v>14</v>
      </c>
      <c r="C36" s="1">
        <v>45715</v>
      </c>
      <c r="D36">
        <v>479</v>
      </c>
      <c r="E36" s="23" t="s">
        <v>18</v>
      </c>
      <c r="F36">
        <v>667.89</v>
      </c>
      <c r="G36">
        <f>Merge1[[#This Row],[quantity]]*Merge1[[#This Row],[fact_daily_prices.close]]</f>
        <v>319919.31</v>
      </c>
    </row>
    <row r="37" spans="1:7" x14ac:dyDescent="0.3">
      <c r="A37" s="23" t="s">
        <v>49</v>
      </c>
      <c r="B37" s="23" t="s">
        <v>18</v>
      </c>
      <c r="C37" s="1">
        <v>45716</v>
      </c>
      <c r="D37">
        <v>908</v>
      </c>
      <c r="E37" s="23" t="s">
        <v>18</v>
      </c>
      <c r="F37">
        <v>663.41</v>
      </c>
      <c r="G37">
        <f>Merge1[[#This Row],[quantity]]*Merge1[[#This Row],[fact_daily_prices.close]]</f>
        <v>602376.28</v>
      </c>
    </row>
    <row r="38" spans="1:7" x14ac:dyDescent="0.3">
      <c r="A38" s="23" t="s">
        <v>67</v>
      </c>
      <c r="B38" s="23" t="s">
        <v>26</v>
      </c>
      <c r="C38" s="1">
        <v>45737</v>
      </c>
      <c r="D38">
        <v>833</v>
      </c>
      <c r="E38" s="23" t="s">
        <v>18</v>
      </c>
      <c r="F38">
        <v>627.16999999999996</v>
      </c>
      <c r="G38">
        <f>Merge1[[#This Row],[quantity]]*Merge1[[#This Row],[fact_daily_prices.close]]</f>
        <v>522432.61</v>
      </c>
    </row>
    <row r="39" spans="1:7" x14ac:dyDescent="0.3">
      <c r="A39" s="23" t="s">
        <v>67</v>
      </c>
      <c r="B39" s="23" t="s">
        <v>14</v>
      </c>
      <c r="C39" s="1">
        <v>45763</v>
      </c>
      <c r="D39">
        <v>202</v>
      </c>
      <c r="E39" s="23" t="s">
        <v>18</v>
      </c>
      <c r="F39">
        <v>640.33000000000004</v>
      </c>
      <c r="G39">
        <f>Merge1[[#This Row],[quantity]]*Merge1[[#This Row],[fact_daily_prices.close]]</f>
        <v>129346.66</v>
      </c>
    </row>
    <row r="40" spans="1:7" x14ac:dyDescent="0.3">
      <c r="A40" s="23" t="s">
        <v>58</v>
      </c>
      <c r="B40" s="23" t="s">
        <v>6</v>
      </c>
      <c r="C40" s="1">
        <v>45776</v>
      </c>
      <c r="D40">
        <v>618</v>
      </c>
      <c r="E40" s="23" t="s">
        <v>18</v>
      </c>
      <c r="F40">
        <v>667.69</v>
      </c>
      <c r="G40">
        <f>Merge1[[#This Row],[quantity]]*Merge1[[#This Row],[fact_daily_prices.close]]</f>
        <v>412632.42000000004</v>
      </c>
    </row>
    <row r="41" spans="1:7" x14ac:dyDescent="0.3">
      <c r="A41" s="23" t="s">
        <v>61</v>
      </c>
      <c r="B41" s="23" t="s">
        <v>6</v>
      </c>
      <c r="C41" s="1">
        <v>45813</v>
      </c>
      <c r="D41">
        <v>934</v>
      </c>
      <c r="E41" s="23" t="s">
        <v>18</v>
      </c>
      <c r="F41">
        <v>662.9</v>
      </c>
      <c r="G41">
        <f>Merge1[[#This Row],[quantity]]*Merge1[[#This Row],[fact_daily_prices.close]]</f>
        <v>619148.6</v>
      </c>
    </row>
    <row r="42" spans="1:7" x14ac:dyDescent="0.3">
      <c r="A42" s="23" t="s">
        <v>70</v>
      </c>
      <c r="B42" s="23" t="s">
        <v>26</v>
      </c>
      <c r="C42" s="1">
        <v>45667</v>
      </c>
      <c r="D42">
        <v>896</v>
      </c>
      <c r="E42" s="23" t="s">
        <v>22</v>
      </c>
      <c r="F42">
        <v>233.42</v>
      </c>
      <c r="G42">
        <f>Merge1[[#This Row],[quantity]]*Merge1[[#This Row],[fact_daily_prices.close]]</f>
        <v>209144.31999999998</v>
      </c>
    </row>
    <row r="43" spans="1:7" x14ac:dyDescent="0.3">
      <c r="A43" s="23" t="s">
        <v>76</v>
      </c>
      <c r="B43" s="23" t="s">
        <v>29</v>
      </c>
      <c r="C43" s="1">
        <v>45706</v>
      </c>
      <c r="D43">
        <v>916</v>
      </c>
      <c r="E43" s="23" t="s">
        <v>22</v>
      </c>
      <c r="F43">
        <v>232.89</v>
      </c>
      <c r="G43">
        <f>Merge1[[#This Row],[quantity]]*Merge1[[#This Row],[fact_daily_prices.close]]</f>
        <v>213327.24</v>
      </c>
    </row>
    <row r="44" spans="1:7" x14ac:dyDescent="0.3">
      <c r="A44" s="23" t="s">
        <v>52</v>
      </c>
      <c r="B44" s="23" t="s">
        <v>33</v>
      </c>
      <c r="C44" s="1">
        <v>45707</v>
      </c>
      <c r="D44">
        <v>809</v>
      </c>
      <c r="E44" s="23" t="s">
        <v>22</v>
      </c>
      <c r="F44">
        <v>234.43</v>
      </c>
      <c r="G44">
        <f>Merge1[[#This Row],[quantity]]*Merge1[[#This Row],[fact_daily_prices.close]]</f>
        <v>189653.87</v>
      </c>
    </row>
    <row r="45" spans="1:7" x14ac:dyDescent="0.3">
      <c r="A45" s="23" t="s">
        <v>70</v>
      </c>
      <c r="B45" s="23" t="s">
        <v>18</v>
      </c>
      <c r="C45" s="1">
        <v>45709</v>
      </c>
      <c r="D45">
        <v>345</v>
      </c>
      <c r="E45" s="23" t="s">
        <v>22</v>
      </c>
      <c r="F45">
        <v>236.74</v>
      </c>
      <c r="G45">
        <f>Merge1[[#This Row],[quantity]]*Merge1[[#This Row],[fact_daily_prices.close]]</f>
        <v>81675.3</v>
      </c>
    </row>
    <row r="46" spans="1:7" x14ac:dyDescent="0.3">
      <c r="A46" s="23" t="s">
        <v>73</v>
      </c>
      <c r="B46" s="23" t="s">
        <v>14</v>
      </c>
      <c r="C46" s="1">
        <v>45715</v>
      </c>
      <c r="D46">
        <v>479</v>
      </c>
      <c r="E46" s="23" t="s">
        <v>22</v>
      </c>
      <c r="F46">
        <v>237.27</v>
      </c>
      <c r="G46">
        <f>Merge1[[#This Row],[quantity]]*Merge1[[#This Row],[fact_daily_prices.close]]</f>
        <v>113652.33</v>
      </c>
    </row>
    <row r="47" spans="1:7" x14ac:dyDescent="0.3">
      <c r="A47" s="23" t="s">
        <v>49</v>
      </c>
      <c r="B47" s="23" t="s">
        <v>18</v>
      </c>
      <c r="C47" s="1">
        <v>45716</v>
      </c>
      <c r="D47">
        <v>908</v>
      </c>
      <c r="E47" s="23" t="s">
        <v>22</v>
      </c>
      <c r="F47">
        <v>240.91</v>
      </c>
      <c r="G47">
        <f>Merge1[[#This Row],[quantity]]*Merge1[[#This Row],[fact_daily_prices.close]]</f>
        <v>218746.28</v>
      </c>
    </row>
    <row r="48" spans="1:7" x14ac:dyDescent="0.3">
      <c r="A48" s="23" t="s">
        <v>67</v>
      </c>
      <c r="B48" s="23" t="s">
        <v>26</v>
      </c>
      <c r="C48" s="1">
        <v>45737</v>
      </c>
      <c r="D48">
        <v>833</v>
      </c>
      <c r="E48" s="23" t="s">
        <v>22</v>
      </c>
      <c r="F48">
        <v>248.78</v>
      </c>
      <c r="G48">
        <f>Merge1[[#This Row],[quantity]]*Merge1[[#This Row],[fact_daily_prices.close]]</f>
        <v>207233.74</v>
      </c>
    </row>
    <row r="49" spans="1:7" x14ac:dyDescent="0.3">
      <c r="A49" s="23" t="s">
        <v>67</v>
      </c>
      <c r="B49" s="23" t="s">
        <v>14</v>
      </c>
      <c r="C49" s="1">
        <v>45763</v>
      </c>
      <c r="D49">
        <v>202</v>
      </c>
      <c r="E49" s="23" t="s">
        <v>22</v>
      </c>
      <c r="F49">
        <v>256.88</v>
      </c>
      <c r="G49">
        <f>Merge1[[#This Row],[quantity]]*Merge1[[#This Row],[fact_daily_prices.close]]</f>
        <v>51889.760000000002</v>
      </c>
    </row>
    <row r="50" spans="1:7" x14ac:dyDescent="0.3">
      <c r="A50" s="23" t="s">
        <v>58</v>
      </c>
      <c r="B50" s="23" t="s">
        <v>6</v>
      </c>
      <c r="C50" s="1">
        <v>45776</v>
      </c>
      <c r="D50">
        <v>618</v>
      </c>
      <c r="E50" s="23" t="s">
        <v>22</v>
      </c>
      <c r="F50">
        <v>257.76</v>
      </c>
      <c r="G50">
        <f>Merge1[[#This Row],[quantity]]*Merge1[[#This Row],[fact_daily_prices.close]]</f>
        <v>159295.67999999999</v>
      </c>
    </row>
    <row r="51" spans="1:7" x14ac:dyDescent="0.3">
      <c r="A51" s="23" t="s">
        <v>61</v>
      </c>
      <c r="B51" s="23" t="s">
        <v>6</v>
      </c>
      <c r="C51" s="1">
        <v>45813</v>
      </c>
      <c r="D51">
        <v>934</v>
      </c>
      <c r="E51" s="23" t="s">
        <v>22</v>
      </c>
      <c r="F51">
        <v>254.87</v>
      </c>
      <c r="G51">
        <f>Merge1[[#This Row],[quantity]]*Merge1[[#This Row],[fact_daily_prices.close]]</f>
        <v>238048.58000000002</v>
      </c>
    </row>
    <row r="52" spans="1:7" x14ac:dyDescent="0.3">
      <c r="A52" s="23" t="s">
        <v>70</v>
      </c>
      <c r="B52" s="23" t="s">
        <v>26</v>
      </c>
      <c r="C52" s="1">
        <v>45667</v>
      </c>
      <c r="D52">
        <v>896</v>
      </c>
      <c r="E52" s="23" t="s">
        <v>26</v>
      </c>
      <c r="F52">
        <v>239.08</v>
      </c>
      <c r="G52">
        <f>Merge1[[#This Row],[quantity]]*Merge1[[#This Row],[fact_daily_prices.close]]</f>
        <v>214215.68000000002</v>
      </c>
    </row>
    <row r="53" spans="1:7" x14ac:dyDescent="0.3">
      <c r="A53" s="23" t="s">
        <v>76</v>
      </c>
      <c r="B53" s="23" t="s">
        <v>29</v>
      </c>
      <c r="C53" s="1">
        <v>45706</v>
      </c>
      <c r="D53">
        <v>916</v>
      </c>
      <c r="E53" s="23" t="s">
        <v>26</v>
      </c>
      <c r="F53">
        <v>235.43</v>
      </c>
      <c r="G53">
        <f>Merge1[[#This Row],[quantity]]*Merge1[[#This Row],[fact_daily_prices.close]]</f>
        <v>215653.88</v>
      </c>
    </row>
    <row r="54" spans="1:7" x14ac:dyDescent="0.3">
      <c r="A54" s="23" t="s">
        <v>52</v>
      </c>
      <c r="B54" s="23" t="s">
        <v>33</v>
      </c>
      <c r="C54" s="1">
        <v>45707</v>
      </c>
      <c r="D54">
        <v>809</v>
      </c>
      <c r="E54" s="23" t="s">
        <v>26</v>
      </c>
      <c r="F54">
        <v>242.07</v>
      </c>
      <c r="G54">
        <f>Merge1[[#This Row],[quantity]]*Merge1[[#This Row],[fact_daily_prices.close]]</f>
        <v>195834.63</v>
      </c>
    </row>
    <row r="55" spans="1:7" x14ac:dyDescent="0.3">
      <c r="A55" s="23" t="s">
        <v>70</v>
      </c>
      <c r="B55" s="23" t="s">
        <v>18</v>
      </c>
      <c r="C55" s="1">
        <v>45709</v>
      </c>
      <c r="D55">
        <v>345</v>
      </c>
      <c r="E55" s="23" t="s">
        <v>26</v>
      </c>
      <c r="F55">
        <v>236.34</v>
      </c>
      <c r="G55">
        <f>Merge1[[#This Row],[quantity]]*Merge1[[#This Row],[fact_daily_prices.close]]</f>
        <v>81537.3</v>
      </c>
    </row>
    <row r="56" spans="1:7" x14ac:dyDescent="0.3">
      <c r="A56" s="23" t="s">
        <v>73</v>
      </c>
      <c r="B56" s="23" t="s">
        <v>14</v>
      </c>
      <c r="C56" s="1">
        <v>45715</v>
      </c>
      <c r="D56">
        <v>479</v>
      </c>
      <c r="E56" s="23" t="s">
        <v>26</v>
      </c>
      <c r="F56">
        <v>238.69</v>
      </c>
      <c r="G56">
        <f>Merge1[[#This Row],[quantity]]*Merge1[[#This Row],[fact_daily_prices.close]]</f>
        <v>114332.51</v>
      </c>
    </row>
    <row r="57" spans="1:7" x14ac:dyDescent="0.3">
      <c r="A57" s="23" t="s">
        <v>49</v>
      </c>
      <c r="B57" s="23" t="s">
        <v>18</v>
      </c>
      <c r="C57" s="1">
        <v>45716</v>
      </c>
      <c r="D57">
        <v>908</v>
      </c>
      <c r="E57" s="23" t="s">
        <v>26</v>
      </c>
      <c r="F57">
        <v>240.43</v>
      </c>
      <c r="G57">
        <f>Merge1[[#This Row],[quantity]]*Merge1[[#This Row],[fact_daily_prices.close]]</f>
        <v>218310.44</v>
      </c>
    </row>
    <row r="58" spans="1:7" x14ac:dyDescent="0.3">
      <c r="A58" s="23" t="s">
        <v>67</v>
      </c>
      <c r="B58" s="23" t="s">
        <v>26</v>
      </c>
      <c r="C58" s="1">
        <v>45737</v>
      </c>
      <c r="D58">
        <v>833</v>
      </c>
      <c r="E58" s="23" t="s">
        <v>26</v>
      </c>
      <c r="F58">
        <v>231.31</v>
      </c>
      <c r="G58">
        <f>Merge1[[#This Row],[quantity]]*Merge1[[#This Row],[fact_daily_prices.close]]</f>
        <v>192681.23</v>
      </c>
    </row>
    <row r="59" spans="1:7" x14ac:dyDescent="0.3">
      <c r="A59" s="23" t="s">
        <v>67</v>
      </c>
      <c r="B59" s="23" t="s">
        <v>14</v>
      </c>
      <c r="C59" s="1">
        <v>45763</v>
      </c>
      <c r="D59">
        <v>202</v>
      </c>
      <c r="E59" s="23" t="s">
        <v>26</v>
      </c>
      <c r="F59">
        <v>244.46</v>
      </c>
      <c r="G59">
        <f>Merge1[[#This Row],[quantity]]*Merge1[[#This Row],[fact_daily_prices.close]]</f>
        <v>49380.92</v>
      </c>
    </row>
    <row r="60" spans="1:7" x14ac:dyDescent="0.3">
      <c r="A60" s="23" t="s">
        <v>58</v>
      </c>
      <c r="B60" s="23" t="s">
        <v>6</v>
      </c>
      <c r="C60" s="1">
        <v>45776</v>
      </c>
      <c r="D60">
        <v>618</v>
      </c>
      <c r="E60" s="23" t="s">
        <v>26</v>
      </c>
      <c r="F60">
        <v>244.91</v>
      </c>
      <c r="G60">
        <f>Merge1[[#This Row],[quantity]]*Merge1[[#This Row],[fact_daily_prices.close]]</f>
        <v>151354.38</v>
      </c>
    </row>
    <row r="61" spans="1:7" x14ac:dyDescent="0.3">
      <c r="A61" s="23" t="s">
        <v>61</v>
      </c>
      <c r="B61" s="23" t="s">
        <v>6</v>
      </c>
      <c r="C61" s="1">
        <v>45813</v>
      </c>
      <c r="D61">
        <v>934</v>
      </c>
      <c r="E61" s="23" t="s">
        <v>26</v>
      </c>
      <c r="F61">
        <v>242.47</v>
      </c>
      <c r="G61">
        <f>Merge1[[#This Row],[quantity]]*Merge1[[#This Row],[fact_daily_prices.close]]</f>
        <v>226466.98</v>
      </c>
    </row>
    <row r="62" spans="1:7" x14ac:dyDescent="0.3">
      <c r="A62" s="23" t="s">
        <v>70</v>
      </c>
      <c r="B62" s="23" t="s">
        <v>26</v>
      </c>
      <c r="C62" s="1">
        <v>45667</v>
      </c>
      <c r="D62">
        <v>896</v>
      </c>
      <c r="E62" s="23" t="s">
        <v>29</v>
      </c>
      <c r="F62">
        <v>480.63</v>
      </c>
      <c r="G62">
        <f>Merge1[[#This Row],[quantity]]*Merge1[[#This Row],[fact_daily_prices.close]]</f>
        <v>430644.47999999998</v>
      </c>
    </row>
    <row r="63" spans="1:7" x14ac:dyDescent="0.3">
      <c r="A63" s="23" t="s">
        <v>76</v>
      </c>
      <c r="B63" s="23" t="s">
        <v>29</v>
      </c>
      <c r="C63" s="1">
        <v>45706</v>
      </c>
      <c r="D63">
        <v>916</v>
      </c>
      <c r="E63" s="23" t="s">
        <v>29</v>
      </c>
      <c r="F63">
        <v>544.79999999999995</v>
      </c>
      <c r="G63">
        <f>Merge1[[#This Row],[quantity]]*Merge1[[#This Row],[fact_daily_prices.close]]</f>
        <v>499036.79999999993</v>
      </c>
    </row>
    <row r="64" spans="1:7" x14ac:dyDescent="0.3">
      <c r="A64" s="23" t="s">
        <v>52</v>
      </c>
      <c r="B64" s="23" t="s">
        <v>33</v>
      </c>
      <c r="C64" s="1">
        <v>45707</v>
      </c>
      <c r="D64">
        <v>809</v>
      </c>
      <c r="E64" s="23" t="s">
        <v>29</v>
      </c>
      <c r="F64">
        <v>545.39</v>
      </c>
      <c r="G64">
        <f>Merge1[[#This Row],[quantity]]*Merge1[[#This Row],[fact_daily_prices.close]]</f>
        <v>441220.51</v>
      </c>
    </row>
    <row r="65" spans="1:7" x14ac:dyDescent="0.3">
      <c r="A65" s="23" t="s">
        <v>70</v>
      </c>
      <c r="B65" s="23" t="s">
        <v>18</v>
      </c>
      <c r="C65" s="1">
        <v>45709</v>
      </c>
      <c r="D65">
        <v>345</v>
      </c>
      <c r="E65" s="23" t="s">
        <v>29</v>
      </c>
      <c r="F65">
        <v>544.47</v>
      </c>
      <c r="G65">
        <f>Merge1[[#This Row],[quantity]]*Merge1[[#This Row],[fact_daily_prices.close]]</f>
        <v>187842.15000000002</v>
      </c>
    </row>
    <row r="66" spans="1:7" x14ac:dyDescent="0.3">
      <c r="A66" s="23" t="s">
        <v>73</v>
      </c>
      <c r="B66" s="23" t="s">
        <v>14</v>
      </c>
      <c r="C66" s="1">
        <v>45715</v>
      </c>
      <c r="D66">
        <v>479</v>
      </c>
      <c r="E66" s="23" t="s">
        <v>29</v>
      </c>
      <c r="F66">
        <v>556.44000000000005</v>
      </c>
      <c r="G66">
        <f>Merge1[[#This Row],[quantity]]*Merge1[[#This Row],[fact_daily_prices.close]]</f>
        <v>266534.76</v>
      </c>
    </row>
    <row r="67" spans="1:7" x14ac:dyDescent="0.3">
      <c r="A67" s="23" t="s">
        <v>49</v>
      </c>
      <c r="B67" s="23" t="s">
        <v>18</v>
      </c>
      <c r="C67" s="1">
        <v>45716</v>
      </c>
      <c r="D67">
        <v>908</v>
      </c>
      <c r="E67" s="23" t="s">
        <v>29</v>
      </c>
      <c r="F67">
        <v>568.62</v>
      </c>
      <c r="G67">
        <f>Merge1[[#This Row],[quantity]]*Merge1[[#This Row],[fact_daily_prices.close]]</f>
        <v>516306.96</v>
      </c>
    </row>
    <row r="68" spans="1:7" x14ac:dyDescent="0.3">
      <c r="A68" s="23" t="s">
        <v>67</v>
      </c>
      <c r="B68" s="23" t="s">
        <v>26</v>
      </c>
      <c r="C68" s="1">
        <v>45737</v>
      </c>
      <c r="D68">
        <v>833</v>
      </c>
      <c r="E68" s="23" t="s">
        <v>29</v>
      </c>
      <c r="F68">
        <v>586.42999999999995</v>
      </c>
      <c r="G68">
        <f>Merge1[[#This Row],[quantity]]*Merge1[[#This Row],[fact_daily_prices.close]]</f>
        <v>488496.18999999994</v>
      </c>
    </row>
    <row r="69" spans="1:7" x14ac:dyDescent="0.3">
      <c r="A69" s="23" t="s">
        <v>67</v>
      </c>
      <c r="B69" s="23" t="s">
        <v>14</v>
      </c>
      <c r="C69" s="1">
        <v>45763</v>
      </c>
      <c r="D69">
        <v>202</v>
      </c>
      <c r="E69" s="23" t="s">
        <v>29</v>
      </c>
      <c r="F69">
        <v>577.02</v>
      </c>
      <c r="G69">
        <f>Merge1[[#This Row],[quantity]]*Merge1[[#This Row],[fact_daily_prices.close]]</f>
        <v>116558.04</v>
      </c>
    </row>
    <row r="70" spans="1:7" x14ac:dyDescent="0.3">
      <c r="A70" s="23" t="s">
        <v>58</v>
      </c>
      <c r="B70" s="23" t="s">
        <v>6</v>
      </c>
      <c r="C70" s="1">
        <v>45776</v>
      </c>
      <c r="D70">
        <v>618</v>
      </c>
      <c r="E70" s="23" t="s">
        <v>29</v>
      </c>
      <c r="F70">
        <v>623.59</v>
      </c>
      <c r="G70">
        <f>Merge1[[#This Row],[quantity]]*Merge1[[#This Row],[fact_daily_prices.close]]</f>
        <v>385378.62</v>
      </c>
    </row>
    <row r="71" spans="1:7" x14ac:dyDescent="0.3">
      <c r="A71" s="23" t="s">
        <v>61</v>
      </c>
      <c r="B71" s="23" t="s">
        <v>6</v>
      </c>
      <c r="C71" s="1">
        <v>45813</v>
      </c>
      <c r="D71">
        <v>934</v>
      </c>
      <c r="E71" s="23" t="s">
        <v>29</v>
      </c>
      <c r="F71">
        <v>616.64</v>
      </c>
      <c r="G71">
        <f>Merge1[[#This Row],[quantity]]*Merge1[[#This Row],[fact_daily_prices.close]]</f>
        <v>575941.76</v>
      </c>
    </row>
    <row r="72" spans="1:7" x14ac:dyDescent="0.3">
      <c r="A72" s="23" t="s">
        <v>70</v>
      </c>
      <c r="B72" s="23" t="s">
        <v>26</v>
      </c>
      <c r="C72" s="1">
        <v>45667</v>
      </c>
      <c r="D72">
        <v>896</v>
      </c>
      <c r="E72" s="23" t="s">
        <v>33</v>
      </c>
      <c r="F72">
        <v>1014.93</v>
      </c>
      <c r="G72">
        <f>Merge1[[#This Row],[quantity]]*Merge1[[#This Row],[fact_daily_prices.close]]</f>
        <v>909377.27999999991</v>
      </c>
    </row>
    <row r="73" spans="1:7" x14ac:dyDescent="0.3">
      <c r="A73" s="23" t="s">
        <v>76</v>
      </c>
      <c r="B73" s="23" t="s">
        <v>29</v>
      </c>
      <c r="C73" s="1">
        <v>45706</v>
      </c>
      <c r="D73">
        <v>916</v>
      </c>
      <c r="E73" s="23" t="s">
        <v>33</v>
      </c>
      <c r="F73">
        <v>1049.49</v>
      </c>
      <c r="G73">
        <f>Merge1[[#This Row],[quantity]]*Merge1[[#This Row],[fact_daily_prices.close]]</f>
        <v>961332.84</v>
      </c>
    </row>
    <row r="74" spans="1:7" x14ac:dyDescent="0.3">
      <c r="A74" s="23" t="s">
        <v>52</v>
      </c>
      <c r="B74" s="23" t="s">
        <v>33</v>
      </c>
      <c r="C74" s="1">
        <v>45707</v>
      </c>
      <c r="D74">
        <v>809</v>
      </c>
      <c r="E74" s="23" t="s">
        <v>33</v>
      </c>
      <c r="F74">
        <v>1046.26</v>
      </c>
      <c r="G74">
        <f>Merge1[[#This Row],[quantity]]*Merge1[[#This Row],[fact_daily_prices.close]]</f>
        <v>846424.34</v>
      </c>
    </row>
    <row r="75" spans="1:7" x14ac:dyDescent="0.3">
      <c r="A75" s="23" t="s">
        <v>70</v>
      </c>
      <c r="B75" s="23" t="s">
        <v>18</v>
      </c>
      <c r="C75" s="1">
        <v>45709</v>
      </c>
      <c r="D75">
        <v>345</v>
      </c>
      <c r="E75" s="23" t="s">
        <v>33</v>
      </c>
      <c r="F75">
        <v>1048.4000000000001</v>
      </c>
      <c r="G75">
        <f>Merge1[[#This Row],[quantity]]*Merge1[[#This Row],[fact_daily_prices.close]]</f>
        <v>361698.00000000006</v>
      </c>
    </row>
    <row r="76" spans="1:7" x14ac:dyDescent="0.3">
      <c r="A76" s="23" t="s">
        <v>73</v>
      </c>
      <c r="B76" s="23" t="s">
        <v>14</v>
      </c>
      <c r="C76" s="1">
        <v>45715</v>
      </c>
      <c r="D76">
        <v>479</v>
      </c>
      <c r="E76" s="23" t="s">
        <v>33</v>
      </c>
      <c r="F76">
        <v>1028.47</v>
      </c>
      <c r="G76">
        <f>Merge1[[#This Row],[quantity]]*Merge1[[#This Row],[fact_daily_prices.close]]</f>
        <v>492637.13</v>
      </c>
    </row>
    <row r="77" spans="1:7" x14ac:dyDescent="0.3">
      <c r="A77" s="23" t="s">
        <v>49</v>
      </c>
      <c r="B77" s="23" t="s">
        <v>18</v>
      </c>
      <c r="C77" s="1">
        <v>45716</v>
      </c>
      <c r="D77">
        <v>908</v>
      </c>
      <c r="E77" s="23" t="s">
        <v>33</v>
      </c>
      <c r="F77">
        <v>1025.42</v>
      </c>
      <c r="G77">
        <f>Merge1[[#This Row],[quantity]]*Merge1[[#This Row],[fact_daily_prices.close]]</f>
        <v>931081.3600000001</v>
      </c>
    </row>
    <row r="78" spans="1:7" x14ac:dyDescent="0.3">
      <c r="A78" s="23" t="s">
        <v>67</v>
      </c>
      <c r="B78" s="23" t="s">
        <v>26</v>
      </c>
      <c r="C78" s="1">
        <v>45737</v>
      </c>
      <c r="D78">
        <v>833</v>
      </c>
      <c r="E78" s="23" t="s">
        <v>33</v>
      </c>
      <c r="F78">
        <v>1259.27</v>
      </c>
      <c r="G78">
        <f>Merge1[[#This Row],[quantity]]*Merge1[[#This Row],[fact_daily_prices.close]]</f>
        <v>1048971.9099999999</v>
      </c>
    </row>
    <row r="79" spans="1:7" x14ac:dyDescent="0.3">
      <c r="A79" s="23" t="s">
        <v>67</v>
      </c>
      <c r="B79" s="23" t="s">
        <v>14</v>
      </c>
      <c r="C79" s="1">
        <v>45763</v>
      </c>
      <c r="D79">
        <v>202</v>
      </c>
      <c r="E79" s="23" t="s">
        <v>33</v>
      </c>
      <c r="F79">
        <v>1322.28</v>
      </c>
      <c r="G79">
        <f>Merge1[[#This Row],[quantity]]*Merge1[[#This Row],[fact_daily_prices.close]]</f>
        <v>267100.56</v>
      </c>
    </row>
    <row r="80" spans="1:7" x14ac:dyDescent="0.3">
      <c r="A80" s="23" t="s">
        <v>58</v>
      </c>
      <c r="B80" s="23" t="s">
        <v>6</v>
      </c>
      <c r="C80" s="1">
        <v>45776</v>
      </c>
      <c r="D80">
        <v>618</v>
      </c>
      <c r="E80" s="23" t="s">
        <v>33</v>
      </c>
      <c r="F80">
        <v>1386.31</v>
      </c>
      <c r="G80">
        <f>Merge1[[#This Row],[quantity]]*Merge1[[#This Row],[fact_daily_prices.close]]</f>
        <v>856739.58</v>
      </c>
    </row>
    <row r="81" spans="1:7" x14ac:dyDescent="0.3">
      <c r="A81" s="23" t="s">
        <v>61</v>
      </c>
      <c r="B81" s="23" t="s">
        <v>6</v>
      </c>
      <c r="C81" s="1">
        <v>45813</v>
      </c>
      <c r="D81">
        <v>934</v>
      </c>
      <c r="E81" s="23" t="s">
        <v>33</v>
      </c>
      <c r="F81">
        <v>1359.17</v>
      </c>
      <c r="G81">
        <f>Merge1[[#This Row],[quantity]]*Merge1[[#This Row],[fact_daily_prices.close]]</f>
        <v>1269464.78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33DF-8DBB-4BEA-B4BC-0B93030A4543}">
  <dimension ref="A1:AB1034"/>
  <sheetViews>
    <sheetView workbookViewId="0">
      <selection activeCell="V4" sqref="V4"/>
    </sheetView>
  </sheetViews>
  <sheetFormatPr defaultRowHeight="14.4" x14ac:dyDescent="0.3"/>
  <cols>
    <col min="1" max="1" width="19.5546875" customWidth="1"/>
    <col min="2" max="2" width="13.6640625" bestFit="1" customWidth="1"/>
    <col min="3" max="6" width="8" bestFit="1" customWidth="1"/>
    <col min="7" max="7" width="9.5546875" bestFit="1" customWidth="1"/>
    <col min="8" max="8" width="12.6640625" bestFit="1" customWidth="1"/>
    <col min="9" max="9" width="14" bestFit="1" customWidth="1"/>
    <col min="10" max="10" width="11.109375" bestFit="1" customWidth="1"/>
    <col min="11" max="11" width="20.77734375" bestFit="1" customWidth="1"/>
    <col min="12" max="12" width="19.109375" customWidth="1"/>
    <col min="13" max="13" width="16.77734375" customWidth="1"/>
    <col min="16" max="16" width="18.44140625" customWidth="1"/>
    <col min="17" max="17" width="15.44140625" bestFit="1" customWidth="1"/>
    <col min="18" max="18" width="19" customWidth="1"/>
    <col min="19" max="19" width="21.77734375" customWidth="1"/>
    <col min="20" max="20" width="17.88671875" customWidth="1"/>
    <col min="21" max="21" width="29.77734375" customWidth="1"/>
    <col min="22" max="22" width="20.44140625" customWidth="1"/>
    <col min="23" max="23" width="18.6640625" customWidth="1"/>
    <col min="24" max="24" width="20" customWidth="1"/>
    <col min="25" max="25" width="15.44140625" bestFit="1" customWidth="1"/>
    <col min="26" max="26" width="33.44140625" customWidth="1"/>
    <col min="27" max="27" width="27.88671875" customWidth="1"/>
    <col min="28" max="28" width="17.6640625" customWidth="1"/>
  </cols>
  <sheetData>
    <row r="1" spans="1:28" x14ac:dyDescent="0.3">
      <c r="A1" s="14" t="s">
        <v>0</v>
      </c>
      <c r="B1" s="15" t="s">
        <v>1</v>
      </c>
      <c r="C1" s="15" t="s">
        <v>153</v>
      </c>
      <c r="D1" s="15" t="s">
        <v>154</v>
      </c>
      <c r="E1" s="15" t="s">
        <v>155</v>
      </c>
      <c r="F1" s="15" t="s">
        <v>156</v>
      </c>
      <c r="G1" s="15" t="s">
        <v>157</v>
      </c>
      <c r="H1" s="15" t="s">
        <v>1179</v>
      </c>
      <c r="I1" s="15" t="s">
        <v>1177</v>
      </c>
      <c r="J1" s="15" t="s">
        <v>1180</v>
      </c>
      <c r="K1" s="16" t="s">
        <v>1181</v>
      </c>
      <c r="L1" s="25" t="s">
        <v>1217</v>
      </c>
      <c r="P1" t="s">
        <v>1</v>
      </c>
      <c r="Q1" t="s">
        <v>1214</v>
      </c>
      <c r="R1" t="s">
        <v>1215</v>
      </c>
      <c r="S1" t="s">
        <v>1216</v>
      </c>
      <c r="T1" t="s">
        <v>1213</v>
      </c>
      <c r="U1" t="s">
        <v>1218</v>
      </c>
      <c r="V1" t="s">
        <v>1220</v>
      </c>
      <c r="W1" t="s">
        <v>1221</v>
      </c>
      <c r="X1" t="s">
        <v>1222</v>
      </c>
      <c r="Y1" t="s">
        <v>1223</v>
      </c>
      <c r="Z1" t="s">
        <v>152</v>
      </c>
      <c r="AA1" t="s">
        <v>1226</v>
      </c>
      <c r="AB1" t="s">
        <v>1206</v>
      </c>
    </row>
    <row r="2" spans="1:28" x14ac:dyDescent="0.3">
      <c r="A2" s="17">
        <v>45658</v>
      </c>
      <c r="B2" s="18" t="s">
        <v>6</v>
      </c>
      <c r="C2" s="18">
        <v>796.56</v>
      </c>
      <c r="D2" s="18">
        <v>800.79</v>
      </c>
      <c r="E2" s="18">
        <v>792.33</v>
      </c>
      <c r="F2" s="18">
        <v>800.53</v>
      </c>
      <c r="G2" s="18">
        <v>42106</v>
      </c>
      <c r="H2" s="18">
        <v>0</v>
      </c>
      <c r="I2" s="18">
        <f>PRODUCT(fact_daily_prices!$F2,fact_daily_prices!$G2)</f>
        <v>33707116.18</v>
      </c>
      <c r="J2" s="18" t="str">
        <f>_xlfn.XLOOKUP(fact_daily_prices!$B2,dim_company[company_id],dim_company[sector_id])</f>
        <v>SEC01</v>
      </c>
      <c r="K2" s="19" t="str">
        <f>_xlfn.XLOOKUP(fact_daily_prices!$J2,dim_sector[sector_id],dim_sector[sector_name])</f>
        <v>Information Technology</v>
      </c>
      <c r="L2" t="str" cm="1">
        <f t="array" ref="L2:L1033">B2:B1033 &amp; "-" &amp; TEXT(A2:A1033, "dd-mm-yyyy")</f>
        <v>COMP001-01-01-2025</v>
      </c>
      <c r="M2" t="s">
        <v>1206</v>
      </c>
      <c r="P2" s="18" t="s">
        <v>6</v>
      </c>
      <c r="Q2" s="24">
        <f>MIN(A2:A1033)</f>
        <v>45658</v>
      </c>
      <c r="R2" s="1">
        <f t="shared" ref="R2:R9" si="0">MAX(A2:A1033)</f>
        <v>45838</v>
      </c>
      <c r="S2" s="26" cm="1">
        <f t="array" ref="S2" xml:space="preserve"> Merge1[[#This Row],[quantity]] * INDEX(fact_daily_prices!F2:F1033, MATCH(1, (fact_daily_prices!B2:B1033=Table16[[#This Row],[company_id]]) * (fact_daily_prices!A2:A1033=Table16[[#This Row],[Initial _Price]]), 0))</f>
        <v>717274.88</v>
      </c>
      <c r="T2" s="26" cm="1">
        <f t="array" ref="T2" xml:space="preserve"> Merge1[[#This Row],[quantity]] * INDEX(fact_daily_prices!F2:F1033, MATCH(1, (fact_daily_prices!B2:B1033=Table16[[#This Row],[company_id]]) * (fact_daily_prices!A2:A1033=Table16[[#This Row],[Latest_Price]]), 0))</f>
        <v>716683.52</v>
      </c>
      <c r="U2" s="27">
        <f>((Table16[[#This Row],[Latest_Value]]-Table16[[#This Row],[initial_Value]])/Table16[[#This Row],[initial_Value]])*100</f>
        <v>-8.2445379935790583E-2</v>
      </c>
      <c r="V2" s="26">
        <f>(Table16[[#This Row],[Latest_Value]]-Table16[[#This Row],[initial_Value]])/Table16[[#This Row],[initial_Value]]</f>
        <v>-8.2445379935790588E-4</v>
      </c>
      <c r="W2" s="26">
        <f>Table16[[#This Row],[port]]-0.05</f>
        <v>-5.0824453799357912E-2</v>
      </c>
      <c r="X2" s="26">
        <f>_xlfn.STDEV.S(Table16[port])</f>
        <v>0.16095558741129645</v>
      </c>
      <c r="Y2" s="26">
        <f>(Table16[[#This Row],[port]]-Table16[[#This Row],[return rate]])/Table16[[#This Row],[volatility]]</f>
        <v>0.31064469897669933</v>
      </c>
      <c r="Z2">
        <v>17.05</v>
      </c>
      <c r="AA2">
        <v>799.87</v>
      </c>
      <c r="AB2" s="26">
        <f>(Table16[[#This Row],[dividend_per_share]]/Table16[[#This Row],[share_price]])*100</f>
        <v>2.1315963844124668</v>
      </c>
    </row>
    <row r="3" spans="1:28" x14ac:dyDescent="0.3">
      <c r="A3" s="20">
        <v>45659</v>
      </c>
      <c r="B3" s="7" t="s">
        <v>6</v>
      </c>
      <c r="C3" s="7">
        <v>805.97</v>
      </c>
      <c r="D3" s="7">
        <v>809.55</v>
      </c>
      <c r="E3" s="7">
        <v>802.39</v>
      </c>
      <c r="F3" s="7">
        <v>803.94</v>
      </c>
      <c r="G3" s="7">
        <v>9680</v>
      </c>
      <c r="H3" s="7">
        <f>(F3-F2)/F3</f>
        <v>4.2416100704033653E-3</v>
      </c>
      <c r="I3" s="7">
        <f>PRODUCT(fact_daily_prices!$F3,fact_daily_prices!$G3)</f>
        <v>7782139.2000000002</v>
      </c>
      <c r="J3" s="7" t="str">
        <f>_xlfn.XLOOKUP(fact_daily_prices!$B3,dim_company[company_id],dim_company[sector_id])</f>
        <v>SEC01</v>
      </c>
      <c r="K3" s="21" t="str">
        <f>_xlfn.XLOOKUP(fact_daily_prices!$J3,dim_sector[sector_id],dim_sector[sector_name])</f>
        <v>Information Technology</v>
      </c>
      <c r="L3" t="str">
        <v>COMP001-02-01-2025</v>
      </c>
      <c r="M3" t="str">
        <f>_xlfn.CONCAT(A2," ",B2)</f>
        <v>45658 COMP001</v>
      </c>
      <c r="P3" s="7" t="s">
        <v>11</v>
      </c>
      <c r="Q3" s="24">
        <f t="shared" ref="Q3:Q9" si="1">MIN(A3:A1034)</f>
        <v>45658</v>
      </c>
      <c r="R3" s="1">
        <f t="shared" si="0"/>
        <v>45838</v>
      </c>
      <c r="S3" s="26" cm="1">
        <f t="array" ref="S3" xml:space="preserve"> Merge1[[#This Row],[quantity]] * INDEX(fact_daily_prices!F3:F1034, MATCH(1, (fact_daily_prices!B3:B1034=Table16[[#This Row],[company_id]]) * (fact_daily_prices!A3:A1034=Table16[[#This Row],[Initial _Price]]), 0))</f>
        <v>1063476</v>
      </c>
      <c r="T3" s="26" cm="1">
        <f t="array" ref="T3" xml:space="preserve"> Merge1[[#This Row],[quantity]] * INDEX(fact_daily_prices!F3:F1034, MATCH(1, (fact_daily_prices!B3:B1034=Table16[[#This Row],[company_id]]) * (fact_daily_prices!A3:A1034=Table16[[#This Row],[Latest_Price]]), 0))</f>
        <v>1122832.8</v>
      </c>
      <c r="U3" s="27">
        <f>((Table16[[#This Row],[Latest_Value]]-Table16[[#This Row],[initial_Value]])/Table16[[#This Row],[initial_Value]])*100</f>
        <v>5.581395348837213</v>
      </c>
      <c r="V3" s="26">
        <f>(Table16[[#This Row],[Latest_Value]]-Table16[[#This Row],[initial_Value]])/Table16[[#This Row],[initial_Value]]</f>
        <v>5.5813953488372134E-2</v>
      </c>
      <c r="W3" s="26">
        <f>Table16[[#This Row],[port]]-0.05</f>
        <v>5.8139534883721311E-3</v>
      </c>
      <c r="X3" s="26">
        <f>_xlfn.STDEV.S(Table16[port])</f>
        <v>0.16095558741129645</v>
      </c>
      <c r="Y3" s="26">
        <f>(Table16[[#This Row],[port]]-Table16[[#This Row],[return rate]])/Table16[[#This Row],[volatility]]</f>
        <v>0.31064469897669933</v>
      </c>
      <c r="Z3">
        <v>17.600000000000001</v>
      </c>
      <c r="AA3">
        <v>1225.8</v>
      </c>
      <c r="AB3" s="26">
        <f>(Table16[[#This Row],[dividend_per_share]]/Table16[[#This Row],[share_price]])*100</f>
        <v>1.4357970305106871</v>
      </c>
    </row>
    <row r="4" spans="1:28" x14ac:dyDescent="0.3">
      <c r="A4" s="17">
        <v>45660</v>
      </c>
      <c r="B4" s="18" t="s">
        <v>6</v>
      </c>
      <c r="C4" s="18">
        <v>809.42</v>
      </c>
      <c r="D4" s="18">
        <v>818.12</v>
      </c>
      <c r="E4" s="18">
        <v>800.72</v>
      </c>
      <c r="F4" s="18">
        <v>806.96</v>
      </c>
      <c r="G4" s="18">
        <v>36153</v>
      </c>
      <c r="H4" s="18">
        <f t="shared" ref="H4:H67" si="2">(F4-F3)/F4</f>
        <v>3.742440765341506E-3</v>
      </c>
      <c r="I4" s="18">
        <f>PRODUCT(fact_daily_prices!$F4,fact_daily_prices!$G4)</f>
        <v>29174024.880000003</v>
      </c>
      <c r="J4" s="18" t="str">
        <f>_xlfn.XLOOKUP(fact_daily_prices!$B4,dim_company[company_id],dim_company[sector_id])</f>
        <v>SEC01</v>
      </c>
      <c r="K4" s="19" t="str">
        <f>_xlfn.XLOOKUP(fact_daily_prices!$J4,dim_sector[sector_id],dim_sector[sector_name])</f>
        <v>Information Technology</v>
      </c>
      <c r="L4" t="str">
        <v>COMP001-03-01-2025</v>
      </c>
      <c r="M4" t="str">
        <f>_xlfn.CONCAT(A3," ",B3)</f>
        <v>45659 COMP001</v>
      </c>
      <c r="P4" s="18" t="s">
        <v>14</v>
      </c>
      <c r="Q4" s="24">
        <f t="shared" si="1"/>
        <v>45658</v>
      </c>
      <c r="R4" s="1">
        <f t="shared" si="0"/>
        <v>45838</v>
      </c>
      <c r="S4" s="26" cm="1">
        <f t="array" ref="S4" xml:space="preserve"> Merge1[[#This Row],[quantity]] * INDEX(fact_daily_prices!F4:F1035, MATCH(1, (fact_daily_prices!B4:B1035=Table16[[#This Row],[company_id]]) * (fact_daily_prices!A4:A1035=Table16[[#This Row],[Initial _Price]]), 0))</f>
        <v>1592095.82</v>
      </c>
      <c r="T4" s="26" cm="1">
        <f t="array" ref="T4" xml:space="preserve"> Merge1[[#This Row],[quantity]] * INDEX(fact_daily_prices!F4:F1035, MATCH(1, (fact_daily_prices!B4:B1035=Table16[[#This Row],[company_id]]) * (fact_daily_prices!A4:A1035=Table16[[#This Row],[Latest_Price]]), 0))</f>
        <v>1837813.3900000001</v>
      </c>
      <c r="U4" s="27">
        <f>((Table16[[#This Row],[Latest_Value]]-Table16[[#This Row],[initial_Value]])/Table16[[#This Row],[initial_Value]])*100</f>
        <v>15.433591804794769</v>
      </c>
      <c r="V4" s="26">
        <f>(Table16[[#This Row],[Latest_Value]]-Table16[[#This Row],[initial_Value]])/Table16[[#This Row],[initial_Value]]</f>
        <v>0.15433591804794769</v>
      </c>
      <c r="W4" s="26">
        <f>Table16[[#This Row],[port]]-0.05</f>
        <v>0.10433591804794769</v>
      </c>
      <c r="X4" s="26">
        <f>_xlfn.STDEV.S(Table16[port])</f>
        <v>0.16095558741129645</v>
      </c>
      <c r="Y4" s="26">
        <f>(Table16[[#This Row],[port]]-Table16[[#This Row],[return rate]])/Table16[[#This Row],[volatility]]</f>
        <v>0.31064469897669933</v>
      </c>
      <c r="Z4">
        <v>12.5</v>
      </c>
      <c r="AA4">
        <v>2271.71</v>
      </c>
      <c r="AB4" s="26">
        <f>(Table16[[#This Row],[dividend_per_share]]/Table16[[#This Row],[share_price]])*100</f>
        <v>0.55024629023951122</v>
      </c>
    </row>
    <row r="5" spans="1:28" x14ac:dyDescent="0.3">
      <c r="A5" s="20">
        <v>45663</v>
      </c>
      <c r="B5" s="7" t="s">
        <v>6</v>
      </c>
      <c r="C5" s="7">
        <v>818.82</v>
      </c>
      <c r="D5" s="7">
        <v>831.19</v>
      </c>
      <c r="E5" s="7">
        <v>806.45</v>
      </c>
      <c r="F5" s="7">
        <v>817.5</v>
      </c>
      <c r="G5" s="7">
        <v>9120</v>
      </c>
      <c r="H5" s="7">
        <f t="shared" si="2"/>
        <v>1.2892966360856224E-2</v>
      </c>
      <c r="I5" s="7">
        <f>PRODUCT(fact_daily_prices!$F5,fact_daily_prices!$G5)</f>
        <v>7455600</v>
      </c>
      <c r="J5" s="7" t="str">
        <f>_xlfn.XLOOKUP(fact_daily_prices!$B5,dim_company[company_id],dim_company[sector_id])</f>
        <v>SEC01</v>
      </c>
      <c r="K5" s="21" t="str">
        <f>_xlfn.XLOOKUP(fact_daily_prices!$J5,dim_sector[sector_id],dim_sector[sector_name])</f>
        <v>Information Technology</v>
      </c>
      <c r="L5" t="str">
        <v>COMP001-06-01-2025</v>
      </c>
      <c r="M5" t="str">
        <f>_xlfn.CONCAT(A4," ",B4)</f>
        <v>45660 COMP001</v>
      </c>
      <c r="P5" s="7" t="s">
        <v>18</v>
      </c>
      <c r="Q5" s="24">
        <f t="shared" si="1"/>
        <v>45658</v>
      </c>
      <c r="R5" s="1">
        <f t="shared" si="0"/>
        <v>45838</v>
      </c>
      <c r="S5" s="26" cm="1">
        <f t="array" ref="S5" xml:space="preserve"> Merge1[[#This Row],[quantity]] * INDEX(fact_daily_prices!F5:F1036, MATCH(1, (fact_daily_prices!B5:B1036=Table16[[#This Row],[company_id]]) * (fact_daily_prices!A5:A1036=Table16[[#This Row],[Initial _Price]]), 0))</f>
        <v>207179.4</v>
      </c>
      <c r="T5" s="26" cm="1">
        <f t="array" ref="T5" xml:space="preserve"> Merge1[[#This Row],[quantity]] * INDEX(fact_daily_prices!F5:F1036, MATCH(1, (fact_daily_prices!B5:B1036=Table16[[#This Row],[company_id]]) * (fact_daily_prices!A5:A1036=Table16[[#This Row],[Latest_Price]]), 0))</f>
        <v>234972.6</v>
      </c>
      <c r="U5" s="27">
        <f>((Table16[[#This Row],[Latest_Value]]-Table16[[#This Row],[initial_Value]])/Table16[[#This Row],[initial_Value]])*100</f>
        <v>13.415040298408051</v>
      </c>
      <c r="V5" s="26">
        <f>(Table16[[#This Row],[Latest_Value]]-Table16[[#This Row],[initial_Value]])/Table16[[#This Row],[initial_Value]]</f>
        <v>0.13415040298408051</v>
      </c>
      <c r="W5" s="26">
        <f>Table16[[#This Row],[port]]-0.05</f>
        <v>8.4150402984080511E-2</v>
      </c>
      <c r="X5" s="26">
        <f>_xlfn.STDEV.S(Table16[port])</f>
        <v>0.16095558741129645</v>
      </c>
      <c r="Y5" s="26">
        <f>(Table16[[#This Row],[port]]-Table16[[#This Row],[return rate]])/Table16[[#This Row],[volatility]]</f>
        <v>0.31064469897669933</v>
      </c>
      <c r="Z5">
        <v>0</v>
      </c>
      <c r="AA5">
        <v>681.08</v>
      </c>
      <c r="AB5" s="26">
        <f>(Table16[[#This Row],[dividend_per_share]]/Table16[[#This Row],[share_price]])*100</f>
        <v>0</v>
      </c>
    </row>
    <row r="6" spans="1:28" x14ac:dyDescent="0.3">
      <c r="A6" s="17">
        <v>45664</v>
      </c>
      <c r="B6" s="18" t="s">
        <v>6</v>
      </c>
      <c r="C6" s="18">
        <v>805.15</v>
      </c>
      <c r="D6" s="18">
        <v>813.57</v>
      </c>
      <c r="E6" s="18">
        <v>796.72</v>
      </c>
      <c r="F6" s="18">
        <v>811.73</v>
      </c>
      <c r="G6" s="18">
        <v>21445</v>
      </c>
      <c r="H6" s="18">
        <f t="shared" si="2"/>
        <v>-7.1082749190001376E-3</v>
      </c>
      <c r="I6" s="18">
        <f>PRODUCT(fact_daily_prices!$F6,fact_daily_prices!$G6)</f>
        <v>17407549.850000001</v>
      </c>
      <c r="J6" s="18" t="str">
        <f>_xlfn.XLOOKUP(fact_daily_prices!$B6,dim_company[company_id],dim_company[sector_id])</f>
        <v>SEC01</v>
      </c>
      <c r="K6" s="19" t="str">
        <f>_xlfn.XLOOKUP(fact_daily_prices!$J6,dim_sector[sector_id],dim_sector[sector_name])</f>
        <v>Information Technology</v>
      </c>
      <c r="L6" t="str">
        <v>COMP001-07-01-2025</v>
      </c>
      <c r="M6" t="str">
        <f>_xlfn.CONCAT(A5," ",B5)</f>
        <v>45663 COMP001</v>
      </c>
      <c r="P6" s="18" t="s">
        <v>22</v>
      </c>
      <c r="Q6" s="24">
        <f t="shared" si="1"/>
        <v>45658</v>
      </c>
      <c r="R6" s="1">
        <f t="shared" si="0"/>
        <v>45838</v>
      </c>
      <c r="S6" s="26" cm="1">
        <f t="array" ref="S6" xml:space="preserve"> Merge1[[#This Row],[quantity]] * INDEX(fact_daily_prices!F6:F1037, MATCH(1, (fact_daily_prices!B6:B1037=Table16[[#This Row],[company_id]]) * (fact_daily_prices!A6:A1037=Table16[[#This Row],[Initial _Price]]), 0))</f>
        <v>110035.88</v>
      </c>
      <c r="T6" s="26" cm="1">
        <f t="array" ref="T6" xml:space="preserve"> Merge1[[#This Row],[quantity]] * INDEX(fact_daily_prices!F6:F1037, MATCH(1, (fact_daily_prices!B6:B1037=Table16[[#This Row],[company_id]]) * (fact_daily_prices!A6:A1037=Table16[[#This Row],[Latest_Price]]), 0))</f>
        <v>118878.22</v>
      </c>
      <c r="U6" s="27">
        <f>((Table16[[#This Row],[Latest_Value]]-Table16[[#This Row],[initial_Value]])/Table16[[#This Row],[initial_Value]])*100</f>
        <v>8.0358697544837163</v>
      </c>
      <c r="V6" s="26">
        <f>(Table16[[#This Row],[Latest_Value]]-Table16[[#This Row],[initial_Value]])/Table16[[#This Row],[initial_Value]]</f>
        <v>8.0358697544837154E-2</v>
      </c>
      <c r="W6" s="26">
        <f>Table16[[#This Row],[port]]-0.05</f>
        <v>3.0358697544837152E-2</v>
      </c>
      <c r="X6" s="26">
        <f>_xlfn.STDEV.S(Table16[port])</f>
        <v>0.16095558741129645</v>
      </c>
      <c r="Y6" s="26">
        <f>(Table16[[#This Row],[port]]-Table16[[#This Row],[return rate]])/Table16[[#This Row],[volatility]]</f>
        <v>0.31064469897669933</v>
      </c>
      <c r="Z6">
        <v>0</v>
      </c>
      <c r="AA6">
        <v>248.18</v>
      </c>
      <c r="AB6" s="26">
        <f>(Table16[[#This Row],[dividend_per_share]]/Table16[[#This Row],[share_price]])*100</f>
        <v>0</v>
      </c>
    </row>
    <row r="7" spans="1:28" x14ac:dyDescent="0.3">
      <c r="A7" s="20">
        <v>45665</v>
      </c>
      <c r="B7" s="7" t="s">
        <v>6</v>
      </c>
      <c r="C7" s="7">
        <v>810.34</v>
      </c>
      <c r="D7" s="7">
        <v>817.79</v>
      </c>
      <c r="E7" s="7">
        <v>802.88</v>
      </c>
      <c r="F7" s="7">
        <v>806.57</v>
      </c>
      <c r="G7" s="7">
        <v>32065</v>
      </c>
      <c r="H7" s="7">
        <f t="shared" si="2"/>
        <v>-6.3974608527467766E-3</v>
      </c>
      <c r="I7" s="7">
        <f>PRODUCT(fact_daily_prices!$F7,fact_daily_prices!$G7)</f>
        <v>25862667.050000001</v>
      </c>
      <c r="J7" s="7" t="str">
        <f>_xlfn.XLOOKUP(fact_daily_prices!$B7,dim_company[company_id],dim_company[sector_id])</f>
        <v>SEC01</v>
      </c>
      <c r="K7" s="21" t="str">
        <f>_xlfn.XLOOKUP(fact_daily_prices!$J7,dim_sector[sector_id],dim_sector[sector_name])</f>
        <v>Information Technology</v>
      </c>
      <c r="L7" t="str">
        <v>COMP001-08-01-2025</v>
      </c>
      <c r="M7" t="str">
        <f>_xlfn.CONCAT(A6," ",B6)</f>
        <v>45664 COMP001</v>
      </c>
      <c r="P7" s="7" t="s">
        <v>26</v>
      </c>
      <c r="Q7" s="24">
        <f t="shared" si="1"/>
        <v>45658</v>
      </c>
      <c r="R7" s="1">
        <f t="shared" si="0"/>
        <v>45838</v>
      </c>
      <c r="S7" s="26" cm="1">
        <f t="array" ref="S7" xml:space="preserve"> Merge1[[#This Row],[quantity]] * INDEX(fact_daily_prices!F7:F1038, MATCH(1, (fact_daily_prices!B7:B1038=Table16[[#This Row],[company_id]]) * (fact_daily_prices!A7:A1038=Table16[[#This Row],[Initial _Price]]), 0))</f>
        <v>227953.40000000002</v>
      </c>
      <c r="T7" s="26" cm="1">
        <f t="array" ref="T7" xml:space="preserve"> Merge1[[#This Row],[quantity]] * INDEX(fact_daily_prices!F7:F1038, MATCH(1, (fact_daily_prices!B7:B1038=Table16[[#This Row],[company_id]]) * (fact_daily_prices!A7:A1038=Table16[[#This Row],[Latest_Price]]), 0))</f>
        <v>201921.04</v>
      </c>
      <c r="U7" s="27">
        <f>((Table16[[#This Row],[Latest_Value]]-Table16[[#This Row],[initial_Value]])/Table16[[#This Row],[initial_Value]])*100</f>
        <v>-11.42003584943239</v>
      </c>
      <c r="V7" s="26">
        <f>(Table16[[#This Row],[Latest_Value]]-Table16[[#This Row],[initial_Value]])/Table16[[#This Row],[initial_Value]]</f>
        <v>-0.11420035849432389</v>
      </c>
      <c r="W7" s="26">
        <f>Table16[[#This Row],[port]]-0.05</f>
        <v>-0.16420035849432391</v>
      </c>
      <c r="X7" s="26">
        <f>_xlfn.STDEV.S(Table16[port])</f>
        <v>0.16095558741129645</v>
      </c>
      <c r="Y7" s="26">
        <f>(Table16[[#This Row],[port]]-Table16[[#This Row],[return rate]])/Table16[[#This Row],[volatility]]</f>
        <v>0.31064469897669944</v>
      </c>
      <c r="Z7">
        <v>26.72</v>
      </c>
      <c r="AA7">
        <v>222.38</v>
      </c>
      <c r="AB7" s="26">
        <f>(Table16[[#This Row],[dividend_per_share]]/Table16[[#This Row],[share_price]])*100</f>
        <v>12.015469016997931</v>
      </c>
    </row>
    <row r="8" spans="1:28" x14ac:dyDescent="0.3">
      <c r="A8" s="17">
        <v>45666</v>
      </c>
      <c r="B8" s="18" t="s">
        <v>6</v>
      </c>
      <c r="C8" s="18">
        <v>804.7</v>
      </c>
      <c r="D8" s="18">
        <v>816.71</v>
      </c>
      <c r="E8" s="18">
        <v>792.7</v>
      </c>
      <c r="F8" s="18">
        <v>800.97</v>
      </c>
      <c r="G8" s="18">
        <v>46936</v>
      </c>
      <c r="H8" s="18">
        <f t="shared" si="2"/>
        <v>-6.9915227786309384E-3</v>
      </c>
      <c r="I8" s="18">
        <f>PRODUCT(fact_daily_prices!$F8,fact_daily_prices!$G8)</f>
        <v>37594327.920000002</v>
      </c>
      <c r="J8" s="18" t="str">
        <f>_xlfn.XLOOKUP(fact_daily_prices!$B8,dim_company[company_id],dim_company[sector_id])</f>
        <v>SEC01</v>
      </c>
      <c r="K8" s="19" t="str">
        <f>_xlfn.XLOOKUP(fact_daily_prices!$J8,dim_sector[sector_id],dim_sector[sector_name])</f>
        <v>Information Technology</v>
      </c>
      <c r="L8" t="str">
        <v>COMP001-09-01-2025</v>
      </c>
      <c r="M8" t="str">
        <f>_xlfn.CONCAT(A7," ",B7)</f>
        <v>45665 COMP001</v>
      </c>
      <c r="P8" s="18" t="s">
        <v>29</v>
      </c>
      <c r="Q8" s="24">
        <f t="shared" si="1"/>
        <v>45658</v>
      </c>
      <c r="R8" s="1">
        <f t="shared" si="0"/>
        <v>45838</v>
      </c>
      <c r="S8" s="26" cm="1">
        <f t="array" ref="S8" xml:space="preserve"> Merge1[[#This Row],[quantity]] * INDEX(fact_daily_prices!F8:F1039, MATCH(1, (fact_daily_prices!B8:B1039=Table16[[#This Row],[company_id]]) * (fact_daily_prices!A8:A1039=Table16[[#This Row],[Initial _Price]]), 0))</f>
        <v>377357.33</v>
      </c>
      <c r="T8" s="26" cm="1">
        <f t="array" ref="T8" xml:space="preserve"> Merge1[[#This Row],[quantity]] * INDEX(fact_daily_prices!F8:F1039, MATCH(1, (fact_daily_prices!B8:B1039=Table16[[#This Row],[company_id]]) * (fact_daily_prices!A8:A1039=Table16[[#This Row],[Latest_Price]]), 0))</f>
        <v>486496.99</v>
      </c>
      <c r="U8" s="27">
        <f>((Table16[[#This Row],[Latest_Value]]-Table16[[#This Row],[initial_Value]])/Table16[[#This Row],[initial_Value]])*100</f>
        <v>28.922098849915006</v>
      </c>
      <c r="V8" s="26">
        <f>(Table16[[#This Row],[Latest_Value]]-Table16[[#This Row],[initial_Value]])/Table16[[#This Row],[initial_Value]]</f>
        <v>0.28922098849915007</v>
      </c>
      <c r="W8" s="26">
        <f>Table16[[#This Row],[port]]-0.05</f>
        <v>0.23922098849915008</v>
      </c>
      <c r="X8" s="26">
        <f>_xlfn.STDEV.S(Table16[port])</f>
        <v>0.16095558741129645</v>
      </c>
      <c r="Y8" s="26">
        <f>(Table16[[#This Row],[port]]-Table16[[#This Row],[return rate]])/Table16[[#This Row],[volatility]]</f>
        <v>0.31064469897669922</v>
      </c>
      <c r="Z8">
        <v>33.880000000000003</v>
      </c>
      <c r="AA8">
        <v>584.03</v>
      </c>
      <c r="AB8" s="26">
        <f>(Table16[[#This Row],[dividend_per_share]]/Table16[[#This Row],[share_price]])*100</f>
        <v>5.8010718627467774</v>
      </c>
    </row>
    <row r="9" spans="1:28" x14ac:dyDescent="0.3">
      <c r="A9" s="20">
        <v>45667</v>
      </c>
      <c r="B9" s="7" t="s">
        <v>6</v>
      </c>
      <c r="C9" s="7">
        <v>793.07</v>
      </c>
      <c r="D9" s="7">
        <v>795.72</v>
      </c>
      <c r="E9" s="7">
        <v>790.42</v>
      </c>
      <c r="F9" s="7">
        <v>791.89</v>
      </c>
      <c r="G9" s="7">
        <v>21932</v>
      </c>
      <c r="H9" s="7">
        <f t="shared" si="2"/>
        <v>-1.1466238997840661E-2</v>
      </c>
      <c r="I9" s="7">
        <f>PRODUCT(fact_daily_prices!$F9,fact_daily_prices!$G9)</f>
        <v>17367731.48</v>
      </c>
      <c r="J9" s="7" t="str">
        <f>_xlfn.XLOOKUP(fact_daily_prices!$B9,dim_company[company_id],dim_company[sector_id])</f>
        <v>SEC01</v>
      </c>
      <c r="K9" s="21" t="str">
        <f>_xlfn.XLOOKUP(fact_daily_prices!$J9,dim_sector[sector_id],dim_sector[sector_name])</f>
        <v>Information Technology</v>
      </c>
      <c r="L9" t="str">
        <v>COMP001-10-01-2025</v>
      </c>
      <c r="M9" t="str">
        <f>_xlfn.CONCAT(A8," ",B8)</f>
        <v>45666 COMP001</v>
      </c>
      <c r="P9" s="7" t="s">
        <v>33</v>
      </c>
      <c r="Q9" s="24">
        <f t="shared" si="1"/>
        <v>45658</v>
      </c>
      <c r="R9" s="1">
        <f t="shared" si="0"/>
        <v>45838</v>
      </c>
      <c r="S9" s="26" cm="1">
        <f t="array" ref="S9" xml:space="preserve"> Merge1[[#This Row],[quantity]] * INDEX(fact_daily_prices!F9:F1040, MATCH(1, (fact_daily_prices!B9:B1040=Table16[[#This Row],[company_id]]) * (fact_daily_prices!A9:A1040=Table16[[#This Row],[Initial _Price]]), 0))</f>
        <v>199232.59999999998</v>
      </c>
      <c r="T9" s="26" cm="1">
        <f t="array" ref="T9" xml:space="preserve"> Merge1[[#This Row],[quantity]] * INDEX(fact_daily_prices!F9:F1040, MATCH(1, (fact_daily_prices!B9:B1040=Table16[[#This Row],[company_id]]) * (fact_daily_prices!A9:A1040=Table16[[#This Row],[Latest_Price]]), 0))</f>
        <v>278190.36</v>
      </c>
      <c r="U9" s="27">
        <f>((Table16[[#This Row],[Latest_Value]]-Table16[[#This Row],[initial_Value]])/Table16[[#This Row],[initial_Value]])*100</f>
        <v>39.630943931866582</v>
      </c>
      <c r="V9" s="26">
        <f>(Table16[[#This Row],[Latest_Value]]-Table16[[#This Row],[initial_Value]])/Table16[[#This Row],[initial_Value]]</f>
        <v>0.3963094393186658</v>
      </c>
      <c r="W9" s="26">
        <f>Table16[[#This Row],[port]]-0.05</f>
        <v>0.34630943931866581</v>
      </c>
      <c r="X9" s="26">
        <f>_xlfn.STDEV.S(Table16[port])</f>
        <v>0.16095558741129645</v>
      </c>
      <c r="Y9" s="26">
        <f>(Table16[[#This Row],[port]]-Table16[[#This Row],[return rate]])/Table16[[#This Row],[volatility]]</f>
        <v>0.31064469897669922</v>
      </c>
      <c r="Z9">
        <v>12.25</v>
      </c>
      <c r="AA9">
        <v>1377.18</v>
      </c>
      <c r="AB9" s="26">
        <f>(Table16[[#This Row],[dividend_per_share]]/Table16[[#This Row],[share_price]])*100</f>
        <v>0.88949883094439353</v>
      </c>
    </row>
    <row r="10" spans="1:28" x14ac:dyDescent="0.3">
      <c r="A10" s="17">
        <v>45670</v>
      </c>
      <c r="B10" s="18" t="s">
        <v>6</v>
      </c>
      <c r="C10" s="18">
        <v>768.48</v>
      </c>
      <c r="D10" s="18">
        <v>780.24</v>
      </c>
      <c r="E10" s="18">
        <v>756.73</v>
      </c>
      <c r="F10" s="18">
        <v>766.43</v>
      </c>
      <c r="G10" s="18">
        <v>44016</v>
      </c>
      <c r="H10" s="18">
        <f t="shared" si="2"/>
        <v>-3.3218950197669767E-2</v>
      </c>
      <c r="I10" s="18">
        <f>PRODUCT(fact_daily_prices!$F10,fact_daily_prices!$G10)</f>
        <v>33735182.879999995</v>
      </c>
      <c r="J10" s="18" t="str">
        <f>_xlfn.XLOOKUP(fact_daily_prices!$B10,dim_company[company_id],dim_company[sector_id])</f>
        <v>SEC01</v>
      </c>
      <c r="K10" s="19" t="str">
        <f>_xlfn.XLOOKUP(fact_daily_prices!$J10,dim_sector[sector_id],dim_sector[sector_name])</f>
        <v>Information Technology</v>
      </c>
      <c r="L10" t="str">
        <v>COMP001-13-01-2025</v>
      </c>
      <c r="M10" t="str">
        <f>_xlfn.CONCAT(A9," ",B9)</f>
        <v>45667 COMP001</v>
      </c>
    </row>
    <row r="11" spans="1:28" x14ac:dyDescent="0.3">
      <c r="A11" s="20">
        <v>45671</v>
      </c>
      <c r="B11" s="7" t="s">
        <v>6</v>
      </c>
      <c r="C11" s="7">
        <v>772.58</v>
      </c>
      <c r="D11" s="7">
        <v>780.18</v>
      </c>
      <c r="E11" s="7">
        <v>764.98</v>
      </c>
      <c r="F11" s="7">
        <v>775.85</v>
      </c>
      <c r="G11" s="7">
        <v>2154</v>
      </c>
      <c r="H11" s="7">
        <f t="shared" si="2"/>
        <v>1.214152220145656E-2</v>
      </c>
      <c r="I11" s="7">
        <f>PRODUCT(fact_daily_prices!$F11,fact_daily_prices!$G11)</f>
        <v>1671180.9000000001</v>
      </c>
      <c r="J11" s="7" t="str">
        <f>_xlfn.XLOOKUP(fact_daily_prices!$B11,dim_company[company_id],dim_company[sector_id])</f>
        <v>SEC01</v>
      </c>
      <c r="K11" s="21" t="str">
        <f>_xlfn.XLOOKUP(fact_daily_prices!$J11,dim_sector[sector_id],dim_sector[sector_name])</f>
        <v>Information Technology</v>
      </c>
      <c r="L11" t="str">
        <v>COMP001-14-01-2025</v>
      </c>
      <c r="M11" t="str">
        <f>_xlfn.CONCAT(A10," ",B10)</f>
        <v>45670 COMP001</v>
      </c>
      <c r="AA11" s="26"/>
    </row>
    <row r="12" spans="1:28" x14ac:dyDescent="0.3">
      <c r="A12" s="17">
        <v>45672</v>
      </c>
      <c r="B12" s="18" t="s">
        <v>6</v>
      </c>
      <c r="C12" s="18">
        <v>787.6</v>
      </c>
      <c r="D12" s="18">
        <v>797.49</v>
      </c>
      <c r="E12" s="18">
        <v>777.72</v>
      </c>
      <c r="F12" s="18">
        <v>784.06</v>
      </c>
      <c r="G12" s="18">
        <v>13183</v>
      </c>
      <c r="H12" s="18">
        <f t="shared" si="2"/>
        <v>1.0471137412952993E-2</v>
      </c>
      <c r="I12" s="18">
        <f>PRODUCT(fact_daily_prices!$F12,fact_daily_prices!$G12)</f>
        <v>10336262.979999999</v>
      </c>
      <c r="J12" s="18" t="str">
        <f>_xlfn.XLOOKUP(fact_daily_prices!$B12,dim_company[company_id],dim_company[sector_id])</f>
        <v>SEC01</v>
      </c>
      <c r="K12" s="19" t="str">
        <f>_xlfn.XLOOKUP(fact_daily_prices!$J12,dim_sector[sector_id],dim_sector[sector_name])</f>
        <v>Information Technology</v>
      </c>
      <c r="L12" t="str">
        <v>COMP001-15-01-2025</v>
      </c>
      <c r="M12" t="str">
        <f>_xlfn.CONCAT(A11," ",B11)</f>
        <v>45671 COMP001</v>
      </c>
    </row>
    <row r="13" spans="1:28" x14ac:dyDescent="0.3">
      <c r="A13" s="20">
        <v>45673</v>
      </c>
      <c r="B13" s="7" t="s">
        <v>6</v>
      </c>
      <c r="C13" s="7">
        <v>768.68</v>
      </c>
      <c r="D13" s="7">
        <v>782.43</v>
      </c>
      <c r="E13" s="7">
        <v>754.94</v>
      </c>
      <c r="F13" s="7">
        <v>769.33</v>
      </c>
      <c r="G13" s="7">
        <v>6539</v>
      </c>
      <c r="H13" s="7">
        <f t="shared" si="2"/>
        <v>-1.9146530097617281E-2</v>
      </c>
      <c r="I13" s="7">
        <f>PRODUCT(fact_daily_prices!$F13,fact_daily_prices!$G13)</f>
        <v>5030648.87</v>
      </c>
      <c r="J13" s="7" t="str">
        <f>_xlfn.XLOOKUP(fact_daily_prices!$B13,dim_company[company_id],dim_company[sector_id])</f>
        <v>SEC01</v>
      </c>
      <c r="K13" s="21" t="str">
        <f>_xlfn.XLOOKUP(fact_daily_prices!$J13,dim_sector[sector_id],dim_sector[sector_name])</f>
        <v>Information Technology</v>
      </c>
      <c r="L13" t="str">
        <v>COMP001-16-01-2025</v>
      </c>
      <c r="M13" t="str">
        <f>_xlfn.CONCAT(A12," ",B12)</f>
        <v>45672 COMP001</v>
      </c>
      <c r="Q13" t="str">
        <f>_xlfn.CONCAT(R2," ",P2)</f>
        <v>45838 COMP001</v>
      </c>
      <c r="W13" t="s">
        <v>1224</v>
      </c>
    </row>
    <row r="14" spans="1:28" x14ac:dyDescent="0.3">
      <c r="A14" s="17">
        <v>45674</v>
      </c>
      <c r="B14" s="18" t="s">
        <v>6</v>
      </c>
      <c r="C14" s="18">
        <v>767.61</v>
      </c>
      <c r="D14" s="18">
        <v>779.13</v>
      </c>
      <c r="E14" s="18">
        <v>756.09</v>
      </c>
      <c r="F14" s="18">
        <v>765.38</v>
      </c>
      <c r="G14" s="18">
        <v>49354</v>
      </c>
      <c r="H14" s="18">
        <f t="shared" si="2"/>
        <v>-5.1608351407144756E-3</v>
      </c>
      <c r="I14" s="18">
        <f>PRODUCT(fact_daily_prices!$F14,fact_daily_prices!$G14)</f>
        <v>37774564.520000003</v>
      </c>
      <c r="J14" s="18" t="str">
        <f>_xlfn.XLOOKUP(fact_daily_prices!$B14,dim_company[company_id],dim_company[sector_id])</f>
        <v>SEC01</v>
      </c>
      <c r="K14" s="19" t="str">
        <f>_xlfn.XLOOKUP(fact_daily_prices!$J14,dim_sector[sector_id],dim_sector[sector_name])</f>
        <v>Information Technology</v>
      </c>
      <c r="L14" t="str">
        <v>COMP001-17-01-2025</v>
      </c>
      <c r="M14" t="str">
        <f>_xlfn.CONCAT(A13," ",B13)</f>
        <v>45673 COMP001</v>
      </c>
      <c r="Q14" t="str">
        <f>_xlfn.CONCAT(R3," ",P3)</f>
        <v>45838 COMP002</v>
      </c>
      <c r="W14">
        <f>V2-W2/X2</f>
        <v>0.3149424892237761</v>
      </c>
    </row>
    <row r="15" spans="1:28" x14ac:dyDescent="0.3">
      <c r="A15" s="20">
        <v>45677</v>
      </c>
      <c r="B15" s="7" t="s">
        <v>6</v>
      </c>
      <c r="C15" s="7">
        <v>754.13</v>
      </c>
      <c r="D15" s="7">
        <v>764.08</v>
      </c>
      <c r="E15" s="7">
        <v>744.17</v>
      </c>
      <c r="F15" s="7">
        <v>758.43</v>
      </c>
      <c r="G15" s="7">
        <v>3200</v>
      </c>
      <c r="H15" s="7">
        <f t="shared" si="2"/>
        <v>-9.1636670490355676E-3</v>
      </c>
      <c r="I15" s="7">
        <f>PRODUCT(fact_daily_prices!$F15,fact_daily_prices!$G15)</f>
        <v>2426976</v>
      </c>
      <c r="J15" s="7" t="str">
        <f>_xlfn.XLOOKUP(fact_daily_prices!$B15,dim_company[company_id],dim_company[sector_id])</f>
        <v>SEC01</v>
      </c>
      <c r="K15" s="21" t="str">
        <f>_xlfn.XLOOKUP(fact_daily_prices!$J15,dim_sector[sector_id],dim_sector[sector_name])</f>
        <v>Information Technology</v>
      </c>
      <c r="L15" t="str">
        <v>COMP001-20-01-2025</v>
      </c>
      <c r="M15" t="str">
        <f>_xlfn.CONCAT(A14," ",B14)</f>
        <v>45674 COMP001</v>
      </c>
      <c r="Q15" t="str">
        <f>_xlfn.CONCAT(R4," ",P4)</f>
        <v>45838 COMP003</v>
      </c>
    </row>
    <row r="16" spans="1:28" x14ac:dyDescent="0.3">
      <c r="A16" s="17">
        <v>45678</v>
      </c>
      <c r="B16" s="18" t="s">
        <v>6</v>
      </c>
      <c r="C16" s="18">
        <v>750.75</v>
      </c>
      <c r="D16" s="18">
        <v>752</v>
      </c>
      <c r="E16" s="18">
        <v>749.5</v>
      </c>
      <c r="F16" s="18">
        <v>751.92</v>
      </c>
      <c r="G16" s="18">
        <v>12969</v>
      </c>
      <c r="H16" s="18">
        <f t="shared" si="2"/>
        <v>-8.6578359399936047E-3</v>
      </c>
      <c r="I16" s="18">
        <f>PRODUCT(fact_daily_prices!$F16,fact_daily_prices!$G16)</f>
        <v>9751650.4799999986</v>
      </c>
      <c r="J16" s="18" t="str">
        <f>_xlfn.XLOOKUP(fact_daily_prices!$B16,dim_company[company_id],dim_company[sector_id])</f>
        <v>SEC01</v>
      </c>
      <c r="K16" s="19" t="str">
        <f>_xlfn.XLOOKUP(fact_daily_prices!$J16,dim_sector[sector_id],dim_sector[sector_name])</f>
        <v>Information Technology</v>
      </c>
      <c r="L16" t="str">
        <v>COMP001-21-01-2025</v>
      </c>
      <c r="M16" t="str">
        <f>_xlfn.CONCAT(A15," ",B15)</f>
        <v>45677 COMP001</v>
      </c>
      <c r="Q16" t="str">
        <f>_xlfn.CONCAT(R5," ",P5)</f>
        <v>45838 COMP004</v>
      </c>
    </row>
    <row r="17" spans="1:17" x14ac:dyDescent="0.3">
      <c r="A17" s="20">
        <v>45679</v>
      </c>
      <c r="B17" s="7" t="s">
        <v>6</v>
      </c>
      <c r="C17" s="7">
        <v>732.39</v>
      </c>
      <c r="D17" s="7">
        <v>742.23</v>
      </c>
      <c r="E17" s="7">
        <v>722.55</v>
      </c>
      <c r="F17" s="7">
        <v>732.1</v>
      </c>
      <c r="G17" s="7">
        <v>47760</v>
      </c>
      <c r="H17" s="7">
        <f t="shared" si="2"/>
        <v>-2.7072804261712793E-2</v>
      </c>
      <c r="I17" s="7">
        <f>PRODUCT(fact_daily_prices!$F17,fact_daily_prices!$G17)</f>
        <v>34965096</v>
      </c>
      <c r="J17" s="7" t="str">
        <f>_xlfn.XLOOKUP(fact_daily_prices!$B17,dim_company[company_id],dim_company[sector_id])</f>
        <v>SEC01</v>
      </c>
      <c r="K17" s="21" t="str">
        <f>_xlfn.XLOOKUP(fact_daily_prices!$J17,dim_sector[sector_id],dim_sector[sector_name])</f>
        <v>Information Technology</v>
      </c>
      <c r="L17" t="str">
        <v>COMP001-22-01-2025</v>
      </c>
      <c r="M17" t="str">
        <f>_xlfn.CONCAT(A16," ",B16)</f>
        <v>45678 COMP001</v>
      </c>
      <c r="Q17" t="str">
        <f>_xlfn.CONCAT(R6," ",P6)</f>
        <v>45838 COMP005</v>
      </c>
    </row>
    <row r="18" spans="1:17" x14ac:dyDescent="0.3">
      <c r="A18" s="17">
        <v>45680</v>
      </c>
      <c r="B18" s="18" t="s">
        <v>6</v>
      </c>
      <c r="C18" s="18">
        <v>727.63</v>
      </c>
      <c r="D18" s="18">
        <v>729.04</v>
      </c>
      <c r="E18" s="18">
        <v>726.22</v>
      </c>
      <c r="F18" s="18">
        <v>726.49</v>
      </c>
      <c r="G18" s="18">
        <v>26876</v>
      </c>
      <c r="H18" s="18">
        <f t="shared" si="2"/>
        <v>-7.7220608680092133E-3</v>
      </c>
      <c r="I18" s="18">
        <f>PRODUCT(fact_daily_prices!$F18,fact_daily_prices!$G18)</f>
        <v>19525145.240000002</v>
      </c>
      <c r="J18" s="18" t="str">
        <f>_xlfn.XLOOKUP(fact_daily_prices!$B18,dim_company[company_id],dim_company[sector_id])</f>
        <v>SEC01</v>
      </c>
      <c r="K18" s="19" t="str">
        <f>_xlfn.XLOOKUP(fact_daily_prices!$J18,dim_sector[sector_id],dim_sector[sector_name])</f>
        <v>Information Technology</v>
      </c>
      <c r="L18" t="str">
        <v>COMP001-23-01-2025</v>
      </c>
      <c r="M18" t="str">
        <f>_xlfn.CONCAT(A17," ",B17)</f>
        <v>45679 COMP001</v>
      </c>
      <c r="Q18" t="str">
        <f>_xlfn.CONCAT(R7," ",P7)</f>
        <v>45838 COMP006</v>
      </c>
    </row>
    <row r="19" spans="1:17" x14ac:dyDescent="0.3">
      <c r="A19" s="20">
        <v>45681</v>
      </c>
      <c r="B19" s="7" t="s">
        <v>6</v>
      </c>
      <c r="C19" s="7">
        <v>730.78</v>
      </c>
      <c r="D19" s="7">
        <v>734.77</v>
      </c>
      <c r="E19" s="7">
        <v>726.79</v>
      </c>
      <c r="F19" s="7">
        <v>732.15</v>
      </c>
      <c r="G19" s="7">
        <v>47214</v>
      </c>
      <c r="H19" s="7">
        <f t="shared" si="2"/>
        <v>7.7306562862800906E-3</v>
      </c>
      <c r="I19" s="7">
        <f>PRODUCT(fact_daily_prices!$F19,fact_daily_prices!$G19)</f>
        <v>34567730.100000001</v>
      </c>
      <c r="J19" s="7" t="str">
        <f>_xlfn.XLOOKUP(fact_daily_prices!$B19,dim_company[company_id],dim_company[sector_id])</f>
        <v>SEC01</v>
      </c>
      <c r="K19" s="21" t="str">
        <f>_xlfn.XLOOKUP(fact_daily_prices!$J19,dim_sector[sector_id],dim_sector[sector_name])</f>
        <v>Information Technology</v>
      </c>
      <c r="L19" t="str">
        <v>COMP001-24-01-2025</v>
      </c>
      <c r="M19" t="str">
        <f>_xlfn.CONCAT(A18," ",B18)</f>
        <v>45680 COMP001</v>
      </c>
      <c r="Q19" t="str">
        <f>_xlfn.CONCAT(R8," ",P8)</f>
        <v>45838 COMP007</v>
      </c>
    </row>
    <row r="20" spans="1:17" x14ac:dyDescent="0.3">
      <c r="A20" s="17">
        <v>45684</v>
      </c>
      <c r="B20" s="18" t="s">
        <v>6</v>
      </c>
      <c r="C20" s="18">
        <v>759.45</v>
      </c>
      <c r="D20" s="18">
        <v>767.23</v>
      </c>
      <c r="E20" s="18">
        <v>751.67</v>
      </c>
      <c r="F20" s="18">
        <v>756.33</v>
      </c>
      <c r="G20" s="18">
        <v>5555</v>
      </c>
      <c r="H20" s="18">
        <f t="shared" si="2"/>
        <v>3.1970171750426483E-2</v>
      </c>
      <c r="I20" s="18">
        <f>PRODUCT(fact_daily_prices!$F20,fact_daily_prices!$G20)</f>
        <v>4201413.1500000004</v>
      </c>
      <c r="J20" s="18" t="str">
        <f>_xlfn.XLOOKUP(fact_daily_prices!$B20,dim_company[company_id],dim_company[sector_id])</f>
        <v>SEC01</v>
      </c>
      <c r="K20" s="19" t="str">
        <f>_xlfn.XLOOKUP(fact_daily_prices!$J20,dim_sector[sector_id],dim_sector[sector_name])</f>
        <v>Information Technology</v>
      </c>
      <c r="L20" t="str">
        <v>COMP001-27-01-2025</v>
      </c>
      <c r="M20" t="str">
        <f>_xlfn.CONCAT(A19," ",B19)</f>
        <v>45681 COMP001</v>
      </c>
      <c r="Q20" t="str">
        <f>_xlfn.CONCAT(R9," ",P9)</f>
        <v>45838 COMP008</v>
      </c>
    </row>
    <row r="21" spans="1:17" x14ac:dyDescent="0.3">
      <c r="A21" s="20">
        <v>45685</v>
      </c>
      <c r="B21" s="7" t="s">
        <v>6</v>
      </c>
      <c r="C21" s="7">
        <v>759.3</v>
      </c>
      <c r="D21" s="7">
        <v>768.01</v>
      </c>
      <c r="E21" s="7">
        <v>750.6</v>
      </c>
      <c r="F21" s="7">
        <v>760.27</v>
      </c>
      <c r="G21" s="7">
        <v>18429</v>
      </c>
      <c r="H21" s="7">
        <f t="shared" si="2"/>
        <v>5.1823694213896914E-3</v>
      </c>
      <c r="I21" s="7">
        <f>PRODUCT(fact_daily_prices!$F21,fact_daily_prices!$G21)</f>
        <v>14011015.83</v>
      </c>
      <c r="J21" s="7" t="str">
        <f>_xlfn.XLOOKUP(fact_daily_prices!$B21,dim_company[company_id],dim_company[sector_id])</f>
        <v>SEC01</v>
      </c>
      <c r="K21" s="21" t="str">
        <f>_xlfn.XLOOKUP(fact_daily_prices!$J21,dim_sector[sector_id],dim_sector[sector_name])</f>
        <v>Information Technology</v>
      </c>
      <c r="L21" t="str">
        <v>COMP001-28-01-2025</v>
      </c>
      <c r="M21" t="str">
        <f>_xlfn.CONCAT(A20," ",B20)</f>
        <v>45684 COMP001</v>
      </c>
    </row>
    <row r="22" spans="1:17" x14ac:dyDescent="0.3">
      <c r="A22" s="17">
        <v>45686</v>
      </c>
      <c r="B22" s="18" t="s">
        <v>6</v>
      </c>
      <c r="C22" s="18">
        <v>756.07</v>
      </c>
      <c r="D22" s="18">
        <v>765.34</v>
      </c>
      <c r="E22" s="18">
        <v>746.8</v>
      </c>
      <c r="F22" s="18">
        <v>761.63</v>
      </c>
      <c r="G22" s="18">
        <v>4436</v>
      </c>
      <c r="H22" s="18">
        <f t="shared" si="2"/>
        <v>1.7856439478487109E-3</v>
      </c>
      <c r="I22" s="18">
        <f>PRODUCT(fact_daily_prices!$F22,fact_daily_prices!$G22)</f>
        <v>3378590.68</v>
      </c>
      <c r="J22" s="18" t="str">
        <f>_xlfn.XLOOKUP(fact_daily_prices!$B22,dim_company[company_id],dim_company[sector_id])</f>
        <v>SEC01</v>
      </c>
      <c r="K22" s="19" t="str">
        <f>_xlfn.XLOOKUP(fact_daily_prices!$J22,dim_sector[sector_id],dim_sector[sector_name])</f>
        <v>Information Technology</v>
      </c>
      <c r="L22" t="str">
        <v>COMP001-29-01-2025</v>
      </c>
      <c r="M22" t="str">
        <f>_xlfn.CONCAT(A21," ",B21)</f>
        <v>45685 COMP001</v>
      </c>
    </row>
    <row r="23" spans="1:17" x14ac:dyDescent="0.3">
      <c r="A23" s="20">
        <v>45687</v>
      </c>
      <c r="B23" s="7" t="s">
        <v>6</v>
      </c>
      <c r="C23" s="7">
        <v>753.7</v>
      </c>
      <c r="D23" s="7">
        <v>764.24</v>
      </c>
      <c r="E23" s="7">
        <v>743.16</v>
      </c>
      <c r="F23" s="7">
        <v>756.88</v>
      </c>
      <c r="G23" s="7">
        <v>31746</v>
      </c>
      <c r="H23" s="7">
        <f t="shared" si="2"/>
        <v>-6.275763661346581E-3</v>
      </c>
      <c r="I23" s="7">
        <f>PRODUCT(fact_daily_prices!$F23,fact_daily_prices!$G23)</f>
        <v>24027912.48</v>
      </c>
      <c r="J23" s="7" t="str">
        <f>_xlfn.XLOOKUP(fact_daily_prices!$B23,dim_company[company_id],dim_company[sector_id])</f>
        <v>SEC01</v>
      </c>
      <c r="K23" s="21" t="str">
        <f>_xlfn.XLOOKUP(fact_daily_prices!$J23,dim_sector[sector_id],dim_sector[sector_name])</f>
        <v>Information Technology</v>
      </c>
      <c r="L23" t="str">
        <v>COMP001-30-01-2025</v>
      </c>
      <c r="M23" t="str">
        <f>_xlfn.CONCAT(A22," ",B22)</f>
        <v>45686 COMP001</v>
      </c>
    </row>
    <row r="24" spans="1:17" x14ac:dyDescent="0.3">
      <c r="A24" s="17">
        <v>45688</v>
      </c>
      <c r="B24" s="18" t="s">
        <v>6</v>
      </c>
      <c r="C24" s="18">
        <v>753.55</v>
      </c>
      <c r="D24" s="18">
        <v>763.3</v>
      </c>
      <c r="E24" s="18">
        <v>743.8</v>
      </c>
      <c r="F24" s="18">
        <v>751.35</v>
      </c>
      <c r="G24" s="18">
        <v>40790</v>
      </c>
      <c r="H24" s="18">
        <f t="shared" si="2"/>
        <v>-7.3600851800092798E-3</v>
      </c>
      <c r="I24" s="18">
        <f>PRODUCT(fact_daily_prices!$F24,fact_daily_prices!$G24)</f>
        <v>30647566.5</v>
      </c>
      <c r="J24" s="18" t="str">
        <f>_xlfn.XLOOKUP(fact_daily_prices!$B24,dim_company[company_id],dim_company[sector_id])</f>
        <v>SEC01</v>
      </c>
      <c r="K24" s="19" t="str">
        <f>_xlfn.XLOOKUP(fact_daily_prices!$J24,dim_sector[sector_id],dim_sector[sector_name])</f>
        <v>Information Technology</v>
      </c>
      <c r="L24" t="str">
        <v>COMP001-31-01-2025</v>
      </c>
      <c r="M24" t="str">
        <f>_xlfn.CONCAT(A23," ",B23)</f>
        <v>45687 COMP001</v>
      </c>
    </row>
    <row r="25" spans="1:17" x14ac:dyDescent="0.3">
      <c r="A25" s="20">
        <v>45691</v>
      </c>
      <c r="B25" s="7" t="s">
        <v>6</v>
      </c>
      <c r="C25" s="7">
        <v>762.82</v>
      </c>
      <c r="D25" s="7">
        <v>768.05</v>
      </c>
      <c r="E25" s="7">
        <v>757.59</v>
      </c>
      <c r="F25" s="7">
        <v>760.56</v>
      </c>
      <c r="G25" s="7">
        <v>41764</v>
      </c>
      <c r="H25" s="7">
        <f t="shared" si="2"/>
        <v>1.210949826443663E-2</v>
      </c>
      <c r="I25" s="7">
        <f>PRODUCT(fact_daily_prices!$F25,fact_daily_prices!$G25)</f>
        <v>31764027.839999996</v>
      </c>
      <c r="J25" s="7" t="str">
        <f>_xlfn.XLOOKUP(fact_daily_prices!$B25,dim_company[company_id],dim_company[sector_id])</f>
        <v>SEC01</v>
      </c>
      <c r="K25" s="21" t="str">
        <f>_xlfn.XLOOKUP(fact_daily_prices!$J25,dim_sector[sector_id],dim_sector[sector_name])</f>
        <v>Information Technology</v>
      </c>
      <c r="L25" t="str">
        <v>COMP001-03-02-2025</v>
      </c>
      <c r="M25" t="str">
        <f>_xlfn.CONCAT(A24," ",B24)</f>
        <v>45688 COMP001</v>
      </c>
    </row>
    <row r="26" spans="1:17" x14ac:dyDescent="0.3">
      <c r="A26" s="17">
        <v>45692</v>
      </c>
      <c r="B26" s="18" t="s">
        <v>6</v>
      </c>
      <c r="C26" s="18">
        <v>762.98</v>
      </c>
      <c r="D26" s="18">
        <v>771.15</v>
      </c>
      <c r="E26" s="18">
        <v>754.8</v>
      </c>
      <c r="F26" s="18">
        <v>763.53</v>
      </c>
      <c r="G26" s="18">
        <v>45080</v>
      </c>
      <c r="H26" s="18">
        <f t="shared" si="2"/>
        <v>3.8898275116891639E-3</v>
      </c>
      <c r="I26" s="18">
        <f>PRODUCT(fact_daily_prices!$F26,fact_daily_prices!$G26)</f>
        <v>34419932.399999999</v>
      </c>
      <c r="J26" s="18" t="str">
        <f>_xlfn.XLOOKUP(fact_daily_prices!$B26,dim_company[company_id],dim_company[sector_id])</f>
        <v>SEC01</v>
      </c>
      <c r="K26" s="19" t="str">
        <f>_xlfn.XLOOKUP(fact_daily_prices!$J26,dim_sector[sector_id],dim_sector[sector_name])</f>
        <v>Information Technology</v>
      </c>
      <c r="L26" t="str">
        <v>COMP001-04-02-2025</v>
      </c>
      <c r="M26" t="str">
        <f>_xlfn.CONCAT(A25," ",B25)</f>
        <v>45691 COMP001</v>
      </c>
    </row>
    <row r="27" spans="1:17" x14ac:dyDescent="0.3">
      <c r="A27" s="20">
        <v>45693</v>
      </c>
      <c r="B27" s="7" t="s">
        <v>6</v>
      </c>
      <c r="C27" s="7">
        <v>750.42</v>
      </c>
      <c r="D27" s="7">
        <v>758.28</v>
      </c>
      <c r="E27" s="7">
        <v>742.55</v>
      </c>
      <c r="F27" s="7">
        <v>757.62</v>
      </c>
      <c r="G27" s="7">
        <v>19589</v>
      </c>
      <c r="H27" s="7">
        <f t="shared" si="2"/>
        <v>-7.8007444365248649E-3</v>
      </c>
      <c r="I27" s="7">
        <f>PRODUCT(fact_daily_prices!$F27,fact_daily_prices!$G27)</f>
        <v>14841018.18</v>
      </c>
      <c r="J27" s="7" t="str">
        <f>_xlfn.XLOOKUP(fact_daily_prices!$B27,dim_company[company_id],dim_company[sector_id])</f>
        <v>SEC01</v>
      </c>
      <c r="K27" s="21" t="str">
        <f>_xlfn.XLOOKUP(fact_daily_prices!$J27,dim_sector[sector_id],dim_sector[sector_name])</f>
        <v>Information Technology</v>
      </c>
      <c r="L27" t="str">
        <v>COMP001-05-02-2025</v>
      </c>
      <c r="M27" t="str">
        <f>_xlfn.CONCAT(A26," ",B26)</f>
        <v>45692 COMP001</v>
      </c>
    </row>
    <row r="28" spans="1:17" x14ac:dyDescent="0.3">
      <c r="A28" s="17">
        <v>45694</v>
      </c>
      <c r="B28" s="18" t="s">
        <v>6</v>
      </c>
      <c r="C28" s="18">
        <v>748.4</v>
      </c>
      <c r="D28" s="18">
        <v>762.38</v>
      </c>
      <c r="E28" s="18">
        <v>734.42</v>
      </c>
      <c r="F28" s="18">
        <v>748.11</v>
      </c>
      <c r="G28" s="18">
        <v>48202</v>
      </c>
      <c r="H28" s="18">
        <f t="shared" si="2"/>
        <v>-1.2712034326502775E-2</v>
      </c>
      <c r="I28" s="18">
        <f>PRODUCT(fact_daily_prices!$F28,fact_daily_prices!$G28)</f>
        <v>36060398.219999999</v>
      </c>
      <c r="J28" s="18" t="str">
        <f>_xlfn.XLOOKUP(fact_daily_prices!$B28,dim_company[company_id],dim_company[sector_id])</f>
        <v>SEC01</v>
      </c>
      <c r="K28" s="19" t="str">
        <f>_xlfn.XLOOKUP(fact_daily_prices!$J28,dim_sector[sector_id],dim_sector[sector_name])</f>
        <v>Information Technology</v>
      </c>
      <c r="L28" t="str">
        <v>COMP001-06-02-2025</v>
      </c>
      <c r="M28" t="str">
        <f>_xlfn.CONCAT(A27," ",B27)</f>
        <v>45693 COMP001</v>
      </c>
    </row>
    <row r="29" spans="1:17" x14ac:dyDescent="0.3">
      <c r="A29" s="20">
        <v>45695</v>
      </c>
      <c r="B29" s="7" t="s">
        <v>6</v>
      </c>
      <c r="C29" s="7">
        <v>745.23</v>
      </c>
      <c r="D29" s="7">
        <v>757.93</v>
      </c>
      <c r="E29" s="7">
        <v>732.53</v>
      </c>
      <c r="F29" s="7">
        <v>746.77</v>
      </c>
      <c r="G29" s="7">
        <v>4420</v>
      </c>
      <c r="H29" s="7">
        <f t="shared" si="2"/>
        <v>-1.7943945257576388E-3</v>
      </c>
      <c r="I29" s="7">
        <f>PRODUCT(fact_daily_prices!$F29,fact_daily_prices!$G29)</f>
        <v>3300723.4</v>
      </c>
      <c r="J29" s="7" t="str">
        <f>_xlfn.XLOOKUP(fact_daily_prices!$B29,dim_company[company_id],dim_company[sector_id])</f>
        <v>SEC01</v>
      </c>
      <c r="K29" s="21" t="str">
        <f>_xlfn.XLOOKUP(fact_daily_prices!$J29,dim_sector[sector_id],dim_sector[sector_name])</f>
        <v>Information Technology</v>
      </c>
      <c r="L29" t="str">
        <v>COMP001-07-02-2025</v>
      </c>
      <c r="M29" t="str">
        <f>_xlfn.CONCAT(A28," ",B28)</f>
        <v>45694 COMP001</v>
      </c>
    </row>
    <row r="30" spans="1:17" x14ac:dyDescent="0.3">
      <c r="A30" s="17">
        <v>45698</v>
      </c>
      <c r="B30" s="18" t="s">
        <v>6</v>
      </c>
      <c r="C30" s="18">
        <v>737.94</v>
      </c>
      <c r="D30" s="18">
        <v>748.29</v>
      </c>
      <c r="E30" s="18">
        <v>727.6</v>
      </c>
      <c r="F30" s="18">
        <v>741.94</v>
      </c>
      <c r="G30" s="18">
        <v>1699</v>
      </c>
      <c r="H30" s="18">
        <f t="shared" si="2"/>
        <v>-6.5099603741541456E-3</v>
      </c>
      <c r="I30" s="18">
        <f>PRODUCT(fact_daily_prices!$F30,fact_daily_prices!$G30)</f>
        <v>1260556.06</v>
      </c>
      <c r="J30" s="18" t="str">
        <f>_xlfn.XLOOKUP(fact_daily_prices!$B30,dim_company[company_id],dim_company[sector_id])</f>
        <v>SEC01</v>
      </c>
      <c r="K30" s="19" t="str">
        <f>_xlfn.XLOOKUP(fact_daily_prices!$J30,dim_sector[sector_id],dim_sector[sector_name])</f>
        <v>Information Technology</v>
      </c>
      <c r="L30" t="str">
        <v>COMP001-10-02-2025</v>
      </c>
      <c r="M30" t="str">
        <f>_xlfn.CONCAT(A29," ",B29)</f>
        <v>45695 COMP001</v>
      </c>
    </row>
    <row r="31" spans="1:17" x14ac:dyDescent="0.3">
      <c r="A31" s="20">
        <v>45699</v>
      </c>
      <c r="B31" s="7" t="s">
        <v>6</v>
      </c>
      <c r="C31" s="7">
        <v>746.21</v>
      </c>
      <c r="D31" s="7">
        <v>754.72</v>
      </c>
      <c r="E31" s="7">
        <v>737.69</v>
      </c>
      <c r="F31" s="7">
        <v>742.06</v>
      </c>
      <c r="G31" s="7">
        <v>36743</v>
      </c>
      <c r="H31" s="7">
        <f t="shared" si="2"/>
        <v>1.6171199094398145E-4</v>
      </c>
      <c r="I31" s="7">
        <f>PRODUCT(fact_daily_prices!$F31,fact_daily_prices!$G31)</f>
        <v>27265510.579999998</v>
      </c>
      <c r="J31" s="7" t="str">
        <f>_xlfn.XLOOKUP(fact_daily_prices!$B31,dim_company[company_id],dim_company[sector_id])</f>
        <v>SEC01</v>
      </c>
      <c r="K31" s="21" t="str">
        <f>_xlfn.XLOOKUP(fact_daily_prices!$J31,dim_sector[sector_id],dim_sector[sector_name])</f>
        <v>Information Technology</v>
      </c>
      <c r="L31" t="str">
        <v>COMP001-11-02-2025</v>
      </c>
      <c r="M31" t="str">
        <f>_xlfn.CONCAT(A30," ",B30)</f>
        <v>45698 COMP001</v>
      </c>
    </row>
    <row r="32" spans="1:17" x14ac:dyDescent="0.3">
      <c r="A32" s="17">
        <v>45700</v>
      </c>
      <c r="B32" s="18" t="s">
        <v>6</v>
      </c>
      <c r="C32" s="18">
        <v>744.05</v>
      </c>
      <c r="D32" s="18">
        <v>752.7</v>
      </c>
      <c r="E32" s="18">
        <v>735.41</v>
      </c>
      <c r="F32" s="18">
        <v>740.1</v>
      </c>
      <c r="G32" s="18">
        <v>27641</v>
      </c>
      <c r="H32" s="18">
        <f t="shared" si="2"/>
        <v>-2.6482907715172578E-3</v>
      </c>
      <c r="I32" s="18">
        <f>PRODUCT(fact_daily_prices!$F32,fact_daily_prices!$G32)</f>
        <v>20457104.100000001</v>
      </c>
      <c r="J32" s="18" t="str">
        <f>_xlfn.XLOOKUP(fact_daily_prices!$B32,dim_company[company_id],dim_company[sector_id])</f>
        <v>SEC01</v>
      </c>
      <c r="K32" s="19" t="str">
        <f>_xlfn.XLOOKUP(fact_daily_prices!$J32,dim_sector[sector_id],dim_sector[sector_name])</f>
        <v>Information Technology</v>
      </c>
      <c r="L32" t="str">
        <v>COMP001-12-02-2025</v>
      </c>
      <c r="M32" t="str">
        <f>_xlfn.CONCAT(A31," ",B31)</f>
        <v>45699 COMP001</v>
      </c>
    </row>
    <row r="33" spans="1:13" x14ac:dyDescent="0.3">
      <c r="A33" s="20">
        <v>45701</v>
      </c>
      <c r="B33" s="7" t="s">
        <v>6</v>
      </c>
      <c r="C33" s="7">
        <v>741.09</v>
      </c>
      <c r="D33" s="7">
        <v>752.2</v>
      </c>
      <c r="E33" s="7">
        <v>729.99</v>
      </c>
      <c r="F33" s="7">
        <v>743.91</v>
      </c>
      <c r="G33" s="7">
        <v>1569</v>
      </c>
      <c r="H33" s="7">
        <f t="shared" si="2"/>
        <v>5.1215872887848601E-3</v>
      </c>
      <c r="I33" s="7">
        <f>PRODUCT(fact_daily_prices!$F33,fact_daily_prices!$G33)</f>
        <v>1167194.79</v>
      </c>
      <c r="J33" s="7" t="str">
        <f>_xlfn.XLOOKUP(fact_daily_prices!$B33,dim_company[company_id],dim_company[sector_id])</f>
        <v>SEC01</v>
      </c>
      <c r="K33" s="21" t="str">
        <f>_xlfn.XLOOKUP(fact_daily_prices!$J33,dim_sector[sector_id],dim_sector[sector_name])</f>
        <v>Information Technology</v>
      </c>
      <c r="L33" t="str">
        <v>COMP001-13-02-2025</v>
      </c>
      <c r="M33" t="str">
        <f>_xlfn.CONCAT(A32," ",B32)</f>
        <v>45700 COMP001</v>
      </c>
    </row>
    <row r="34" spans="1:13" x14ac:dyDescent="0.3">
      <c r="A34" s="17">
        <v>45702</v>
      </c>
      <c r="B34" s="18" t="s">
        <v>6</v>
      </c>
      <c r="C34" s="18">
        <v>738.62</v>
      </c>
      <c r="D34" s="18">
        <v>745.95</v>
      </c>
      <c r="E34" s="18">
        <v>731.29</v>
      </c>
      <c r="F34" s="18">
        <v>732.33</v>
      </c>
      <c r="G34" s="18">
        <v>46681</v>
      </c>
      <c r="H34" s="18">
        <f t="shared" si="2"/>
        <v>-1.5812543525459733E-2</v>
      </c>
      <c r="I34" s="18">
        <f>PRODUCT(fact_daily_prices!$F34,fact_daily_prices!$G34)</f>
        <v>34185896.730000004</v>
      </c>
      <c r="J34" s="18" t="str">
        <f>_xlfn.XLOOKUP(fact_daily_prices!$B34,dim_company[company_id],dim_company[sector_id])</f>
        <v>SEC01</v>
      </c>
      <c r="K34" s="19" t="str">
        <f>_xlfn.XLOOKUP(fact_daily_prices!$J34,dim_sector[sector_id],dim_sector[sector_name])</f>
        <v>Information Technology</v>
      </c>
      <c r="L34" t="str">
        <v>COMP001-14-02-2025</v>
      </c>
      <c r="M34" t="str">
        <f>_xlfn.CONCAT(A33," ",B33)</f>
        <v>45701 COMP001</v>
      </c>
    </row>
    <row r="35" spans="1:13" x14ac:dyDescent="0.3">
      <c r="A35" s="20">
        <v>45705</v>
      </c>
      <c r="B35" s="7" t="s">
        <v>6</v>
      </c>
      <c r="C35" s="7">
        <v>739.86</v>
      </c>
      <c r="D35" s="7">
        <v>751.78</v>
      </c>
      <c r="E35" s="7">
        <v>727.94</v>
      </c>
      <c r="F35" s="7">
        <v>742.65</v>
      </c>
      <c r="G35" s="7">
        <v>36777</v>
      </c>
      <c r="H35" s="7">
        <f t="shared" si="2"/>
        <v>1.3896182589375798E-2</v>
      </c>
      <c r="I35" s="7">
        <f>PRODUCT(fact_daily_prices!$F35,fact_daily_prices!$G35)</f>
        <v>27312439.050000001</v>
      </c>
      <c r="J35" s="7" t="str">
        <f>_xlfn.XLOOKUP(fact_daily_prices!$B35,dim_company[company_id],dim_company[sector_id])</f>
        <v>SEC01</v>
      </c>
      <c r="K35" s="21" t="str">
        <f>_xlfn.XLOOKUP(fact_daily_prices!$J35,dim_sector[sector_id],dim_sector[sector_name])</f>
        <v>Information Technology</v>
      </c>
      <c r="L35" t="str">
        <v>COMP001-17-02-2025</v>
      </c>
      <c r="M35" t="str">
        <f>_xlfn.CONCAT(A34," ",B34)</f>
        <v>45702 COMP001</v>
      </c>
    </row>
    <row r="36" spans="1:13" x14ac:dyDescent="0.3">
      <c r="A36" s="17">
        <v>45706</v>
      </c>
      <c r="B36" s="18" t="s">
        <v>6</v>
      </c>
      <c r="C36" s="18">
        <v>768.97</v>
      </c>
      <c r="D36" s="18">
        <v>773.2</v>
      </c>
      <c r="E36" s="18">
        <v>764.74</v>
      </c>
      <c r="F36" s="18">
        <v>769.29</v>
      </c>
      <c r="G36" s="18">
        <v>46017</v>
      </c>
      <c r="H36" s="18">
        <f t="shared" si="2"/>
        <v>3.4629333541317302E-2</v>
      </c>
      <c r="I36" s="18">
        <f>PRODUCT(fact_daily_prices!$F36,fact_daily_prices!$G36)</f>
        <v>35400417.93</v>
      </c>
      <c r="J36" s="18" t="str">
        <f>_xlfn.XLOOKUP(fact_daily_prices!$B36,dim_company[company_id],dim_company[sector_id])</f>
        <v>SEC01</v>
      </c>
      <c r="K36" s="19" t="str">
        <f>_xlfn.XLOOKUP(fact_daily_prices!$J36,dim_sector[sector_id],dim_sector[sector_name])</f>
        <v>Information Technology</v>
      </c>
      <c r="L36" t="str">
        <v>COMP001-18-02-2025</v>
      </c>
      <c r="M36" t="str">
        <f>_xlfn.CONCAT(A35," ",B35)</f>
        <v>45705 COMP001</v>
      </c>
    </row>
    <row r="37" spans="1:13" x14ac:dyDescent="0.3">
      <c r="A37" s="20">
        <v>45707</v>
      </c>
      <c r="B37" s="7" t="s">
        <v>6</v>
      </c>
      <c r="C37" s="7">
        <v>781.47</v>
      </c>
      <c r="D37" s="7">
        <v>792.7</v>
      </c>
      <c r="E37" s="7">
        <v>770.24</v>
      </c>
      <c r="F37" s="7">
        <v>781.13</v>
      </c>
      <c r="G37" s="7">
        <v>13533</v>
      </c>
      <c r="H37" s="7">
        <f t="shared" si="2"/>
        <v>1.5157528196330997E-2</v>
      </c>
      <c r="I37" s="7">
        <f>PRODUCT(fact_daily_prices!$F37,fact_daily_prices!$G37)</f>
        <v>10571032.289999999</v>
      </c>
      <c r="J37" s="7" t="str">
        <f>_xlfn.XLOOKUP(fact_daily_prices!$B37,dim_company[company_id],dim_company[sector_id])</f>
        <v>SEC01</v>
      </c>
      <c r="K37" s="21" t="str">
        <f>_xlfn.XLOOKUP(fact_daily_prices!$J37,dim_sector[sector_id],dim_sector[sector_name])</f>
        <v>Information Technology</v>
      </c>
      <c r="L37" t="str">
        <v>COMP001-19-02-2025</v>
      </c>
      <c r="M37" t="str">
        <f>_xlfn.CONCAT(A36," ",B36)</f>
        <v>45706 COMP001</v>
      </c>
    </row>
    <row r="38" spans="1:13" x14ac:dyDescent="0.3">
      <c r="A38" s="17">
        <v>45708</v>
      </c>
      <c r="B38" s="18" t="s">
        <v>6</v>
      </c>
      <c r="C38" s="18">
        <v>783.99</v>
      </c>
      <c r="D38" s="18">
        <v>789.1</v>
      </c>
      <c r="E38" s="18">
        <v>778.87</v>
      </c>
      <c r="F38" s="18">
        <v>783.47</v>
      </c>
      <c r="G38" s="18">
        <v>20190</v>
      </c>
      <c r="H38" s="18">
        <f t="shared" si="2"/>
        <v>2.9867129564629556E-3</v>
      </c>
      <c r="I38" s="18">
        <f>PRODUCT(fact_daily_prices!$F38,fact_daily_prices!$G38)</f>
        <v>15818259.300000001</v>
      </c>
      <c r="J38" s="18" t="str">
        <f>_xlfn.XLOOKUP(fact_daily_prices!$B38,dim_company[company_id],dim_company[sector_id])</f>
        <v>SEC01</v>
      </c>
      <c r="K38" s="19" t="str">
        <f>_xlfn.XLOOKUP(fact_daily_prices!$J38,dim_sector[sector_id],dim_sector[sector_name])</f>
        <v>Information Technology</v>
      </c>
      <c r="L38" t="str">
        <v>COMP001-20-02-2025</v>
      </c>
      <c r="M38" t="str">
        <f>_xlfn.CONCAT(A37," ",B37)</f>
        <v>45707 COMP001</v>
      </c>
    </row>
    <row r="39" spans="1:13" x14ac:dyDescent="0.3">
      <c r="A39" s="20">
        <v>45709</v>
      </c>
      <c r="B39" s="7" t="s">
        <v>6</v>
      </c>
      <c r="C39" s="7">
        <v>793.71</v>
      </c>
      <c r="D39" s="7">
        <v>799.06</v>
      </c>
      <c r="E39" s="7">
        <v>788.35</v>
      </c>
      <c r="F39" s="7">
        <v>792.41</v>
      </c>
      <c r="G39" s="7">
        <v>11647</v>
      </c>
      <c r="H39" s="7">
        <f t="shared" si="2"/>
        <v>1.128203833873871E-2</v>
      </c>
      <c r="I39" s="7">
        <f>PRODUCT(fact_daily_prices!$F39,fact_daily_prices!$G39)</f>
        <v>9229199.2699999996</v>
      </c>
      <c r="J39" s="7" t="str">
        <f>_xlfn.XLOOKUP(fact_daily_prices!$B39,dim_company[company_id],dim_company[sector_id])</f>
        <v>SEC01</v>
      </c>
      <c r="K39" s="21" t="str">
        <f>_xlfn.XLOOKUP(fact_daily_prices!$J39,dim_sector[sector_id],dim_sector[sector_name])</f>
        <v>Information Technology</v>
      </c>
      <c r="L39" t="str">
        <v>COMP001-21-02-2025</v>
      </c>
      <c r="M39" t="str">
        <f>_xlfn.CONCAT(A38," ",B38)</f>
        <v>45708 COMP001</v>
      </c>
    </row>
    <row r="40" spans="1:13" x14ac:dyDescent="0.3">
      <c r="A40" s="17">
        <v>45712</v>
      </c>
      <c r="B40" s="18" t="s">
        <v>6</v>
      </c>
      <c r="C40" s="18">
        <v>785.73</v>
      </c>
      <c r="D40" s="18">
        <v>796.88</v>
      </c>
      <c r="E40" s="18">
        <v>774.58</v>
      </c>
      <c r="F40" s="18">
        <v>782.59</v>
      </c>
      <c r="G40" s="18">
        <v>25376</v>
      </c>
      <c r="H40" s="18">
        <f t="shared" si="2"/>
        <v>-1.2548077537407757E-2</v>
      </c>
      <c r="I40" s="18">
        <f>PRODUCT(fact_daily_prices!$F40,fact_daily_prices!$G40)</f>
        <v>19859003.84</v>
      </c>
      <c r="J40" s="18" t="str">
        <f>_xlfn.XLOOKUP(fact_daily_prices!$B40,dim_company[company_id],dim_company[sector_id])</f>
        <v>SEC01</v>
      </c>
      <c r="K40" s="19" t="str">
        <f>_xlfn.XLOOKUP(fact_daily_prices!$J40,dim_sector[sector_id],dim_sector[sector_name])</f>
        <v>Information Technology</v>
      </c>
      <c r="L40" t="str">
        <v>COMP001-24-02-2025</v>
      </c>
      <c r="M40" t="str">
        <f>_xlfn.CONCAT(A39," ",B39)</f>
        <v>45709 COMP001</v>
      </c>
    </row>
    <row r="41" spans="1:13" x14ac:dyDescent="0.3">
      <c r="A41" s="20">
        <v>45713</v>
      </c>
      <c r="B41" s="7" t="s">
        <v>6</v>
      </c>
      <c r="C41" s="7">
        <v>770.64</v>
      </c>
      <c r="D41" s="7">
        <v>776.95</v>
      </c>
      <c r="E41" s="7">
        <v>764.33</v>
      </c>
      <c r="F41" s="7">
        <v>767.31</v>
      </c>
      <c r="G41" s="7">
        <v>13039</v>
      </c>
      <c r="H41" s="7">
        <f t="shared" si="2"/>
        <v>-1.9913724570252034E-2</v>
      </c>
      <c r="I41" s="7">
        <f>PRODUCT(fact_daily_prices!$F41,fact_daily_prices!$G41)</f>
        <v>10004955.09</v>
      </c>
      <c r="J41" s="7" t="str">
        <f>_xlfn.XLOOKUP(fact_daily_prices!$B41,dim_company[company_id],dim_company[sector_id])</f>
        <v>SEC01</v>
      </c>
      <c r="K41" s="21" t="str">
        <f>_xlfn.XLOOKUP(fact_daily_prices!$J41,dim_sector[sector_id],dim_sector[sector_name])</f>
        <v>Information Technology</v>
      </c>
      <c r="L41" t="str">
        <v>COMP001-25-02-2025</v>
      </c>
      <c r="M41" t="str">
        <f>_xlfn.CONCAT(A40," ",B40)</f>
        <v>45712 COMP001</v>
      </c>
    </row>
    <row r="42" spans="1:13" x14ac:dyDescent="0.3">
      <c r="A42" s="17">
        <v>45714</v>
      </c>
      <c r="B42" s="18" t="s">
        <v>6</v>
      </c>
      <c r="C42" s="18">
        <v>774.29</v>
      </c>
      <c r="D42" s="18">
        <v>785.89</v>
      </c>
      <c r="E42" s="18">
        <v>762.68</v>
      </c>
      <c r="F42" s="18">
        <v>775.01</v>
      </c>
      <c r="G42" s="18">
        <v>26547</v>
      </c>
      <c r="H42" s="18">
        <f t="shared" si="2"/>
        <v>9.9353556728300867E-3</v>
      </c>
      <c r="I42" s="18">
        <f>PRODUCT(fact_daily_prices!$F42,fact_daily_prices!$G42)</f>
        <v>20574190.469999999</v>
      </c>
      <c r="J42" s="18" t="str">
        <f>_xlfn.XLOOKUP(fact_daily_prices!$B42,dim_company[company_id],dim_company[sector_id])</f>
        <v>SEC01</v>
      </c>
      <c r="K42" s="19" t="str">
        <f>_xlfn.XLOOKUP(fact_daily_prices!$J42,dim_sector[sector_id],dim_sector[sector_name])</f>
        <v>Information Technology</v>
      </c>
      <c r="L42" t="str">
        <v>COMP001-26-02-2025</v>
      </c>
      <c r="M42" t="str">
        <f>_xlfn.CONCAT(A41," ",B41)</f>
        <v>45713 COMP001</v>
      </c>
    </row>
    <row r="43" spans="1:13" x14ac:dyDescent="0.3">
      <c r="A43" s="20">
        <v>45715</v>
      </c>
      <c r="B43" s="7" t="s">
        <v>6</v>
      </c>
      <c r="C43" s="7">
        <v>776.57</v>
      </c>
      <c r="D43" s="7">
        <v>783.61</v>
      </c>
      <c r="E43" s="7">
        <v>769.54</v>
      </c>
      <c r="F43" s="7">
        <v>769.96</v>
      </c>
      <c r="G43" s="7">
        <v>33097</v>
      </c>
      <c r="H43" s="7">
        <f t="shared" si="2"/>
        <v>-6.5587822744038061E-3</v>
      </c>
      <c r="I43" s="7">
        <f>PRODUCT(fact_daily_prices!$F43,fact_daily_prices!$G43)</f>
        <v>25483366.120000001</v>
      </c>
      <c r="J43" s="7" t="str">
        <f>_xlfn.XLOOKUP(fact_daily_prices!$B43,dim_company[company_id],dim_company[sector_id])</f>
        <v>SEC01</v>
      </c>
      <c r="K43" s="21" t="str">
        <f>_xlfn.XLOOKUP(fact_daily_prices!$J43,dim_sector[sector_id],dim_sector[sector_name])</f>
        <v>Information Technology</v>
      </c>
      <c r="L43" t="str">
        <v>COMP001-27-02-2025</v>
      </c>
      <c r="M43" t="str">
        <f>_xlfn.CONCAT(A42," ",B42)</f>
        <v>45714 COMP001</v>
      </c>
    </row>
    <row r="44" spans="1:13" x14ac:dyDescent="0.3">
      <c r="A44" s="17">
        <v>45716</v>
      </c>
      <c r="B44" s="18" t="s">
        <v>6</v>
      </c>
      <c r="C44" s="18">
        <v>753.52</v>
      </c>
      <c r="D44" s="18">
        <v>758.61</v>
      </c>
      <c r="E44" s="18">
        <v>748.43</v>
      </c>
      <c r="F44" s="18">
        <v>757.19</v>
      </c>
      <c r="G44" s="18">
        <v>34621</v>
      </c>
      <c r="H44" s="18">
        <f t="shared" si="2"/>
        <v>-1.6864987651712227E-2</v>
      </c>
      <c r="I44" s="18">
        <f>PRODUCT(fact_daily_prices!$F44,fact_daily_prices!$G44)</f>
        <v>26214674.990000002</v>
      </c>
      <c r="J44" s="18" t="str">
        <f>_xlfn.XLOOKUP(fact_daily_prices!$B44,dim_company[company_id],dim_company[sector_id])</f>
        <v>SEC01</v>
      </c>
      <c r="K44" s="19" t="str">
        <f>_xlfn.XLOOKUP(fact_daily_prices!$J44,dim_sector[sector_id],dim_sector[sector_name])</f>
        <v>Information Technology</v>
      </c>
      <c r="L44" t="str">
        <v>COMP001-28-02-2025</v>
      </c>
      <c r="M44" t="str">
        <f>_xlfn.CONCAT(A43," ",B43)</f>
        <v>45715 COMP001</v>
      </c>
    </row>
    <row r="45" spans="1:13" x14ac:dyDescent="0.3">
      <c r="A45" s="20">
        <v>45719</v>
      </c>
      <c r="B45" s="7" t="s">
        <v>6</v>
      </c>
      <c r="C45" s="7">
        <v>750.31</v>
      </c>
      <c r="D45" s="7">
        <v>753.93</v>
      </c>
      <c r="E45" s="7">
        <v>746.69</v>
      </c>
      <c r="F45" s="7">
        <v>749.01</v>
      </c>
      <c r="G45" s="7">
        <v>23677</v>
      </c>
      <c r="H45" s="7">
        <f t="shared" si="2"/>
        <v>-1.0921082495560891E-2</v>
      </c>
      <c r="I45" s="7">
        <f>PRODUCT(fact_daily_prices!$F45,fact_daily_prices!$G45)</f>
        <v>17734309.77</v>
      </c>
      <c r="J45" s="7" t="str">
        <f>_xlfn.XLOOKUP(fact_daily_prices!$B45,dim_company[company_id],dim_company[sector_id])</f>
        <v>SEC01</v>
      </c>
      <c r="K45" s="21" t="str">
        <f>_xlfn.XLOOKUP(fact_daily_prices!$J45,dim_sector[sector_id],dim_sector[sector_name])</f>
        <v>Information Technology</v>
      </c>
      <c r="L45" t="str">
        <v>COMP001-03-03-2025</v>
      </c>
      <c r="M45" t="str">
        <f>_xlfn.CONCAT(A44," ",B44)</f>
        <v>45716 COMP001</v>
      </c>
    </row>
    <row r="46" spans="1:13" x14ac:dyDescent="0.3">
      <c r="A46" s="17">
        <v>45720</v>
      </c>
      <c r="B46" s="18" t="s">
        <v>6</v>
      </c>
      <c r="C46" s="18">
        <v>742.73</v>
      </c>
      <c r="D46" s="18">
        <v>747.32</v>
      </c>
      <c r="E46" s="18">
        <v>738.14</v>
      </c>
      <c r="F46" s="18">
        <v>738.59</v>
      </c>
      <c r="G46" s="18">
        <v>43675</v>
      </c>
      <c r="H46" s="18">
        <f t="shared" si="2"/>
        <v>-1.4107962469028769E-2</v>
      </c>
      <c r="I46" s="18">
        <f>PRODUCT(fact_daily_prices!$F46,fact_daily_prices!$G46)</f>
        <v>32257918.25</v>
      </c>
      <c r="J46" s="18" t="str">
        <f>_xlfn.XLOOKUP(fact_daily_prices!$B46,dim_company[company_id],dim_company[sector_id])</f>
        <v>SEC01</v>
      </c>
      <c r="K46" s="19" t="str">
        <f>_xlfn.XLOOKUP(fact_daily_prices!$J46,dim_sector[sector_id],dim_sector[sector_name])</f>
        <v>Information Technology</v>
      </c>
      <c r="L46" t="str">
        <v>COMP001-04-03-2025</v>
      </c>
      <c r="M46" t="str">
        <f>_xlfn.CONCAT(A45," ",B45)</f>
        <v>45719 COMP001</v>
      </c>
    </row>
    <row r="47" spans="1:13" x14ac:dyDescent="0.3">
      <c r="A47" s="20">
        <v>45721</v>
      </c>
      <c r="B47" s="7" t="s">
        <v>6</v>
      </c>
      <c r="C47" s="7">
        <v>738.07</v>
      </c>
      <c r="D47" s="7">
        <v>740.6</v>
      </c>
      <c r="E47" s="7">
        <v>735.53</v>
      </c>
      <c r="F47" s="7">
        <v>740.02</v>
      </c>
      <c r="G47" s="7">
        <v>16338</v>
      </c>
      <c r="H47" s="7">
        <f t="shared" si="2"/>
        <v>1.9323802059403124E-3</v>
      </c>
      <c r="I47" s="7">
        <f>PRODUCT(fact_daily_prices!$F47,fact_daily_prices!$G47)</f>
        <v>12090446.76</v>
      </c>
      <c r="J47" s="7" t="str">
        <f>_xlfn.XLOOKUP(fact_daily_prices!$B47,dim_company[company_id],dim_company[sector_id])</f>
        <v>SEC01</v>
      </c>
      <c r="K47" s="21" t="str">
        <f>_xlfn.XLOOKUP(fact_daily_prices!$J47,dim_sector[sector_id],dim_sector[sector_name])</f>
        <v>Information Technology</v>
      </c>
      <c r="L47" t="str">
        <v>COMP001-05-03-2025</v>
      </c>
      <c r="M47" t="str">
        <f>_xlfn.CONCAT(A46," ",B46)</f>
        <v>45720 COMP001</v>
      </c>
    </row>
    <row r="48" spans="1:13" x14ac:dyDescent="0.3">
      <c r="A48" s="17">
        <v>45722</v>
      </c>
      <c r="B48" s="18" t="s">
        <v>6</v>
      </c>
      <c r="C48" s="18">
        <v>742.7</v>
      </c>
      <c r="D48" s="18">
        <v>747.54</v>
      </c>
      <c r="E48" s="18">
        <v>737.86</v>
      </c>
      <c r="F48" s="18">
        <v>745.65</v>
      </c>
      <c r="G48" s="18">
        <v>20508</v>
      </c>
      <c r="H48" s="18">
        <f t="shared" si="2"/>
        <v>7.550459330785215E-3</v>
      </c>
      <c r="I48" s="18">
        <f>PRODUCT(fact_daily_prices!$F48,fact_daily_prices!$G48)</f>
        <v>15291790.199999999</v>
      </c>
      <c r="J48" s="18" t="str">
        <f>_xlfn.XLOOKUP(fact_daily_prices!$B48,dim_company[company_id],dim_company[sector_id])</f>
        <v>SEC01</v>
      </c>
      <c r="K48" s="19" t="str">
        <f>_xlfn.XLOOKUP(fact_daily_prices!$J48,dim_sector[sector_id],dim_sector[sector_name])</f>
        <v>Information Technology</v>
      </c>
      <c r="L48" t="str">
        <v>COMP001-06-03-2025</v>
      </c>
      <c r="M48" t="str">
        <f>_xlfn.CONCAT(A47," ",B47)</f>
        <v>45721 COMP001</v>
      </c>
    </row>
    <row r="49" spans="1:13" x14ac:dyDescent="0.3">
      <c r="A49" s="20">
        <v>45723</v>
      </c>
      <c r="B49" s="7" t="s">
        <v>6</v>
      </c>
      <c r="C49" s="7">
        <v>748.98</v>
      </c>
      <c r="D49" s="7">
        <v>758.31</v>
      </c>
      <c r="E49" s="7">
        <v>739.65</v>
      </c>
      <c r="F49" s="7">
        <v>754.21</v>
      </c>
      <c r="G49" s="7">
        <v>22606</v>
      </c>
      <c r="H49" s="7">
        <f t="shared" si="2"/>
        <v>1.1349624109995968E-2</v>
      </c>
      <c r="I49" s="7">
        <f>PRODUCT(fact_daily_prices!$F49,fact_daily_prices!$G49)</f>
        <v>17049671.260000002</v>
      </c>
      <c r="J49" s="7" t="str">
        <f>_xlfn.XLOOKUP(fact_daily_prices!$B49,dim_company[company_id],dim_company[sector_id])</f>
        <v>SEC01</v>
      </c>
      <c r="K49" s="21" t="str">
        <f>_xlfn.XLOOKUP(fact_daily_prices!$J49,dim_sector[sector_id],dim_sector[sector_name])</f>
        <v>Information Technology</v>
      </c>
      <c r="L49" t="str">
        <v>COMP001-07-03-2025</v>
      </c>
      <c r="M49" t="str">
        <f>_xlfn.CONCAT(A48," ",B48)</f>
        <v>45722 COMP001</v>
      </c>
    </row>
    <row r="50" spans="1:13" x14ac:dyDescent="0.3">
      <c r="A50" s="17">
        <v>45726</v>
      </c>
      <c r="B50" s="18" t="s">
        <v>6</v>
      </c>
      <c r="C50" s="18">
        <v>763.2</v>
      </c>
      <c r="D50" s="18">
        <v>764.24</v>
      </c>
      <c r="E50" s="18">
        <v>762.15</v>
      </c>
      <c r="F50" s="18">
        <v>762.94</v>
      </c>
      <c r="G50" s="18">
        <v>33093</v>
      </c>
      <c r="H50" s="18">
        <f t="shared" si="2"/>
        <v>1.1442577397960544E-2</v>
      </c>
      <c r="I50" s="18">
        <f>PRODUCT(fact_daily_prices!$F50,fact_daily_prices!$G50)</f>
        <v>25247973.420000002</v>
      </c>
      <c r="J50" s="18" t="str">
        <f>_xlfn.XLOOKUP(fact_daily_prices!$B50,dim_company[company_id],dim_company[sector_id])</f>
        <v>SEC01</v>
      </c>
      <c r="K50" s="19" t="str">
        <f>_xlfn.XLOOKUP(fact_daily_prices!$J50,dim_sector[sector_id],dim_sector[sector_name])</f>
        <v>Information Technology</v>
      </c>
      <c r="L50" t="str">
        <v>COMP001-10-03-2025</v>
      </c>
      <c r="M50" t="str">
        <f>_xlfn.CONCAT(A49," ",B49)</f>
        <v>45723 COMP001</v>
      </c>
    </row>
    <row r="51" spans="1:13" x14ac:dyDescent="0.3">
      <c r="A51" s="20">
        <v>45727</v>
      </c>
      <c r="B51" s="7" t="s">
        <v>6</v>
      </c>
      <c r="C51" s="7">
        <v>769.67</v>
      </c>
      <c r="D51" s="7">
        <v>778.75</v>
      </c>
      <c r="E51" s="7">
        <v>760.59</v>
      </c>
      <c r="F51" s="7">
        <v>770.42</v>
      </c>
      <c r="G51" s="7">
        <v>8987</v>
      </c>
      <c r="H51" s="7">
        <f t="shared" si="2"/>
        <v>9.7089899016119842E-3</v>
      </c>
      <c r="I51" s="7">
        <f>PRODUCT(fact_daily_prices!$F51,fact_daily_prices!$G51)</f>
        <v>6923764.54</v>
      </c>
      <c r="J51" s="7" t="str">
        <f>_xlfn.XLOOKUP(fact_daily_prices!$B51,dim_company[company_id],dim_company[sector_id])</f>
        <v>SEC01</v>
      </c>
      <c r="K51" s="21" t="str">
        <f>_xlfn.XLOOKUP(fact_daily_prices!$J51,dim_sector[sector_id],dim_sector[sector_name])</f>
        <v>Information Technology</v>
      </c>
      <c r="L51" t="str">
        <v>COMP001-11-03-2025</v>
      </c>
      <c r="M51" t="str">
        <f>_xlfn.CONCAT(A50," ",B50)</f>
        <v>45726 COMP001</v>
      </c>
    </row>
    <row r="52" spans="1:13" x14ac:dyDescent="0.3">
      <c r="A52" s="17">
        <v>45728</v>
      </c>
      <c r="B52" s="18" t="s">
        <v>6</v>
      </c>
      <c r="C52" s="18">
        <v>762.16</v>
      </c>
      <c r="D52" s="18">
        <v>770.63</v>
      </c>
      <c r="E52" s="18">
        <v>753.69</v>
      </c>
      <c r="F52" s="18">
        <v>768.59</v>
      </c>
      <c r="G52" s="18">
        <v>47185</v>
      </c>
      <c r="H52" s="18">
        <f t="shared" si="2"/>
        <v>-2.3809833591380675E-3</v>
      </c>
      <c r="I52" s="18">
        <f>PRODUCT(fact_daily_prices!$F52,fact_daily_prices!$G52)</f>
        <v>36265919.149999999</v>
      </c>
      <c r="J52" s="18" t="str">
        <f>_xlfn.XLOOKUP(fact_daily_prices!$B52,dim_company[company_id],dim_company[sector_id])</f>
        <v>SEC01</v>
      </c>
      <c r="K52" s="19" t="str">
        <f>_xlfn.XLOOKUP(fact_daily_prices!$J52,dim_sector[sector_id],dim_sector[sector_name])</f>
        <v>Information Technology</v>
      </c>
      <c r="L52" t="str">
        <v>COMP001-12-03-2025</v>
      </c>
      <c r="M52" t="str">
        <f>_xlfn.CONCAT(A51," ",B51)</f>
        <v>45727 COMP001</v>
      </c>
    </row>
    <row r="53" spans="1:13" x14ac:dyDescent="0.3">
      <c r="A53" s="20">
        <v>45729</v>
      </c>
      <c r="B53" s="7" t="s">
        <v>6</v>
      </c>
      <c r="C53" s="7">
        <v>759.16</v>
      </c>
      <c r="D53" s="7">
        <v>767.69</v>
      </c>
      <c r="E53" s="7">
        <v>750.63</v>
      </c>
      <c r="F53" s="7">
        <v>762.76</v>
      </c>
      <c r="G53" s="7">
        <v>18214</v>
      </c>
      <c r="H53" s="7">
        <f t="shared" si="2"/>
        <v>-7.6432954009125293E-3</v>
      </c>
      <c r="I53" s="7">
        <f>PRODUCT(fact_daily_prices!$F53,fact_daily_prices!$G53)</f>
        <v>13892910.640000001</v>
      </c>
      <c r="J53" s="7" t="str">
        <f>_xlfn.XLOOKUP(fact_daily_prices!$B53,dim_company[company_id],dim_company[sector_id])</f>
        <v>SEC01</v>
      </c>
      <c r="K53" s="21" t="str">
        <f>_xlfn.XLOOKUP(fact_daily_prices!$J53,dim_sector[sector_id],dim_sector[sector_name])</f>
        <v>Information Technology</v>
      </c>
      <c r="L53" t="str">
        <v>COMP001-13-03-2025</v>
      </c>
      <c r="M53" t="str">
        <f>_xlfn.CONCAT(A52," ",B52)</f>
        <v>45728 COMP001</v>
      </c>
    </row>
    <row r="54" spans="1:13" x14ac:dyDescent="0.3">
      <c r="A54" s="17">
        <v>45730</v>
      </c>
      <c r="B54" s="18" t="s">
        <v>6</v>
      </c>
      <c r="C54" s="18">
        <v>746.26</v>
      </c>
      <c r="D54" s="18">
        <v>755.07</v>
      </c>
      <c r="E54" s="18">
        <v>737.44</v>
      </c>
      <c r="F54" s="18">
        <v>748.58</v>
      </c>
      <c r="G54" s="18">
        <v>26945</v>
      </c>
      <c r="H54" s="18">
        <f t="shared" si="2"/>
        <v>-1.8942531192390859E-2</v>
      </c>
      <c r="I54" s="18">
        <f>PRODUCT(fact_daily_prices!$F54,fact_daily_prices!$G54)</f>
        <v>20170488.100000001</v>
      </c>
      <c r="J54" s="18" t="str">
        <f>_xlfn.XLOOKUP(fact_daily_prices!$B54,dim_company[company_id],dim_company[sector_id])</f>
        <v>SEC01</v>
      </c>
      <c r="K54" s="19" t="str">
        <f>_xlfn.XLOOKUP(fact_daily_prices!$J54,dim_sector[sector_id],dim_sector[sector_name])</f>
        <v>Information Technology</v>
      </c>
      <c r="L54" t="str">
        <v>COMP001-14-03-2025</v>
      </c>
      <c r="M54" t="str">
        <f>_xlfn.CONCAT(A53," ",B53)</f>
        <v>45729 COMP001</v>
      </c>
    </row>
    <row r="55" spans="1:13" x14ac:dyDescent="0.3">
      <c r="A55" s="20">
        <v>45733</v>
      </c>
      <c r="B55" s="7" t="s">
        <v>6</v>
      </c>
      <c r="C55" s="7">
        <v>752.09</v>
      </c>
      <c r="D55" s="7">
        <v>759.59</v>
      </c>
      <c r="E55" s="7">
        <v>744.59</v>
      </c>
      <c r="F55" s="7">
        <v>759.2</v>
      </c>
      <c r="G55" s="7">
        <v>2150</v>
      </c>
      <c r="H55" s="7">
        <f t="shared" si="2"/>
        <v>1.3988408851422555E-2</v>
      </c>
      <c r="I55" s="7">
        <f>PRODUCT(fact_daily_prices!$F55,fact_daily_prices!$G55)</f>
        <v>1632280</v>
      </c>
      <c r="J55" s="7" t="str">
        <f>_xlfn.XLOOKUP(fact_daily_prices!$B55,dim_company[company_id],dim_company[sector_id])</f>
        <v>SEC01</v>
      </c>
      <c r="K55" s="21" t="str">
        <f>_xlfn.XLOOKUP(fact_daily_prices!$J55,dim_sector[sector_id],dim_sector[sector_name])</f>
        <v>Information Technology</v>
      </c>
      <c r="L55" t="str">
        <v>COMP001-17-03-2025</v>
      </c>
      <c r="M55" t="str">
        <f>_xlfn.CONCAT(A54," ",B54)</f>
        <v>45730 COMP001</v>
      </c>
    </row>
    <row r="56" spans="1:13" x14ac:dyDescent="0.3">
      <c r="A56" s="17">
        <v>45734</v>
      </c>
      <c r="B56" s="18" t="s">
        <v>6</v>
      </c>
      <c r="C56" s="18">
        <v>759.86</v>
      </c>
      <c r="D56" s="18">
        <v>768.23</v>
      </c>
      <c r="E56" s="18">
        <v>751.49</v>
      </c>
      <c r="F56" s="18">
        <v>757.69</v>
      </c>
      <c r="G56" s="18">
        <v>2081</v>
      </c>
      <c r="H56" s="18">
        <f t="shared" si="2"/>
        <v>-1.9928994707597973E-3</v>
      </c>
      <c r="I56" s="18">
        <f>PRODUCT(fact_daily_prices!$F56,fact_daily_prices!$G56)</f>
        <v>1576752.8900000001</v>
      </c>
      <c r="J56" s="18" t="str">
        <f>_xlfn.XLOOKUP(fact_daily_prices!$B56,dim_company[company_id],dim_company[sector_id])</f>
        <v>SEC01</v>
      </c>
      <c r="K56" s="19" t="str">
        <f>_xlfn.XLOOKUP(fact_daily_prices!$J56,dim_sector[sector_id],dim_sector[sector_name])</f>
        <v>Information Technology</v>
      </c>
      <c r="L56" t="str">
        <v>COMP001-18-03-2025</v>
      </c>
      <c r="M56" t="str">
        <f>_xlfn.CONCAT(A55," ",B55)</f>
        <v>45733 COMP001</v>
      </c>
    </row>
    <row r="57" spans="1:13" x14ac:dyDescent="0.3">
      <c r="A57" s="20">
        <v>45735</v>
      </c>
      <c r="B57" s="7" t="s">
        <v>6</v>
      </c>
      <c r="C57" s="7">
        <v>757.52</v>
      </c>
      <c r="D57" s="7">
        <v>767.76</v>
      </c>
      <c r="E57" s="7">
        <v>747.29</v>
      </c>
      <c r="F57" s="7">
        <v>753.96</v>
      </c>
      <c r="G57" s="7">
        <v>47175</v>
      </c>
      <c r="H57" s="7">
        <f t="shared" si="2"/>
        <v>-4.9472120536898749E-3</v>
      </c>
      <c r="I57" s="7">
        <f>PRODUCT(fact_daily_prices!$F57,fact_daily_prices!$G57)</f>
        <v>35568063</v>
      </c>
      <c r="J57" s="7" t="str">
        <f>_xlfn.XLOOKUP(fact_daily_prices!$B57,dim_company[company_id],dim_company[sector_id])</f>
        <v>SEC01</v>
      </c>
      <c r="K57" s="21" t="str">
        <f>_xlfn.XLOOKUP(fact_daily_prices!$J57,dim_sector[sector_id],dim_sector[sector_name])</f>
        <v>Information Technology</v>
      </c>
      <c r="L57" t="str">
        <v>COMP001-19-03-2025</v>
      </c>
      <c r="M57" t="str">
        <f>_xlfn.CONCAT(A56," ",B56)</f>
        <v>45734 COMP001</v>
      </c>
    </row>
    <row r="58" spans="1:13" x14ac:dyDescent="0.3">
      <c r="A58" s="17">
        <v>45736</v>
      </c>
      <c r="B58" s="18" t="s">
        <v>6</v>
      </c>
      <c r="C58" s="18">
        <v>764.17</v>
      </c>
      <c r="D58" s="18">
        <v>773.84</v>
      </c>
      <c r="E58" s="18">
        <v>754.49</v>
      </c>
      <c r="F58" s="18">
        <v>765.43</v>
      </c>
      <c r="G58" s="18">
        <v>46543</v>
      </c>
      <c r="H58" s="18">
        <f t="shared" si="2"/>
        <v>1.4985041088015775E-2</v>
      </c>
      <c r="I58" s="18">
        <f>PRODUCT(fact_daily_prices!$F58,fact_daily_prices!$G58)</f>
        <v>35625408.489999995</v>
      </c>
      <c r="J58" s="18" t="str">
        <f>_xlfn.XLOOKUP(fact_daily_prices!$B58,dim_company[company_id],dim_company[sector_id])</f>
        <v>SEC01</v>
      </c>
      <c r="K58" s="19" t="str">
        <f>_xlfn.XLOOKUP(fact_daily_prices!$J58,dim_sector[sector_id],dim_sector[sector_name])</f>
        <v>Information Technology</v>
      </c>
      <c r="L58" t="str">
        <v>COMP001-20-03-2025</v>
      </c>
      <c r="M58" t="str">
        <f>_xlfn.CONCAT(A57," ",B57)</f>
        <v>45735 COMP001</v>
      </c>
    </row>
    <row r="59" spans="1:13" x14ac:dyDescent="0.3">
      <c r="A59" s="20">
        <v>45737</v>
      </c>
      <c r="B59" s="7" t="s">
        <v>6</v>
      </c>
      <c r="C59" s="7">
        <v>759.24</v>
      </c>
      <c r="D59" s="7">
        <v>771.15</v>
      </c>
      <c r="E59" s="7">
        <v>747.34</v>
      </c>
      <c r="F59" s="7">
        <v>757</v>
      </c>
      <c r="G59" s="7">
        <v>14500</v>
      </c>
      <c r="H59" s="7">
        <f t="shared" si="2"/>
        <v>-1.1136063408190159E-2</v>
      </c>
      <c r="I59" s="7">
        <f>PRODUCT(fact_daily_prices!$F59,fact_daily_prices!$G59)</f>
        <v>10976500</v>
      </c>
      <c r="J59" s="7" t="str">
        <f>_xlfn.XLOOKUP(fact_daily_prices!$B59,dim_company[company_id],dim_company[sector_id])</f>
        <v>SEC01</v>
      </c>
      <c r="K59" s="21" t="str">
        <f>_xlfn.XLOOKUP(fact_daily_prices!$J59,dim_sector[sector_id],dim_sector[sector_name])</f>
        <v>Information Technology</v>
      </c>
      <c r="L59" t="str">
        <v>COMP001-21-03-2025</v>
      </c>
      <c r="M59" t="str">
        <f>_xlfn.CONCAT(A58," ",B58)</f>
        <v>45736 COMP001</v>
      </c>
    </row>
    <row r="60" spans="1:13" x14ac:dyDescent="0.3">
      <c r="A60" s="17">
        <v>45740</v>
      </c>
      <c r="B60" s="18" t="s">
        <v>6</v>
      </c>
      <c r="C60" s="18">
        <v>766.59</v>
      </c>
      <c r="D60" s="18">
        <v>776.48</v>
      </c>
      <c r="E60" s="18">
        <v>756.7</v>
      </c>
      <c r="F60" s="18">
        <v>765.18</v>
      </c>
      <c r="G60" s="18">
        <v>48893</v>
      </c>
      <c r="H60" s="18">
        <f t="shared" si="2"/>
        <v>1.0690295093964753E-2</v>
      </c>
      <c r="I60" s="18">
        <f>PRODUCT(fact_daily_prices!$F60,fact_daily_prices!$G60)</f>
        <v>37411945.739999995</v>
      </c>
      <c r="J60" s="18" t="str">
        <f>_xlfn.XLOOKUP(fact_daily_prices!$B60,dim_company[company_id],dim_company[sector_id])</f>
        <v>SEC01</v>
      </c>
      <c r="K60" s="19" t="str">
        <f>_xlfn.XLOOKUP(fact_daily_prices!$J60,dim_sector[sector_id],dim_sector[sector_name])</f>
        <v>Information Technology</v>
      </c>
      <c r="L60" t="str">
        <v>COMP001-24-03-2025</v>
      </c>
      <c r="M60" t="str">
        <f>_xlfn.CONCAT(A59," ",B59)</f>
        <v>45737 COMP001</v>
      </c>
    </row>
    <row r="61" spans="1:13" x14ac:dyDescent="0.3">
      <c r="A61" s="20">
        <v>45741</v>
      </c>
      <c r="B61" s="7" t="s">
        <v>6</v>
      </c>
      <c r="C61" s="7">
        <v>773.47</v>
      </c>
      <c r="D61" s="7">
        <v>779.45</v>
      </c>
      <c r="E61" s="7">
        <v>767.5</v>
      </c>
      <c r="F61" s="7">
        <v>768.23</v>
      </c>
      <c r="G61" s="7">
        <v>2679</v>
      </c>
      <c r="H61" s="7">
        <f t="shared" si="2"/>
        <v>3.970165184905651E-3</v>
      </c>
      <c r="I61" s="7">
        <f>PRODUCT(fact_daily_prices!$F61,fact_daily_prices!$G61)</f>
        <v>2058088.1700000002</v>
      </c>
      <c r="J61" s="7" t="str">
        <f>_xlfn.XLOOKUP(fact_daily_prices!$B61,dim_company[company_id],dim_company[sector_id])</f>
        <v>SEC01</v>
      </c>
      <c r="K61" s="21" t="str">
        <f>_xlfn.XLOOKUP(fact_daily_prices!$J61,dim_sector[sector_id],dim_sector[sector_name])</f>
        <v>Information Technology</v>
      </c>
      <c r="L61" t="str">
        <v>COMP001-25-03-2025</v>
      </c>
      <c r="M61" t="str">
        <f>_xlfn.CONCAT(A60," ",B60)</f>
        <v>45740 COMP001</v>
      </c>
    </row>
    <row r="62" spans="1:13" x14ac:dyDescent="0.3">
      <c r="A62" s="17">
        <v>45742</v>
      </c>
      <c r="B62" s="18" t="s">
        <v>6</v>
      </c>
      <c r="C62" s="18">
        <v>758.72</v>
      </c>
      <c r="D62" s="18">
        <v>760.84</v>
      </c>
      <c r="E62" s="18">
        <v>756.61</v>
      </c>
      <c r="F62" s="18">
        <v>758.43</v>
      </c>
      <c r="G62" s="18">
        <v>28932</v>
      </c>
      <c r="H62" s="18">
        <f t="shared" si="2"/>
        <v>-1.292142979576239E-2</v>
      </c>
      <c r="I62" s="18">
        <f>PRODUCT(fact_daily_prices!$F62,fact_daily_prices!$G62)</f>
        <v>21942896.759999998</v>
      </c>
      <c r="J62" s="18" t="str">
        <f>_xlfn.XLOOKUP(fact_daily_prices!$B62,dim_company[company_id],dim_company[sector_id])</f>
        <v>SEC01</v>
      </c>
      <c r="K62" s="19" t="str">
        <f>_xlfn.XLOOKUP(fact_daily_prices!$J62,dim_sector[sector_id],dim_sector[sector_name])</f>
        <v>Information Technology</v>
      </c>
      <c r="L62" t="str">
        <v>COMP001-26-03-2025</v>
      </c>
      <c r="M62" t="str">
        <f>_xlfn.CONCAT(A61," ",B61)</f>
        <v>45741 COMP001</v>
      </c>
    </row>
    <row r="63" spans="1:13" x14ac:dyDescent="0.3">
      <c r="A63" s="20">
        <v>45743</v>
      </c>
      <c r="B63" s="7" t="s">
        <v>6</v>
      </c>
      <c r="C63" s="7">
        <v>758.42</v>
      </c>
      <c r="D63" s="7">
        <v>759.65</v>
      </c>
      <c r="E63" s="7">
        <v>757.19</v>
      </c>
      <c r="F63" s="7">
        <v>757.89</v>
      </c>
      <c r="G63" s="7">
        <v>14296</v>
      </c>
      <c r="H63" s="7">
        <f t="shared" si="2"/>
        <v>-7.1250445315278427E-4</v>
      </c>
      <c r="I63" s="7">
        <f>PRODUCT(fact_daily_prices!$F63,fact_daily_prices!$G63)</f>
        <v>10834795.439999999</v>
      </c>
      <c r="J63" s="7" t="str">
        <f>_xlfn.XLOOKUP(fact_daily_prices!$B63,dim_company[company_id],dim_company[sector_id])</f>
        <v>SEC01</v>
      </c>
      <c r="K63" s="21" t="str">
        <f>_xlfn.XLOOKUP(fact_daily_prices!$J63,dim_sector[sector_id],dim_sector[sector_name])</f>
        <v>Information Technology</v>
      </c>
      <c r="L63" t="str">
        <v>COMP001-27-03-2025</v>
      </c>
      <c r="M63" t="str">
        <f>_xlfn.CONCAT(A62," ",B62)</f>
        <v>45742 COMP001</v>
      </c>
    </row>
    <row r="64" spans="1:13" x14ac:dyDescent="0.3">
      <c r="A64" s="17">
        <v>45744</v>
      </c>
      <c r="B64" s="18" t="s">
        <v>6</v>
      </c>
      <c r="C64" s="18">
        <v>762.29</v>
      </c>
      <c r="D64" s="18">
        <v>772.2</v>
      </c>
      <c r="E64" s="18">
        <v>752.39</v>
      </c>
      <c r="F64" s="18">
        <v>767.42</v>
      </c>
      <c r="G64" s="18">
        <v>30124</v>
      </c>
      <c r="H64" s="18">
        <f t="shared" si="2"/>
        <v>1.2418232519350517E-2</v>
      </c>
      <c r="I64" s="18">
        <f>PRODUCT(fact_daily_prices!$F64,fact_daily_prices!$G64)</f>
        <v>23117760.079999998</v>
      </c>
      <c r="J64" s="18" t="str">
        <f>_xlfn.XLOOKUP(fact_daily_prices!$B64,dim_company[company_id],dim_company[sector_id])</f>
        <v>SEC01</v>
      </c>
      <c r="K64" s="19" t="str">
        <f>_xlfn.XLOOKUP(fact_daily_prices!$J64,dim_sector[sector_id],dim_sector[sector_name])</f>
        <v>Information Technology</v>
      </c>
      <c r="L64" t="str">
        <v>COMP001-28-03-2025</v>
      </c>
      <c r="M64" t="str">
        <f>_xlfn.CONCAT(A63," ",B63)</f>
        <v>45743 COMP001</v>
      </c>
    </row>
    <row r="65" spans="1:13" x14ac:dyDescent="0.3">
      <c r="A65" s="20">
        <v>45747</v>
      </c>
      <c r="B65" s="7" t="s">
        <v>6</v>
      </c>
      <c r="C65" s="7">
        <v>778.25</v>
      </c>
      <c r="D65" s="7">
        <v>782.69</v>
      </c>
      <c r="E65" s="7">
        <v>773.82</v>
      </c>
      <c r="F65" s="7">
        <v>775.33</v>
      </c>
      <c r="G65" s="7">
        <v>36247</v>
      </c>
      <c r="H65" s="7">
        <f t="shared" si="2"/>
        <v>1.0202107489714162E-2</v>
      </c>
      <c r="I65" s="7">
        <f>PRODUCT(fact_daily_prices!$F65,fact_daily_prices!$G65)</f>
        <v>28103386.510000002</v>
      </c>
      <c r="J65" s="7" t="str">
        <f>_xlfn.XLOOKUP(fact_daily_prices!$B65,dim_company[company_id],dim_company[sector_id])</f>
        <v>SEC01</v>
      </c>
      <c r="K65" s="21" t="str">
        <f>_xlfn.XLOOKUP(fact_daily_prices!$J65,dim_sector[sector_id],dim_sector[sector_name])</f>
        <v>Information Technology</v>
      </c>
      <c r="L65" t="str">
        <v>COMP001-31-03-2025</v>
      </c>
      <c r="M65" t="str">
        <f>_xlfn.CONCAT(A64," ",B64)</f>
        <v>45744 COMP001</v>
      </c>
    </row>
    <row r="66" spans="1:13" x14ac:dyDescent="0.3">
      <c r="A66" s="17">
        <v>45748</v>
      </c>
      <c r="B66" s="18" t="s">
        <v>6</v>
      </c>
      <c r="C66" s="18">
        <v>793.91</v>
      </c>
      <c r="D66" s="18">
        <v>803.02</v>
      </c>
      <c r="E66" s="18">
        <v>784.8</v>
      </c>
      <c r="F66" s="18">
        <v>790.27</v>
      </c>
      <c r="G66" s="18">
        <v>38220</v>
      </c>
      <c r="H66" s="18">
        <f t="shared" si="2"/>
        <v>1.8904931226036596E-2</v>
      </c>
      <c r="I66" s="18">
        <f>PRODUCT(fact_daily_prices!$F66,fact_daily_prices!$G66)</f>
        <v>30204119.399999999</v>
      </c>
      <c r="J66" s="18" t="str">
        <f>_xlfn.XLOOKUP(fact_daily_prices!$B66,dim_company[company_id],dim_company[sector_id])</f>
        <v>SEC01</v>
      </c>
      <c r="K66" s="19" t="str">
        <f>_xlfn.XLOOKUP(fact_daily_prices!$J66,dim_sector[sector_id],dim_sector[sector_name])</f>
        <v>Information Technology</v>
      </c>
      <c r="L66" t="str">
        <v>COMP001-01-04-2025</v>
      </c>
      <c r="M66" t="str">
        <f>_xlfn.CONCAT(A65," ",B65)</f>
        <v>45747 COMP001</v>
      </c>
    </row>
    <row r="67" spans="1:13" x14ac:dyDescent="0.3">
      <c r="A67" s="20">
        <v>45749</v>
      </c>
      <c r="B67" s="7" t="s">
        <v>6</v>
      </c>
      <c r="C67" s="7">
        <v>792.11</v>
      </c>
      <c r="D67" s="7">
        <v>800.16</v>
      </c>
      <c r="E67" s="7">
        <v>784.05</v>
      </c>
      <c r="F67" s="7">
        <v>793.83</v>
      </c>
      <c r="G67" s="7">
        <v>33580</v>
      </c>
      <c r="H67" s="7">
        <f t="shared" si="2"/>
        <v>4.4845873801696318E-3</v>
      </c>
      <c r="I67" s="7">
        <f>PRODUCT(fact_daily_prices!$F67,fact_daily_prices!$G67)</f>
        <v>26656811.400000002</v>
      </c>
      <c r="J67" s="7" t="str">
        <f>_xlfn.XLOOKUP(fact_daily_prices!$B67,dim_company[company_id],dim_company[sector_id])</f>
        <v>SEC01</v>
      </c>
      <c r="K67" s="21" t="str">
        <f>_xlfn.XLOOKUP(fact_daily_prices!$J67,dim_sector[sector_id],dim_sector[sector_name])</f>
        <v>Information Technology</v>
      </c>
      <c r="L67" t="str">
        <v>COMP001-02-04-2025</v>
      </c>
      <c r="M67" t="str">
        <f>_xlfn.CONCAT(A66," ",B66)</f>
        <v>45748 COMP001</v>
      </c>
    </row>
    <row r="68" spans="1:13" x14ac:dyDescent="0.3">
      <c r="A68" s="17">
        <v>45750</v>
      </c>
      <c r="B68" s="18" t="s">
        <v>6</v>
      </c>
      <c r="C68" s="18">
        <v>833.67</v>
      </c>
      <c r="D68" s="18">
        <v>843.18</v>
      </c>
      <c r="E68" s="18">
        <v>824.16</v>
      </c>
      <c r="F68" s="18">
        <v>828.48</v>
      </c>
      <c r="G68" s="18">
        <v>24289</v>
      </c>
      <c r="H68" s="18">
        <f t="shared" ref="H68:H130" si="3">(F68-F67)/F68</f>
        <v>4.1823580533024304E-2</v>
      </c>
      <c r="I68" s="18">
        <f>PRODUCT(fact_daily_prices!$F68,fact_daily_prices!$G68)</f>
        <v>20122950.719999999</v>
      </c>
      <c r="J68" s="18" t="str">
        <f>_xlfn.XLOOKUP(fact_daily_prices!$B68,dim_company[company_id],dim_company[sector_id])</f>
        <v>SEC01</v>
      </c>
      <c r="K68" s="19" t="str">
        <f>_xlfn.XLOOKUP(fact_daily_prices!$J68,dim_sector[sector_id],dim_sector[sector_name])</f>
        <v>Information Technology</v>
      </c>
      <c r="L68" t="str">
        <v>COMP001-03-04-2025</v>
      </c>
      <c r="M68" t="str">
        <f>_xlfn.CONCAT(A67," ",B67)</f>
        <v>45749 COMP001</v>
      </c>
    </row>
    <row r="69" spans="1:13" x14ac:dyDescent="0.3">
      <c r="A69" s="20">
        <v>45751</v>
      </c>
      <c r="B69" s="7" t="s">
        <v>6</v>
      </c>
      <c r="C69" s="7">
        <v>822.67</v>
      </c>
      <c r="D69" s="7">
        <v>834.42</v>
      </c>
      <c r="E69" s="7">
        <v>810.92</v>
      </c>
      <c r="F69" s="7">
        <v>819.13</v>
      </c>
      <c r="G69" s="7">
        <v>42975</v>
      </c>
      <c r="H69" s="7">
        <f t="shared" si="3"/>
        <v>-1.1414549583094286E-2</v>
      </c>
      <c r="I69" s="7">
        <f>PRODUCT(fact_daily_prices!$F69,fact_daily_prices!$G69)</f>
        <v>35202111.75</v>
      </c>
      <c r="J69" s="7" t="str">
        <f>_xlfn.XLOOKUP(fact_daily_prices!$B69,dim_company[company_id],dim_company[sector_id])</f>
        <v>SEC01</v>
      </c>
      <c r="K69" s="21" t="str">
        <f>_xlfn.XLOOKUP(fact_daily_prices!$J69,dim_sector[sector_id],dim_sector[sector_name])</f>
        <v>Information Technology</v>
      </c>
      <c r="L69" t="str">
        <v>COMP001-04-04-2025</v>
      </c>
      <c r="M69" t="str">
        <f>_xlfn.CONCAT(A68," ",B68)</f>
        <v>45750 COMP001</v>
      </c>
    </row>
    <row r="70" spans="1:13" x14ac:dyDescent="0.3">
      <c r="A70" s="17">
        <v>45754</v>
      </c>
      <c r="B70" s="18" t="s">
        <v>6</v>
      </c>
      <c r="C70" s="18">
        <v>819.26</v>
      </c>
      <c r="D70" s="18">
        <v>825.96</v>
      </c>
      <c r="E70" s="18">
        <v>812.56</v>
      </c>
      <c r="F70" s="18">
        <v>815.22</v>
      </c>
      <c r="G70" s="18">
        <v>39646</v>
      </c>
      <c r="H70" s="18">
        <f t="shared" si="3"/>
        <v>-4.7962513186624077E-3</v>
      </c>
      <c r="I70" s="18">
        <f>PRODUCT(fact_daily_prices!$F70,fact_daily_prices!$G70)</f>
        <v>32320212.120000001</v>
      </c>
      <c r="J70" s="18" t="str">
        <f>_xlfn.XLOOKUP(fact_daily_prices!$B70,dim_company[company_id],dim_company[sector_id])</f>
        <v>SEC01</v>
      </c>
      <c r="K70" s="19" t="str">
        <f>_xlfn.XLOOKUP(fact_daily_prices!$J70,dim_sector[sector_id],dim_sector[sector_name])</f>
        <v>Information Technology</v>
      </c>
      <c r="L70" t="str">
        <v>COMP001-07-04-2025</v>
      </c>
      <c r="M70" t="str">
        <f>_xlfn.CONCAT(A69," ",B69)</f>
        <v>45751 COMP001</v>
      </c>
    </row>
    <row r="71" spans="1:13" x14ac:dyDescent="0.3">
      <c r="A71" s="20">
        <v>45755</v>
      </c>
      <c r="B71" s="7" t="s">
        <v>6</v>
      </c>
      <c r="C71" s="7">
        <v>815.41</v>
      </c>
      <c r="D71" s="7">
        <v>830.17</v>
      </c>
      <c r="E71" s="7">
        <v>800.66</v>
      </c>
      <c r="F71" s="7">
        <v>814.79</v>
      </c>
      <c r="G71" s="7">
        <v>23687</v>
      </c>
      <c r="H71" s="7">
        <f t="shared" si="3"/>
        <v>-5.277433449110368E-4</v>
      </c>
      <c r="I71" s="7">
        <f>PRODUCT(fact_daily_prices!$F71,fact_daily_prices!$G71)</f>
        <v>19299930.73</v>
      </c>
      <c r="J71" s="7" t="str">
        <f>_xlfn.XLOOKUP(fact_daily_prices!$B71,dim_company[company_id],dim_company[sector_id])</f>
        <v>SEC01</v>
      </c>
      <c r="K71" s="21" t="str">
        <f>_xlfn.XLOOKUP(fact_daily_prices!$J71,dim_sector[sector_id],dim_sector[sector_name])</f>
        <v>Information Technology</v>
      </c>
      <c r="L71" t="str">
        <v>COMP001-08-04-2025</v>
      </c>
      <c r="M71" t="str">
        <f>_xlfn.CONCAT(A70," ",B70)</f>
        <v>45754 COMP001</v>
      </c>
    </row>
    <row r="72" spans="1:13" x14ac:dyDescent="0.3">
      <c r="A72" s="17">
        <v>45756</v>
      </c>
      <c r="B72" s="18" t="s">
        <v>6</v>
      </c>
      <c r="C72" s="18">
        <v>803.46</v>
      </c>
      <c r="D72" s="18">
        <v>815.6</v>
      </c>
      <c r="E72" s="18">
        <v>791.33</v>
      </c>
      <c r="F72" s="18">
        <v>800.54</v>
      </c>
      <c r="G72" s="18">
        <v>7833</v>
      </c>
      <c r="H72" s="18">
        <f t="shared" si="3"/>
        <v>-1.7800484672845829E-2</v>
      </c>
      <c r="I72" s="18">
        <f>PRODUCT(fact_daily_prices!$F72,fact_daily_prices!$G72)</f>
        <v>6270629.8199999994</v>
      </c>
      <c r="J72" s="18" t="str">
        <f>_xlfn.XLOOKUP(fact_daily_prices!$B72,dim_company[company_id],dim_company[sector_id])</f>
        <v>SEC01</v>
      </c>
      <c r="K72" s="19" t="str">
        <f>_xlfn.XLOOKUP(fact_daily_prices!$J72,dim_sector[sector_id],dim_sector[sector_name])</f>
        <v>Information Technology</v>
      </c>
      <c r="L72" t="str">
        <v>COMP001-09-04-2025</v>
      </c>
      <c r="M72" t="str">
        <f>_xlfn.CONCAT(A71," ",B71)</f>
        <v>45755 COMP001</v>
      </c>
    </row>
    <row r="73" spans="1:13" x14ac:dyDescent="0.3">
      <c r="A73" s="20">
        <v>45757</v>
      </c>
      <c r="B73" s="7" t="s">
        <v>6</v>
      </c>
      <c r="C73" s="7">
        <v>814.93</v>
      </c>
      <c r="D73" s="7">
        <v>820.62</v>
      </c>
      <c r="E73" s="7">
        <v>809.23</v>
      </c>
      <c r="F73" s="7">
        <v>811.32</v>
      </c>
      <c r="G73" s="7">
        <v>6052</v>
      </c>
      <c r="H73" s="7">
        <f t="shared" si="3"/>
        <v>1.3286989104176016E-2</v>
      </c>
      <c r="I73" s="7">
        <f>PRODUCT(fact_daily_prices!$F73,fact_daily_prices!$G73)</f>
        <v>4910108.6400000006</v>
      </c>
      <c r="J73" s="7" t="str">
        <f>_xlfn.XLOOKUP(fact_daily_prices!$B73,dim_company[company_id],dim_company[sector_id])</f>
        <v>SEC01</v>
      </c>
      <c r="K73" s="21" t="str">
        <f>_xlfn.XLOOKUP(fact_daily_prices!$J73,dim_sector[sector_id],dim_sector[sector_name])</f>
        <v>Information Technology</v>
      </c>
      <c r="L73" t="str">
        <v>COMP001-10-04-2025</v>
      </c>
      <c r="M73" t="str">
        <f>_xlfn.CONCAT(A72," ",B72)</f>
        <v>45756 COMP001</v>
      </c>
    </row>
    <row r="74" spans="1:13" x14ac:dyDescent="0.3">
      <c r="A74" s="17">
        <v>45758</v>
      </c>
      <c r="B74" s="18" t="s">
        <v>6</v>
      </c>
      <c r="C74" s="18">
        <v>817.55</v>
      </c>
      <c r="D74" s="18">
        <v>829.76</v>
      </c>
      <c r="E74" s="18">
        <v>805.35</v>
      </c>
      <c r="F74" s="18">
        <v>820.8</v>
      </c>
      <c r="G74" s="18">
        <v>41770</v>
      </c>
      <c r="H74" s="18">
        <f t="shared" si="3"/>
        <v>1.1549707602339065E-2</v>
      </c>
      <c r="I74" s="18">
        <f>PRODUCT(fact_daily_prices!$F74,fact_daily_prices!$G74)</f>
        <v>34284816</v>
      </c>
      <c r="J74" s="18" t="str">
        <f>_xlfn.XLOOKUP(fact_daily_prices!$B74,dim_company[company_id],dim_company[sector_id])</f>
        <v>SEC01</v>
      </c>
      <c r="K74" s="19" t="str">
        <f>_xlfn.XLOOKUP(fact_daily_prices!$J74,dim_sector[sector_id],dim_sector[sector_name])</f>
        <v>Information Technology</v>
      </c>
      <c r="L74" t="str">
        <v>COMP001-11-04-2025</v>
      </c>
      <c r="M74" t="str">
        <f>_xlfn.CONCAT(A73," ",B73)</f>
        <v>45757 COMP001</v>
      </c>
    </row>
    <row r="75" spans="1:13" x14ac:dyDescent="0.3">
      <c r="A75" s="20">
        <v>45761</v>
      </c>
      <c r="B75" s="7" t="s">
        <v>6</v>
      </c>
      <c r="C75" s="7">
        <v>822.58</v>
      </c>
      <c r="D75" s="7">
        <v>834.67</v>
      </c>
      <c r="E75" s="7">
        <v>810.5</v>
      </c>
      <c r="F75" s="7">
        <v>821.2</v>
      </c>
      <c r="G75" s="7">
        <v>18450</v>
      </c>
      <c r="H75" s="7">
        <f t="shared" si="3"/>
        <v>4.8709206039952621E-4</v>
      </c>
      <c r="I75" s="7">
        <f>PRODUCT(fact_daily_prices!$F75,fact_daily_prices!$G75)</f>
        <v>15151140</v>
      </c>
      <c r="J75" s="7" t="str">
        <f>_xlfn.XLOOKUP(fact_daily_prices!$B75,dim_company[company_id],dim_company[sector_id])</f>
        <v>SEC01</v>
      </c>
      <c r="K75" s="21" t="str">
        <f>_xlfn.XLOOKUP(fact_daily_prices!$J75,dim_sector[sector_id],dim_sector[sector_name])</f>
        <v>Information Technology</v>
      </c>
      <c r="L75" t="str">
        <v>COMP001-14-04-2025</v>
      </c>
      <c r="M75" t="str">
        <f>_xlfn.CONCAT(A74," ",B74)</f>
        <v>45758 COMP001</v>
      </c>
    </row>
    <row r="76" spans="1:13" x14ac:dyDescent="0.3">
      <c r="A76" s="17">
        <v>45762</v>
      </c>
      <c r="B76" s="18" t="s">
        <v>6</v>
      </c>
      <c r="C76" s="18">
        <v>816.91</v>
      </c>
      <c r="D76" s="18">
        <v>819.07</v>
      </c>
      <c r="E76" s="18">
        <v>814.75</v>
      </c>
      <c r="F76" s="18">
        <v>815.88</v>
      </c>
      <c r="G76" s="18">
        <v>39494</v>
      </c>
      <c r="H76" s="18">
        <f t="shared" si="3"/>
        <v>-6.5205667500123181E-3</v>
      </c>
      <c r="I76" s="18">
        <f>PRODUCT(fact_daily_prices!$F76,fact_daily_prices!$G76)</f>
        <v>32222364.719999999</v>
      </c>
      <c r="J76" s="18" t="str">
        <f>_xlfn.XLOOKUP(fact_daily_prices!$B76,dim_company[company_id],dim_company[sector_id])</f>
        <v>SEC01</v>
      </c>
      <c r="K76" s="19" t="str">
        <f>_xlfn.XLOOKUP(fact_daily_prices!$J76,dim_sector[sector_id],dim_sector[sector_name])</f>
        <v>Information Technology</v>
      </c>
      <c r="L76" t="str">
        <v>COMP001-15-04-2025</v>
      </c>
      <c r="M76" t="str">
        <f>_xlfn.CONCAT(A75," ",B75)</f>
        <v>45761 COMP001</v>
      </c>
    </row>
    <row r="77" spans="1:13" x14ac:dyDescent="0.3">
      <c r="A77" s="20">
        <v>45763</v>
      </c>
      <c r="B77" s="7" t="s">
        <v>6</v>
      </c>
      <c r="C77" s="7">
        <v>803.56</v>
      </c>
      <c r="D77" s="7">
        <v>806.89</v>
      </c>
      <c r="E77" s="7">
        <v>800.22</v>
      </c>
      <c r="F77" s="7">
        <v>800.85</v>
      </c>
      <c r="G77" s="7">
        <v>35850</v>
      </c>
      <c r="H77" s="7">
        <f t="shared" si="3"/>
        <v>-1.8767559468065145E-2</v>
      </c>
      <c r="I77" s="7">
        <f>PRODUCT(fact_daily_prices!$F77,fact_daily_prices!$G77)</f>
        <v>28710472.5</v>
      </c>
      <c r="J77" s="7" t="str">
        <f>_xlfn.XLOOKUP(fact_daily_prices!$B77,dim_company[company_id],dim_company[sector_id])</f>
        <v>SEC01</v>
      </c>
      <c r="K77" s="21" t="str">
        <f>_xlfn.XLOOKUP(fact_daily_prices!$J77,dim_sector[sector_id],dim_sector[sector_name])</f>
        <v>Information Technology</v>
      </c>
      <c r="L77" t="str">
        <v>COMP001-16-04-2025</v>
      </c>
      <c r="M77" t="str">
        <f>_xlfn.CONCAT(A76," ",B76)</f>
        <v>45762 COMP001</v>
      </c>
    </row>
    <row r="78" spans="1:13" x14ac:dyDescent="0.3">
      <c r="A78" s="17">
        <v>45764</v>
      </c>
      <c r="B78" s="18" t="s">
        <v>6</v>
      </c>
      <c r="C78" s="18">
        <v>790.58</v>
      </c>
      <c r="D78" s="18">
        <v>798.45</v>
      </c>
      <c r="E78" s="18">
        <v>782.71</v>
      </c>
      <c r="F78" s="18">
        <v>793.11</v>
      </c>
      <c r="G78" s="18">
        <v>24132</v>
      </c>
      <c r="H78" s="18">
        <f t="shared" si="3"/>
        <v>-9.7590498165450058E-3</v>
      </c>
      <c r="I78" s="18">
        <f>PRODUCT(fact_daily_prices!$F78,fact_daily_prices!$G78)</f>
        <v>19139330.52</v>
      </c>
      <c r="J78" s="18" t="str">
        <f>_xlfn.XLOOKUP(fact_daily_prices!$B78,dim_company[company_id],dim_company[sector_id])</f>
        <v>SEC01</v>
      </c>
      <c r="K78" s="19" t="str">
        <f>_xlfn.XLOOKUP(fact_daily_prices!$J78,dim_sector[sector_id],dim_sector[sector_name])</f>
        <v>Information Technology</v>
      </c>
      <c r="L78" t="str">
        <v>COMP001-17-04-2025</v>
      </c>
      <c r="M78" t="str">
        <f>_xlfn.CONCAT(A77," ",B77)</f>
        <v>45763 COMP001</v>
      </c>
    </row>
    <row r="79" spans="1:13" x14ac:dyDescent="0.3">
      <c r="A79" s="20">
        <v>45765</v>
      </c>
      <c r="B79" s="7" t="s">
        <v>6</v>
      </c>
      <c r="C79" s="7">
        <v>807.35</v>
      </c>
      <c r="D79" s="7">
        <v>814.3</v>
      </c>
      <c r="E79" s="7">
        <v>800.4</v>
      </c>
      <c r="F79" s="7">
        <v>800.77</v>
      </c>
      <c r="G79" s="7">
        <v>1417</v>
      </c>
      <c r="H79" s="7">
        <f t="shared" si="3"/>
        <v>9.5657929243103124E-3</v>
      </c>
      <c r="I79" s="7">
        <f>PRODUCT(fact_daily_prices!$F79,fact_daily_prices!$G79)</f>
        <v>1134691.0900000001</v>
      </c>
      <c r="J79" s="7" t="str">
        <f>_xlfn.XLOOKUP(fact_daily_prices!$B79,dim_company[company_id],dim_company[sector_id])</f>
        <v>SEC01</v>
      </c>
      <c r="K79" s="21" t="str">
        <f>_xlfn.XLOOKUP(fact_daily_prices!$J79,dim_sector[sector_id],dim_sector[sector_name])</f>
        <v>Information Technology</v>
      </c>
      <c r="L79" t="str">
        <v>COMP001-18-04-2025</v>
      </c>
      <c r="M79" t="str">
        <f>_xlfn.CONCAT(A78," ",B78)</f>
        <v>45764 COMP001</v>
      </c>
    </row>
    <row r="80" spans="1:13" x14ac:dyDescent="0.3">
      <c r="A80" s="17">
        <v>45768</v>
      </c>
      <c r="B80" s="18" t="s">
        <v>6</v>
      </c>
      <c r="C80" s="18">
        <v>796.94</v>
      </c>
      <c r="D80" s="18">
        <v>802.99</v>
      </c>
      <c r="E80" s="18">
        <v>790.9</v>
      </c>
      <c r="F80" s="18">
        <v>798.82</v>
      </c>
      <c r="G80" s="18">
        <v>18209</v>
      </c>
      <c r="H80" s="18">
        <f t="shared" si="3"/>
        <v>-2.4411006234194583E-3</v>
      </c>
      <c r="I80" s="18">
        <f>PRODUCT(fact_daily_prices!$F80,fact_daily_prices!$G80)</f>
        <v>14545713.380000001</v>
      </c>
      <c r="J80" s="18" t="str">
        <f>_xlfn.XLOOKUP(fact_daily_prices!$B80,dim_company[company_id],dim_company[sector_id])</f>
        <v>SEC01</v>
      </c>
      <c r="K80" s="19" t="str">
        <f>_xlfn.XLOOKUP(fact_daily_prices!$J80,dim_sector[sector_id],dim_sector[sector_name])</f>
        <v>Information Technology</v>
      </c>
      <c r="L80" t="str">
        <v>COMP001-21-04-2025</v>
      </c>
      <c r="M80" t="str">
        <f>_xlfn.CONCAT(A79," ",B79)</f>
        <v>45765 COMP001</v>
      </c>
    </row>
    <row r="81" spans="1:13" x14ac:dyDescent="0.3">
      <c r="A81" s="20">
        <v>45769</v>
      </c>
      <c r="B81" s="7" t="s">
        <v>6</v>
      </c>
      <c r="C81" s="7">
        <v>795.26</v>
      </c>
      <c r="D81" s="7">
        <v>805.8</v>
      </c>
      <c r="E81" s="7">
        <v>784.73</v>
      </c>
      <c r="F81" s="7">
        <v>794.73</v>
      </c>
      <c r="G81" s="7">
        <v>1412</v>
      </c>
      <c r="H81" s="7">
        <f t="shared" si="3"/>
        <v>-5.1464019226655994E-3</v>
      </c>
      <c r="I81" s="7">
        <f>PRODUCT(fact_daily_prices!$F81,fact_daily_prices!$G81)</f>
        <v>1122158.76</v>
      </c>
      <c r="J81" s="7" t="str">
        <f>_xlfn.XLOOKUP(fact_daily_prices!$B81,dim_company[company_id],dim_company[sector_id])</f>
        <v>SEC01</v>
      </c>
      <c r="K81" s="21" t="str">
        <f>_xlfn.XLOOKUP(fact_daily_prices!$J81,dim_sector[sector_id],dim_sector[sector_name])</f>
        <v>Information Technology</v>
      </c>
      <c r="L81" t="str">
        <v>COMP001-22-04-2025</v>
      </c>
      <c r="M81" t="str">
        <f>_xlfn.CONCAT(A80," ",B80)</f>
        <v>45768 COMP001</v>
      </c>
    </row>
    <row r="82" spans="1:13" x14ac:dyDescent="0.3">
      <c r="A82" s="17">
        <v>45770</v>
      </c>
      <c r="B82" s="18" t="s">
        <v>6</v>
      </c>
      <c r="C82" s="18">
        <v>796.92</v>
      </c>
      <c r="D82" s="18">
        <v>800.58</v>
      </c>
      <c r="E82" s="18">
        <v>793.27</v>
      </c>
      <c r="F82" s="18">
        <v>799.95</v>
      </c>
      <c r="G82" s="18">
        <v>24548</v>
      </c>
      <c r="H82" s="18">
        <f t="shared" si="3"/>
        <v>6.5254078379899079E-3</v>
      </c>
      <c r="I82" s="18">
        <f>PRODUCT(fact_daily_prices!$F82,fact_daily_prices!$G82)</f>
        <v>19637172.600000001</v>
      </c>
      <c r="J82" s="18" t="str">
        <f>_xlfn.XLOOKUP(fact_daily_prices!$B82,dim_company[company_id],dim_company[sector_id])</f>
        <v>SEC01</v>
      </c>
      <c r="K82" s="19" t="str">
        <f>_xlfn.XLOOKUP(fact_daily_prices!$J82,dim_sector[sector_id],dim_sector[sector_name])</f>
        <v>Information Technology</v>
      </c>
      <c r="L82" t="str">
        <v>COMP001-23-04-2025</v>
      </c>
      <c r="M82" t="str">
        <f>_xlfn.CONCAT(A81," ",B81)</f>
        <v>45769 COMP001</v>
      </c>
    </row>
    <row r="83" spans="1:13" x14ac:dyDescent="0.3">
      <c r="A83" s="20">
        <v>45771</v>
      </c>
      <c r="B83" s="7" t="s">
        <v>6</v>
      </c>
      <c r="C83" s="7">
        <v>812.75</v>
      </c>
      <c r="D83" s="7">
        <v>816.48</v>
      </c>
      <c r="E83" s="7">
        <v>809.02</v>
      </c>
      <c r="F83" s="7">
        <v>811.9</v>
      </c>
      <c r="G83" s="7">
        <v>19888</v>
      </c>
      <c r="H83" s="7">
        <f t="shared" si="3"/>
        <v>1.4718561399187008E-2</v>
      </c>
      <c r="I83" s="7">
        <f>PRODUCT(fact_daily_prices!$F83,fact_daily_prices!$G83)</f>
        <v>16147067.199999999</v>
      </c>
      <c r="J83" s="7" t="str">
        <f>_xlfn.XLOOKUP(fact_daily_prices!$B83,dim_company[company_id],dim_company[sector_id])</f>
        <v>SEC01</v>
      </c>
      <c r="K83" s="21" t="str">
        <f>_xlfn.XLOOKUP(fact_daily_prices!$J83,dim_sector[sector_id],dim_sector[sector_name])</f>
        <v>Information Technology</v>
      </c>
      <c r="L83" t="str">
        <v>COMP001-24-04-2025</v>
      </c>
      <c r="M83" t="str">
        <f>_xlfn.CONCAT(A82," ",B82)</f>
        <v>45770 COMP001</v>
      </c>
    </row>
    <row r="84" spans="1:13" x14ac:dyDescent="0.3">
      <c r="A84" s="17">
        <v>45772</v>
      </c>
      <c r="B84" s="18" t="s">
        <v>6</v>
      </c>
      <c r="C84" s="18">
        <v>814.67</v>
      </c>
      <c r="D84" s="18">
        <v>824</v>
      </c>
      <c r="E84" s="18">
        <v>805.35</v>
      </c>
      <c r="F84" s="18">
        <v>814.73</v>
      </c>
      <c r="G84" s="18">
        <v>18506</v>
      </c>
      <c r="H84" s="18">
        <f t="shared" si="3"/>
        <v>3.4735433824703162E-3</v>
      </c>
      <c r="I84" s="18">
        <f>PRODUCT(fact_daily_prices!$F84,fact_daily_prices!$G84)</f>
        <v>15077393.380000001</v>
      </c>
      <c r="J84" s="18" t="str">
        <f>_xlfn.XLOOKUP(fact_daily_prices!$B84,dim_company[company_id],dim_company[sector_id])</f>
        <v>SEC01</v>
      </c>
      <c r="K84" s="19" t="str">
        <f>_xlfn.XLOOKUP(fact_daily_prices!$J84,dim_sector[sector_id],dim_sector[sector_name])</f>
        <v>Information Technology</v>
      </c>
      <c r="L84" t="str">
        <v>COMP001-25-04-2025</v>
      </c>
      <c r="M84" t="str">
        <f>_xlfn.CONCAT(A83," ",B83)</f>
        <v>45771 COMP001</v>
      </c>
    </row>
    <row r="85" spans="1:13" x14ac:dyDescent="0.3">
      <c r="A85" s="20">
        <v>45775</v>
      </c>
      <c r="B85" s="7" t="s">
        <v>6</v>
      </c>
      <c r="C85" s="7">
        <v>818.49</v>
      </c>
      <c r="D85" s="7">
        <v>824.91</v>
      </c>
      <c r="E85" s="7">
        <v>812.07</v>
      </c>
      <c r="F85" s="7">
        <v>818.16</v>
      </c>
      <c r="G85" s="7">
        <v>35911</v>
      </c>
      <c r="H85" s="7">
        <f t="shared" si="3"/>
        <v>4.1923340177959694E-3</v>
      </c>
      <c r="I85" s="7">
        <f>PRODUCT(fact_daily_prices!$F85,fact_daily_prices!$G85)</f>
        <v>29380943.759999998</v>
      </c>
      <c r="J85" s="7" t="str">
        <f>_xlfn.XLOOKUP(fact_daily_prices!$B85,dim_company[company_id],dim_company[sector_id])</f>
        <v>SEC01</v>
      </c>
      <c r="K85" s="21" t="str">
        <f>_xlfn.XLOOKUP(fact_daily_prices!$J85,dim_sector[sector_id],dim_sector[sector_name])</f>
        <v>Information Technology</v>
      </c>
      <c r="L85" t="str">
        <v>COMP001-28-04-2025</v>
      </c>
      <c r="M85" t="str">
        <f>_xlfn.CONCAT(A84," ",B84)</f>
        <v>45772 COMP001</v>
      </c>
    </row>
    <row r="86" spans="1:13" x14ac:dyDescent="0.3">
      <c r="A86" s="17">
        <v>45776</v>
      </c>
      <c r="B86" s="18" t="s">
        <v>6</v>
      </c>
      <c r="C86" s="18">
        <v>827.71</v>
      </c>
      <c r="D86" s="18">
        <v>838.3</v>
      </c>
      <c r="E86" s="18">
        <v>817.12</v>
      </c>
      <c r="F86" s="18">
        <v>832.62</v>
      </c>
      <c r="G86" s="18">
        <v>45811</v>
      </c>
      <c r="H86" s="18">
        <f t="shared" si="3"/>
        <v>1.7366866037327996E-2</v>
      </c>
      <c r="I86" s="18">
        <f>PRODUCT(fact_daily_prices!$F86,fact_daily_prices!$G86)</f>
        <v>38143154.82</v>
      </c>
      <c r="J86" s="18" t="str">
        <f>_xlfn.XLOOKUP(fact_daily_prices!$B86,dim_company[company_id],dim_company[sector_id])</f>
        <v>SEC01</v>
      </c>
      <c r="K86" s="19" t="str">
        <f>_xlfn.XLOOKUP(fact_daily_prices!$J86,dim_sector[sector_id],dim_sector[sector_name])</f>
        <v>Information Technology</v>
      </c>
      <c r="L86" t="str">
        <v>COMP001-29-04-2025</v>
      </c>
      <c r="M86" t="str">
        <f>_xlfn.CONCAT(A85," ",B85)</f>
        <v>45775 COMP001</v>
      </c>
    </row>
    <row r="87" spans="1:13" x14ac:dyDescent="0.3">
      <c r="A87" s="20">
        <v>45777</v>
      </c>
      <c r="B87" s="7" t="s">
        <v>6</v>
      </c>
      <c r="C87" s="7">
        <v>831.98</v>
      </c>
      <c r="D87" s="7">
        <v>841.83</v>
      </c>
      <c r="E87" s="7">
        <v>822.13</v>
      </c>
      <c r="F87" s="7">
        <v>834.67</v>
      </c>
      <c r="G87" s="7">
        <v>48320</v>
      </c>
      <c r="H87" s="7">
        <f t="shared" si="3"/>
        <v>2.4560604789916432E-3</v>
      </c>
      <c r="I87" s="7">
        <f>PRODUCT(fact_daily_prices!$F87,fact_daily_prices!$G87)</f>
        <v>40331254.399999999</v>
      </c>
      <c r="J87" s="7" t="str">
        <f>_xlfn.XLOOKUP(fact_daily_prices!$B87,dim_company[company_id],dim_company[sector_id])</f>
        <v>SEC01</v>
      </c>
      <c r="K87" s="21" t="str">
        <f>_xlfn.XLOOKUP(fact_daily_prices!$J87,dim_sector[sector_id],dim_sector[sector_name])</f>
        <v>Information Technology</v>
      </c>
      <c r="L87" t="str">
        <v>COMP001-30-04-2025</v>
      </c>
      <c r="M87" t="str">
        <f>_xlfn.CONCAT(A86," ",B86)</f>
        <v>45776 COMP001</v>
      </c>
    </row>
    <row r="88" spans="1:13" x14ac:dyDescent="0.3">
      <c r="A88" s="17">
        <v>45778</v>
      </c>
      <c r="B88" s="18" t="s">
        <v>6</v>
      </c>
      <c r="C88" s="18">
        <v>830.46</v>
      </c>
      <c r="D88" s="18">
        <v>835.58</v>
      </c>
      <c r="E88" s="18">
        <v>825.34</v>
      </c>
      <c r="F88" s="18">
        <v>831.62</v>
      </c>
      <c r="G88" s="18">
        <v>45912</v>
      </c>
      <c r="H88" s="18">
        <f t="shared" si="3"/>
        <v>-3.6675404631922688E-3</v>
      </c>
      <c r="I88" s="18">
        <f>PRODUCT(fact_daily_prices!$F88,fact_daily_prices!$G88)</f>
        <v>38181337.439999998</v>
      </c>
      <c r="J88" s="18" t="str">
        <f>_xlfn.XLOOKUP(fact_daily_prices!$B88,dim_company[company_id],dim_company[sector_id])</f>
        <v>SEC01</v>
      </c>
      <c r="K88" s="19" t="str">
        <f>_xlfn.XLOOKUP(fact_daily_prices!$J88,dim_sector[sector_id],dim_sector[sector_name])</f>
        <v>Information Technology</v>
      </c>
      <c r="L88" t="str">
        <v>COMP001-01-05-2025</v>
      </c>
      <c r="M88" t="str">
        <f>_xlfn.CONCAT(A87," ",B87)</f>
        <v>45777 COMP001</v>
      </c>
    </row>
    <row r="89" spans="1:13" x14ac:dyDescent="0.3">
      <c r="A89" s="20">
        <v>45779</v>
      </c>
      <c r="B89" s="7" t="s">
        <v>6</v>
      </c>
      <c r="C89" s="7">
        <v>836.21</v>
      </c>
      <c r="D89" s="7">
        <v>847.38</v>
      </c>
      <c r="E89" s="7">
        <v>825.03</v>
      </c>
      <c r="F89" s="7">
        <v>838.9</v>
      </c>
      <c r="G89" s="7">
        <v>1698</v>
      </c>
      <c r="H89" s="7">
        <f t="shared" si="3"/>
        <v>8.6780307545595101E-3</v>
      </c>
      <c r="I89" s="7">
        <f>PRODUCT(fact_daily_prices!$F89,fact_daily_prices!$G89)</f>
        <v>1424452.2</v>
      </c>
      <c r="J89" s="7" t="str">
        <f>_xlfn.XLOOKUP(fact_daily_prices!$B89,dim_company[company_id],dim_company[sector_id])</f>
        <v>SEC01</v>
      </c>
      <c r="K89" s="21" t="str">
        <f>_xlfn.XLOOKUP(fact_daily_prices!$J89,dim_sector[sector_id],dim_sector[sector_name])</f>
        <v>Information Technology</v>
      </c>
      <c r="L89" t="str">
        <v>COMP001-02-05-2025</v>
      </c>
      <c r="M89" t="str">
        <f>_xlfn.CONCAT(A88," ",B88)</f>
        <v>45778 COMP001</v>
      </c>
    </row>
    <row r="90" spans="1:13" x14ac:dyDescent="0.3">
      <c r="A90" s="17">
        <v>45782</v>
      </c>
      <c r="B90" s="18" t="s">
        <v>6</v>
      </c>
      <c r="C90" s="18">
        <v>836.78</v>
      </c>
      <c r="D90" s="18">
        <v>838.06</v>
      </c>
      <c r="E90" s="18">
        <v>835.5</v>
      </c>
      <c r="F90" s="18">
        <v>836.39</v>
      </c>
      <c r="G90" s="18">
        <v>8400</v>
      </c>
      <c r="H90" s="18">
        <f t="shared" si="3"/>
        <v>-3.000992360023423E-3</v>
      </c>
      <c r="I90" s="18">
        <f>PRODUCT(fact_daily_prices!$F90,fact_daily_prices!$G90)</f>
        <v>7025676</v>
      </c>
      <c r="J90" s="18" t="str">
        <f>_xlfn.XLOOKUP(fact_daily_prices!$B90,dim_company[company_id],dim_company[sector_id])</f>
        <v>SEC01</v>
      </c>
      <c r="K90" s="19" t="str">
        <f>_xlfn.XLOOKUP(fact_daily_prices!$J90,dim_sector[sector_id],dim_sector[sector_name])</f>
        <v>Information Technology</v>
      </c>
      <c r="L90" t="str">
        <v>COMP001-05-05-2025</v>
      </c>
      <c r="M90" t="str">
        <f>_xlfn.CONCAT(A89," ",B89)</f>
        <v>45779 COMP001</v>
      </c>
    </row>
    <row r="91" spans="1:13" x14ac:dyDescent="0.3">
      <c r="A91" s="20">
        <v>45783</v>
      </c>
      <c r="B91" s="7" t="s">
        <v>6</v>
      </c>
      <c r="C91" s="7">
        <v>836.82</v>
      </c>
      <c r="D91" s="7">
        <v>846.83</v>
      </c>
      <c r="E91" s="7">
        <v>826.81</v>
      </c>
      <c r="F91" s="7">
        <v>832.72</v>
      </c>
      <c r="G91" s="7">
        <v>18101</v>
      </c>
      <c r="H91" s="7">
        <f t="shared" si="3"/>
        <v>-4.407243731386251E-3</v>
      </c>
      <c r="I91" s="7">
        <f>PRODUCT(fact_daily_prices!$F91,fact_daily_prices!$G91)</f>
        <v>15073064.720000001</v>
      </c>
      <c r="J91" s="7" t="str">
        <f>_xlfn.XLOOKUP(fact_daily_prices!$B91,dim_company[company_id],dim_company[sector_id])</f>
        <v>SEC01</v>
      </c>
      <c r="K91" s="21" t="str">
        <f>_xlfn.XLOOKUP(fact_daily_prices!$J91,dim_sector[sector_id],dim_sector[sector_name])</f>
        <v>Information Technology</v>
      </c>
      <c r="L91" t="str">
        <v>COMP001-06-05-2025</v>
      </c>
      <c r="M91" t="str">
        <f>_xlfn.CONCAT(A90," ",B90)</f>
        <v>45782 COMP001</v>
      </c>
    </row>
    <row r="92" spans="1:13" x14ac:dyDescent="0.3">
      <c r="A92" s="17">
        <v>45784</v>
      </c>
      <c r="B92" s="18" t="s">
        <v>6</v>
      </c>
      <c r="C92" s="18">
        <v>848.04</v>
      </c>
      <c r="D92" s="18">
        <v>857.85</v>
      </c>
      <c r="E92" s="18">
        <v>838.23</v>
      </c>
      <c r="F92" s="18">
        <v>846.4</v>
      </c>
      <c r="G92" s="18">
        <v>6486</v>
      </c>
      <c r="H92" s="18">
        <f t="shared" si="3"/>
        <v>1.6162570888468751E-2</v>
      </c>
      <c r="I92" s="18">
        <f>PRODUCT(fact_daily_prices!$F92,fact_daily_prices!$G92)</f>
        <v>5489750.3999999994</v>
      </c>
      <c r="J92" s="18" t="str">
        <f>_xlfn.XLOOKUP(fact_daily_prices!$B92,dim_company[company_id],dim_company[sector_id])</f>
        <v>SEC01</v>
      </c>
      <c r="K92" s="19" t="str">
        <f>_xlfn.XLOOKUP(fact_daily_prices!$J92,dim_sector[sector_id],dim_sector[sector_name])</f>
        <v>Information Technology</v>
      </c>
      <c r="L92" t="str">
        <v>COMP001-07-05-2025</v>
      </c>
      <c r="M92" t="str">
        <f>_xlfn.CONCAT(A91," ",B91)</f>
        <v>45783 COMP001</v>
      </c>
    </row>
    <row r="93" spans="1:13" x14ac:dyDescent="0.3">
      <c r="A93" s="20">
        <v>45785</v>
      </c>
      <c r="B93" s="7" t="s">
        <v>6</v>
      </c>
      <c r="C93" s="7">
        <v>843.42</v>
      </c>
      <c r="D93" s="7">
        <v>844.89</v>
      </c>
      <c r="E93" s="7">
        <v>841.94</v>
      </c>
      <c r="F93" s="7">
        <v>843.49</v>
      </c>
      <c r="G93" s="7">
        <v>38259</v>
      </c>
      <c r="H93" s="7">
        <f t="shared" si="3"/>
        <v>-3.449951985204292E-3</v>
      </c>
      <c r="I93" s="7">
        <f>PRODUCT(fact_daily_prices!$F93,fact_daily_prices!$G93)</f>
        <v>32271083.91</v>
      </c>
      <c r="J93" s="7" t="str">
        <f>_xlfn.XLOOKUP(fact_daily_prices!$B93,dim_company[company_id],dim_company[sector_id])</f>
        <v>SEC01</v>
      </c>
      <c r="K93" s="21" t="str">
        <f>_xlfn.XLOOKUP(fact_daily_prices!$J93,dim_sector[sector_id],dim_sector[sector_name])</f>
        <v>Information Technology</v>
      </c>
      <c r="L93" t="str">
        <v>COMP001-08-05-2025</v>
      </c>
      <c r="M93" t="str">
        <f>_xlfn.CONCAT(A92," ",B92)</f>
        <v>45784 COMP001</v>
      </c>
    </row>
    <row r="94" spans="1:13" x14ac:dyDescent="0.3">
      <c r="A94" s="17">
        <v>45786</v>
      </c>
      <c r="B94" s="18" t="s">
        <v>6</v>
      </c>
      <c r="C94" s="18">
        <v>813.13</v>
      </c>
      <c r="D94" s="18">
        <v>821.3</v>
      </c>
      <c r="E94" s="18">
        <v>804.96</v>
      </c>
      <c r="F94" s="18">
        <v>815.93</v>
      </c>
      <c r="G94" s="18">
        <v>41419</v>
      </c>
      <c r="H94" s="18">
        <f t="shared" si="3"/>
        <v>-3.3777407375632791E-2</v>
      </c>
      <c r="I94" s="18">
        <f>PRODUCT(fact_daily_prices!$F94,fact_daily_prices!$G94)</f>
        <v>33795004.669999994</v>
      </c>
      <c r="J94" s="18" t="str">
        <f>_xlfn.XLOOKUP(fact_daily_prices!$B94,dim_company[company_id],dim_company[sector_id])</f>
        <v>SEC01</v>
      </c>
      <c r="K94" s="19" t="str">
        <f>_xlfn.XLOOKUP(fact_daily_prices!$J94,dim_sector[sector_id],dim_sector[sector_name])</f>
        <v>Information Technology</v>
      </c>
      <c r="L94" t="str">
        <v>COMP001-09-05-2025</v>
      </c>
      <c r="M94" t="str">
        <f>_xlfn.CONCAT(A93," ",B93)</f>
        <v>45785 COMP001</v>
      </c>
    </row>
    <row r="95" spans="1:13" x14ac:dyDescent="0.3">
      <c r="A95" s="20">
        <v>45789</v>
      </c>
      <c r="B95" s="7" t="s">
        <v>6</v>
      </c>
      <c r="C95" s="7">
        <v>821.04</v>
      </c>
      <c r="D95" s="7">
        <v>835.2</v>
      </c>
      <c r="E95" s="7">
        <v>806.88</v>
      </c>
      <c r="F95" s="7">
        <v>819.69</v>
      </c>
      <c r="G95" s="7">
        <v>2062</v>
      </c>
      <c r="H95" s="7">
        <f t="shared" si="3"/>
        <v>4.5871000012201006E-3</v>
      </c>
      <c r="I95" s="7">
        <f>PRODUCT(fact_daily_prices!$F95,fact_daily_prices!$G95)</f>
        <v>1690200.78</v>
      </c>
      <c r="J95" s="7" t="str">
        <f>_xlfn.XLOOKUP(fact_daily_prices!$B95,dim_company[company_id],dim_company[sector_id])</f>
        <v>SEC01</v>
      </c>
      <c r="K95" s="21" t="str">
        <f>_xlfn.XLOOKUP(fact_daily_prices!$J95,dim_sector[sector_id],dim_sector[sector_name])</f>
        <v>Information Technology</v>
      </c>
      <c r="L95" t="str">
        <v>COMP001-12-05-2025</v>
      </c>
      <c r="M95" t="str">
        <f>_xlfn.CONCAT(A94," ",B94)</f>
        <v>45786 COMP001</v>
      </c>
    </row>
    <row r="96" spans="1:13" x14ac:dyDescent="0.3">
      <c r="A96" s="17">
        <v>45790</v>
      </c>
      <c r="B96" s="18" t="s">
        <v>6</v>
      </c>
      <c r="C96" s="18">
        <v>812.52</v>
      </c>
      <c r="D96" s="18">
        <v>817.3</v>
      </c>
      <c r="E96" s="18">
        <v>807.74</v>
      </c>
      <c r="F96" s="18">
        <v>815.81</v>
      </c>
      <c r="G96" s="18">
        <v>12174</v>
      </c>
      <c r="H96" s="18">
        <f t="shared" si="3"/>
        <v>-4.7560093649257904E-3</v>
      </c>
      <c r="I96" s="18">
        <f>PRODUCT(fact_daily_prices!$F96,fact_daily_prices!$G96)</f>
        <v>9931670.9399999995</v>
      </c>
      <c r="J96" s="18" t="str">
        <f>_xlfn.XLOOKUP(fact_daily_prices!$B96,dim_company[company_id],dim_company[sector_id])</f>
        <v>SEC01</v>
      </c>
      <c r="K96" s="19" t="str">
        <f>_xlfn.XLOOKUP(fact_daily_prices!$J96,dim_sector[sector_id],dim_sector[sector_name])</f>
        <v>Information Technology</v>
      </c>
      <c r="L96" t="str">
        <v>COMP001-13-05-2025</v>
      </c>
      <c r="M96" t="str">
        <f>_xlfn.CONCAT(A95," ",B95)</f>
        <v>45789 COMP001</v>
      </c>
    </row>
    <row r="97" spans="1:13" x14ac:dyDescent="0.3">
      <c r="A97" s="20">
        <v>45791</v>
      </c>
      <c r="B97" s="7" t="s">
        <v>6</v>
      </c>
      <c r="C97" s="7">
        <v>820.68</v>
      </c>
      <c r="D97" s="7">
        <v>829.23</v>
      </c>
      <c r="E97" s="7">
        <v>812.13</v>
      </c>
      <c r="F97" s="7">
        <v>813.03</v>
      </c>
      <c r="G97" s="7">
        <v>24714</v>
      </c>
      <c r="H97" s="7">
        <f t="shared" si="3"/>
        <v>-3.419308020614212E-3</v>
      </c>
      <c r="I97" s="7">
        <f>PRODUCT(fact_daily_prices!$F97,fact_daily_prices!$G97)</f>
        <v>20093223.419999998</v>
      </c>
      <c r="J97" s="7" t="str">
        <f>_xlfn.XLOOKUP(fact_daily_prices!$B97,dim_company[company_id],dim_company[sector_id])</f>
        <v>SEC01</v>
      </c>
      <c r="K97" s="21" t="str">
        <f>_xlfn.XLOOKUP(fact_daily_prices!$J97,dim_sector[sector_id],dim_sector[sector_name])</f>
        <v>Information Technology</v>
      </c>
      <c r="L97" t="str">
        <v>COMP001-14-05-2025</v>
      </c>
      <c r="M97" t="str">
        <f>_xlfn.CONCAT(A96," ",B96)</f>
        <v>45790 COMP001</v>
      </c>
    </row>
    <row r="98" spans="1:13" x14ac:dyDescent="0.3">
      <c r="A98" s="17">
        <v>45792</v>
      </c>
      <c r="B98" s="18" t="s">
        <v>6</v>
      </c>
      <c r="C98" s="18">
        <v>822.27</v>
      </c>
      <c r="D98" s="18">
        <v>832.4</v>
      </c>
      <c r="E98" s="18">
        <v>812.14</v>
      </c>
      <c r="F98" s="18">
        <v>817.88</v>
      </c>
      <c r="G98" s="18">
        <v>7801</v>
      </c>
      <c r="H98" s="18">
        <f t="shared" si="3"/>
        <v>5.9299652760796484E-3</v>
      </c>
      <c r="I98" s="18">
        <f>PRODUCT(fact_daily_prices!$F98,fact_daily_prices!$G98)</f>
        <v>6380281.8799999999</v>
      </c>
      <c r="J98" s="18" t="str">
        <f>_xlfn.XLOOKUP(fact_daily_prices!$B98,dim_company[company_id],dim_company[sector_id])</f>
        <v>SEC01</v>
      </c>
      <c r="K98" s="19" t="str">
        <f>_xlfn.XLOOKUP(fact_daily_prices!$J98,dim_sector[sector_id],dim_sector[sector_name])</f>
        <v>Information Technology</v>
      </c>
      <c r="L98" t="str">
        <v>COMP001-15-05-2025</v>
      </c>
      <c r="M98" t="str">
        <f>_xlfn.CONCAT(A97," ",B97)</f>
        <v>45791 COMP001</v>
      </c>
    </row>
    <row r="99" spans="1:13" x14ac:dyDescent="0.3">
      <c r="A99" s="20">
        <v>45793</v>
      </c>
      <c r="B99" s="7" t="s">
        <v>6</v>
      </c>
      <c r="C99" s="7">
        <v>818.66</v>
      </c>
      <c r="D99" s="7">
        <v>832.18</v>
      </c>
      <c r="E99" s="7">
        <v>805.13</v>
      </c>
      <c r="F99" s="7">
        <v>816.37</v>
      </c>
      <c r="G99" s="7">
        <v>18337</v>
      </c>
      <c r="H99" s="7">
        <f t="shared" si="3"/>
        <v>-1.8496515060572912E-3</v>
      </c>
      <c r="I99" s="7">
        <f>PRODUCT(fact_daily_prices!$F99,fact_daily_prices!$G99)</f>
        <v>14969776.689999999</v>
      </c>
      <c r="J99" s="7" t="str">
        <f>_xlfn.XLOOKUP(fact_daily_prices!$B99,dim_company[company_id],dim_company[sector_id])</f>
        <v>SEC01</v>
      </c>
      <c r="K99" s="21" t="str">
        <f>_xlfn.XLOOKUP(fact_daily_prices!$J99,dim_sector[sector_id],dim_sector[sector_name])</f>
        <v>Information Technology</v>
      </c>
      <c r="L99" t="str">
        <v>COMP001-16-05-2025</v>
      </c>
      <c r="M99" t="str">
        <f>_xlfn.CONCAT(A98," ",B98)</f>
        <v>45792 COMP001</v>
      </c>
    </row>
    <row r="100" spans="1:13" x14ac:dyDescent="0.3">
      <c r="A100" s="17">
        <v>45796</v>
      </c>
      <c r="B100" s="18" t="s">
        <v>6</v>
      </c>
      <c r="C100" s="18">
        <v>823.01</v>
      </c>
      <c r="D100" s="18">
        <v>828.9</v>
      </c>
      <c r="E100" s="18">
        <v>817.12</v>
      </c>
      <c r="F100" s="18">
        <v>818.78</v>
      </c>
      <c r="G100" s="18">
        <v>2542</v>
      </c>
      <c r="H100" s="18">
        <f t="shared" si="3"/>
        <v>2.9434036004787221E-3</v>
      </c>
      <c r="I100" s="18">
        <f>PRODUCT(fact_daily_prices!$F100,fact_daily_prices!$G100)</f>
        <v>2081338.76</v>
      </c>
      <c r="J100" s="18" t="str">
        <f>_xlfn.XLOOKUP(fact_daily_prices!$B100,dim_company[company_id],dim_company[sector_id])</f>
        <v>SEC01</v>
      </c>
      <c r="K100" s="19" t="str">
        <f>_xlfn.XLOOKUP(fact_daily_prices!$J100,dim_sector[sector_id],dim_sector[sector_name])</f>
        <v>Information Technology</v>
      </c>
      <c r="L100" t="str">
        <v>COMP001-19-05-2025</v>
      </c>
      <c r="M100" t="str">
        <f>_xlfn.CONCAT(A99," ",B99)</f>
        <v>45793 COMP001</v>
      </c>
    </row>
    <row r="101" spans="1:13" x14ac:dyDescent="0.3">
      <c r="A101" s="20">
        <v>45797</v>
      </c>
      <c r="B101" s="7" t="s">
        <v>6</v>
      </c>
      <c r="C101" s="7">
        <v>799.99</v>
      </c>
      <c r="D101" s="7">
        <v>805.17</v>
      </c>
      <c r="E101" s="7">
        <v>794.81</v>
      </c>
      <c r="F101" s="7">
        <v>798.37</v>
      </c>
      <c r="G101" s="7">
        <v>28569</v>
      </c>
      <c r="H101" s="7">
        <f t="shared" si="3"/>
        <v>-2.5564587847739729E-2</v>
      </c>
      <c r="I101" s="7">
        <f>PRODUCT(fact_daily_prices!$F101,fact_daily_prices!$G101)</f>
        <v>22808632.530000001</v>
      </c>
      <c r="J101" s="7" t="str">
        <f>_xlfn.XLOOKUP(fact_daily_prices!$B101,dim_company[company_id],dim_company[sector_id])</f>
        <v>SEC01</v>
      </c>
      <c r="K101" s="21" t="str">
        <f>_xlfn.XLOOKUP(fact_daily_prices!$J101,dim_sector[sector_id],dim_sector[sector_name])</f>
        <v>Information Technology</v>
      </c>
      <c r="L101" t="str">
        <v>COMP001-20-05-2025</v>
      </c>
      <c r="M101" t="str">
        <f>_xlfn.CONCAT(A100," ",B100)</f>
        <v>45796 COMP001</v>
      </c>
    </row>
    <row r="102" spans="1:13" x14ac:dyDescent="0.3">
      <c r="A102" s="17">
        <v>45798</v>
      </c>
      <c r="B102" s="18" t="s">
        <v>6</v>
      </c>
      <c r="C102" s="18">
        <v>795.01</v>
      </c>
      <c r="D102" s="18">
        <v>803.2</v>
      </c>
      <c r="E102" s="18">
        <v>786.81</v>
      </c>
      <c r="F102" s="18">
        <v>789.13</v>
      </c>
      <c r="G102" s="18">
        <v>23556</v>
      </c>
      <c r="H102" s="18">
        <f t="shared" si="3"/>
        <v>-1.1709097360384233E-2</v>
      </c>
      <c r="I102" s="18">
        <f>PRODUCT(fact_daily_prices!$F102,fact_daily_prices!$G102)</f>
        <v>18588746.280000001</v>
      </c>
      <c r="J102" s="18" t="str">
        <f>_xlfn.XLOOKUP(fact_daily_prices!$B102,dim_company[company_id],dim_company[sector_id])</f>
        <v>SEC01</v>
      </c>
      <c r="K102" s="19" t="str">
        <f>_xlfn.XLOOKUP(fact_daily_prices!$J102,dim_sector[sector_id],dim_sector[sector_name])</f>
        <v>Information Technology</v>
      </c>
      <c r="L102" t="str">
        <v>COMP001-21-05-2025</v>
      </c>
      <c r="M102" t="str">
        <f>_xlfn.CONCAT(A101," ",B101)</f>
        <v>45797 COMP001</v>
      </c>
    </row>
    <row r="103" spans="1:13" x14ac:dyDescent="0.3">
      <c r="A103" s="20">
        <v>45799</v>
      </c>
      <c r="B103" s="7" t="s">
        <v>6</v>
      </c>
      <c r="C103" s="7">
        <v>796.15</v>
      </c>
      <c r="D103" s="7">
        <v>804.76</v>
      </c>
      <c r="E103" s="7">
        <v>787.55</v>
      </c>
      <c r="F103" s="7">
        <v>803.4</v>
      </c>
      <c r="G103" s="7">
        <v>14807</v>
      </c>
      <c r="H103" s="7">
        <f t="shared" si="3"/>
        <v>1.7762011451331817E-2</v>
      </c>
      <c r="I103" s="7">
        <f>PRODUCT(fact_daily_prices!$F103,fact_daily_prices!$G103)</f>
        <v>11895943.799999999</v>
      </c>
      <c r="J103" s="7" t="str">
        <f>_xlfn.XLOOKUP(fact_daily_prices!$B103,dim_company[company_id],dim_company[sector_id])</f>
        <v>SEC01</v>
      </c>
      <c r="K103" s="21" t="str">
        <f>_xlfn.XLOOKUP(fact_daily_prices!$J103,dim_sector[sector_id],dim_sector[sector_name])</f>
        <v>Information Technology</v>
      </c>
      <c r="L103" t="str">
        <v>COMP001-22-05-2025</v>
      </c>
      <c r="M103" t="str">
        <f>_xlfn.CONCAT(A102," ",B102)</f>
        <v>45798 COMP001</v>
      </c>
    </row>
    <row r="104" spans="1:13" x14ac:dyDescent="0.3">
      <c r="A104" s="17">
        <v>45800</v>
      </c>
      <c r="B104" s="18" t="s">
        <v>6</v>
      </c>
      <c r="C104" s="18">
        <v>803.26</v>
      </c>
      <c r="D104" s="18">
        <v>817.27</v>
      </c>
      <c r="E104" s="18">
        <v>789.26</v>
      </c>
      <c r="F104" s="18">
        <v>803.4</v>
      </c>
      <c r="G104" s="18">
        <v>27256</v>
      </c>
      <c r="H104" s="18">
        <f t="shared" si="3"/>
        <v>0</v>
      </c>
      <c r="I104" s="18">
        <f>PRODUCT(fact_daily_prices!$F104,fact_daily_prices!$G104)</f>
        <v>21897470.399999999</v>
      </c>
      <c r="J104" s="18" t="str">
        <f>_xlfn.XLOOKUP(fact_daily_prices!$B104,dim_company[company_id],dim_company[sector_id])</f>
        <v>SEC01</v>
      </c>
      <c r="K104" s="19" t="str">
        <f>_xlfn.XLOOKUP(fact_daily_prices!$J104,dim_sector[sector_id],dim_sector[sector_name])</f>
        <v>Information Technology</v>
      </c>
      <c r="L104" t="str">
        <v>COMP001-23-05-2025</v>
      </c>
      <c r="M104" t="str">
        <f>_xlfn.CONCAT(A103," ",B103)</f>
        <v>45799 COMP001</v>
      </c>
    </row>
    <row r="105" spans="1:13" x14ac:dyDescent="0.3">
      <c r="A105" s="20">
        <v>45803</v>
      </c>
      <c r="B105" s="7" t="s">
        <v>6</v>
      </c>
      <c r="C105" s="7">
        <v>786.52</v>
      </c>
      <c r="D105" s="7">
        <v>801.74</v>
      </c>
      <c r="E105" s="7">
        <v>771.31</v>
      </c>
      <c r="F105" s="7">
        <v>786.83</v>
      </c>
      <c r="G105" s="7">
        <v>26731</v>
      </c>
      <c r="H105" s="7">
        <f t="shared" si="3"/>
        <v>-2.1059186863744309E-2</v>
      </c>
      <c r="I105" s="7">
        <f>PRODUCT(fact_daily_prices!$F105,fact_daily_prices!$G105)</f>
        <v>21032752.73</v>
      </c>
      <c r="J105" s="7" t="str">
        <f>_xlfn.XLOOKUP(fact_daily_prices!$B105,dim_company[company_id],dim_company[sector_id])</f>
        <v>SEC01</v>
      </c>
      <c r="K105" s="21" t="str">
        <f>_xlfn.XLOOKUP(fact_daily_prices!$J105,dim_sector[sector_id],dim_sector[sector_name])</f>
        <v>Information Technology</v>
      </c>
      <c r="L105" t="str">
        <v>COMP001-26-05-2025</v>
      </c>
      <c r="M105" t="str">
        <f>_xlfn.CONCAT(A104," ",B104)</f>
        <v>45800 COMP001</v>
      </c>
    </row>
    <row r="106" spans="1:13" x14ac:dyDescent="0.3">
      <c r="A106" s="17">
        <v>45804</v>
      </c>
      <c r="B106" s="18" t="s">
        <v>6</v>
      </c>
      <c r="C106" s="18">
        <v>773.67</v>
      </c>
      <c r="D106" s="18">
        <v>781.89</v>
      </c>
      <c r="E106" s="18">
        <v>765.46</v>
      </c>
      <c r="F106" s="18">
        <v>776.45</v>
      </c>
      <c r="G106" s="18">
        <v>35578</v>
      </c>
      <c r="H106" s="18">
        <f t="shared" si="3"/>
        <v>-1.3368536286946996E-2</v>
      </c>
      <c r="I106" s="18">
        <f>PRODUCT(fact_daily_prices!$F106,fact_daily_prices!$G106)</f>
        <v>27624538.100000001</v>
      </c>
      <c r="J106" s="18" t="str">
        <f>_xlfn.XLOOKUP(fact_daily_prices!$B106,dim_company[company_id],dim_company[sector_id])</f>
        <v>SEC01</v>
      </c>
      <c r="K106" s="19" t="str">
        <f>_xlfn.XLOOKUP(fact_daily_prices!$J106,dim_sector[sector_id],dim_sector[sector_name])</f>
        <v>Information Technology</v>
      </c>
      <c r="L106" t="str">
        <v>COMP001-27-05-2025</v>
      </c>
      <c r="M106" t="str">
        <f>_xlfn.CONCAT(A105," ",B105)</f>
        <v>45803 COMP001</v>
      </c>
    </row>
    <row r="107" spans="1:13" x14ac:dyDescent="0.3">
      <c r="A107" s="20">
        <v>45805</v>
      </c>
      <c r="B107" s="7" t="s">
        <v>6</v>
      </c>
      <c r="C107" s="7">
        <v>768.66</v>
      </c>
      <c r="D107" s="7">
        <v>778.91</v>
      </c>
      <c r="E107" s="7">
        <v>758.42</v>
      </c>
      <c r="F107" s="7">
        <v>766.99</v>
      </c>
      <c r="G107" s="7">
        <v>26289</v>
      </c>
      <c r="H107" s="7">
        <f t="shared" si="3"/>
        <v>-1.2333928734403364E-2</v>
      </c>
      <c r="I107" s="7">
        <f>PRODUCT(fact_daily_prices!$F107,fact_daily_prices!$G107)</f>
        <v>20163400.109999999</v>
      </c>
      <c r="J107" s="7" t="str">
        <f>_xlfn.XLOOKUP(fact_daily_prices!$B107,dim_company[company_id],dim_company[sector_id])</f>
        <v>SEC01</v>
      </c>
      <c r="K107" s="21" t="str">
        <f>_xlfn.XLOOKUP(fact_daily_prices!$J107,dim_sector[sector_id],dim_sector[sector_name])</f>
        <v>Information Technology</v>
      </c>
      <c r="L107" t="str">
        <v>COMP001-28-05-2025</v>
      </c>
      <c r="M107" t="str">
        <f>_xlfn.CONCAT(A106," ",B106)</f>
        <v>45804 COMP001</v>
      </c>
    </row>
    <row r="108" spans="1:13" x14ac:dyDescent="0.3">
      <c r="A108" s="17">
        <v>45806</v>
      </c>
      <c r="B108" s="18" t="s">
        <v>6</v>
      </c>
      <c r="C108" s="18">
        <v>774.27</v>
      </c>
      <c r="D108" s="18">
        <v>782.08</v>
      </c>
      <c r="E108" s="18">
        <v>766.45</v>
      </c>
      <c r="F108" s="18">
        <v>768.16</v>
      </c>
      <c r="G108" s="18">
        <v>45482</v>
      </c>
      <c r="H108" s="18">
        <f t="shared" si="3"/>
        <v>1.5231201832950937E-3</v>
      </c>
      <c r="I108" s="18">
        <f>PRODUCT(fact_daily_prices!$F108,fact_daily_prices!$G108)</f>
        <v>34937453.119999997</v>
      </c>
      <c r="J108" s="18" t="str">
        <f>_xlfn.XLOOKUP(fact_daily_prices!$B108,dim_company[company_id],dim_company[sector_id])</f>
        <v>SEC01</v>
      </c>
      <c r="K108" s="19" t="str">
        <f>_xlfn.XLOOKUP(fact_daily_prices!$J108,dim_sector[sector_id],dim_sector[sector_name])</f>
        <v>Information Technology</v>
      </c>
      <c r="L108" t="str">
        <v>COMP001-29-05-2025</v>
      </c>
      <c r="M108" t="str">
        <f>_xlfn.CONCAT(A107," ",B107)</f>
        <v>45805 COMP001</v>
      </c>
    </row>
    <row r="109" spans="1:13" x14ac:dyDescent="0.3">
      <c r="A109" s="20">
        <v>45807</v>
      </c>
      <c r="B109" s="7" t="s">
        <v>6</v>
      </c>
      <c r="C109" s="7">
        <v>763.01</v>
      </c>
      <c r="D109" s="7">
        <v>768.04</v>
      </c>
      <c r="E109" s="7">
        <v>757.97</v>
      </c>
      <c r="F109" s="7">
        <v>764.17</v>
      </c>
      <c r="G109" s="7">
        <v>4709</v>
      </c>
      <c r="H109" s="7">
        <f t="shared" si="3"/>
        <v>-5.2213512700053774E-3</v>
      </c>
      <c r="I109" s="7">
        <f>PRODUCT(fact_daily_prices!$F109,fact_daily_prices!$G109)</f>
        <v>3598476.53</v>
      </c>
      <c r="J109" s="7" t="str">
        <f>_xlfn.XLOOKUP(fact_daily_prices!$B109,dim_company[company_id],dim_company[sector_id])</f>
        <v>SEC01</v>
      </c>
      <c r="K109" s="21" t="str">
        <f>_xlfn.XLOOKUP(fact_daily_prices!$J109,dim_sector[sector_id],dim_sector[sector_name])</f>
        <v>Information Technology</v>
      </c>
      <c r="L109" t="str">
        <v>COMP001-30-05-2025</v>
      </c>
      <c r="M109" t="str">
        <f>_xlfn.CONCAT(A108," ",B108)</f>
        <v>45806 COMP001</v>
      </c>
    </row>
    <row r="110" spans="1:13" x14ac:dyDescent="0.3">
      <c r="A110" s="17">
        <v>45810</v>
      </c>
      <c r="B110" s="18" t="s">
        <v>6</v>
      </c>
      <c r="C110" s="18">
        <v>757.55</v>
      </c>
      <c r="D110" s="18">
        <v>758.88</v>
      </c>
      <c r="E110" s="18">
        <v>756.22</v>
      </c>
      <c r="F110" s="18">
        <v>758.03</v>
      </c>
      <c r="G110" s="18">
        <v>14116</v>
      </c>
      <c r="H110" s="18">
        <f t="shared" si="3"/>
        <v>-8.0999432740128836E-3</v>
      </c>
      <c r="I110" s="18">
        <f>PRODUCT(fact_daily_prices!$F110,fact_daily_prices!$G110)</f>
        <v>10700351.48</v>
      </c>
      <c r="J110" s="18" t="str">
        <f>_xlfn.XLOOKUP(fact_daily_prices!$B110,dim_company[company_id],dim_company[sector_id])</f>
        <v>SEC01</v>
      </c>
      <c r="K110" s="19" t="str">
        <f>_xlfn.XLOOKUP(fact_daily_prices!$J110,dim_sector[sector_id],dim_sector[sector_name])</f>
        <v>Information Technology</v>
      </c>
      <c r="L110" t="str">
        <v>COMP001-02-06-2025</v>
      </c>
      <c r="M110" t="str">
        <f>_xlfn.CONCAT(A109," ",B109)</f>
        <v>45807 COMP001</v>
      </c>
    </row>
    <row r="111" spans="1:13" x14ac:dyDescent="0.3">
      <c r="A111" s="20">
        <v>45811</v>
      </c>
      <c r="B111" s="7" t="s">
        <v>6</v>
      </c>
      <c r="C111" s="7">
        <v>758.84</v>
      </c>
      <c r="D111" s="7">
        <v>770.72</v>
      </c>
      <c r="E111" s="7">
        <v>746.96</v>
      </c>
      <c r="F111" s="7">
        <v>758.24</v>
      </c>
      <c r="G111" s="7">
        <v>40298</v>
      </c>
      <c r="H111" s="7">
        <f t="shared" si="3"/>
        <v>2.7695716395868906E-4</v>
      </c>
      <c r="I111" s="7">
        <f>PRODUCT(fact_daily_prices!$F111,fact_daily_prices!$G111)</f>
        <v>30555555.52</v>
      </c>
      <c r="J111" s="7" t="str">
        <f>_xlfn.XLOOKUP(fact_daily_prices!$B111,dim_company[company_id],dim_company[sector_id])</f>
        <v>SEC01</v>
      </c>
      <c r="K111" s="21" t="str">
        <f>_xlfn.XLOOKUP(fact_daily_prices!$J111,dim_sector[sector_id],dim_sector[sector_name])</f>
        <v>Information Technology</v>
      </c>
      <c r="L111" t="str">
        <v>COMP001-03-06-2025</v>
      </c>
      <c r="M111" t="str">
        <f>_xlfn.CONCAT(A110," ",B110)</f>
        <v>45810 COMP001</v>
      </c>
    </row>
    <row r="112" spans="1:13" x14ac:dyDescent="0.3">
      <c r="A112" s="17">
        <v>45812</v>
      </c>
      <c r="B112" s="18" t="s">
        <v>6</v>
      </c>
      <c r="C112" s="18">
        <v>760.11</v>
      </c>
      <c r="D112" s="18">
        <v>771.91</v>
      </c>
      <c r="E112" s="18">
        <v>748.32</v>
      </c>
      <c r="F112" s="18">
        <v>763</v>
      </c>
      <c r="G112" s="18">
        <v>34982</v>
      </c>
      <c r="H112" s="18">
        <f t="shared" si="3"/>
        <v>6.2385321100917315E-3</v>
      </c>
      <c r="I112" s="18">
        <f>PRODUCT(fact_daily_prices!$F112,fact_daily_prices!$G112)</f>
        <v>26691266</v>
      </c>
      <c r="J112" s="18" t="str">
        <f>_xlfn.XLOOKUP(fact_daily_prices!$B112,dim_company[company_id],dim_company[sector_id])</f>
        <v>SEC01</v>
      </c>
      <c r="K112" s="19" t="str">
        <f>_xlfn.XLOOKUP(fact_daily_prices!$J112,dim_sector[sector_id],dim_sector[sector_name])</f>
        <v>Information Technology</v>
      </c>
      <c r="L112" t="str">
        <v>COMP001-04-06-2025</v>
      </c>
      <c r="M112" t="str">
        <f>_xlfn.CONCAT(A111," ",B111)</f>
        <v>45811 COMP001</v>
      </c>
    </row>
    <row r="113" spans="1:13" x14ac:dyDescent="0.3">
      <c r="A113" s="20">
        <v>45813</v>
      </c>
      <c r="B113" s="7" t="s">
        <v>6</v>
      </c>
      <c r="C113" s="7">
        <v>763.7</v>
      </c>
      <c r="D113" s="7">
        <v>767.97</v>
      </c>
      <c r="E113" s="7">
        <v>759.44</v>
      </c>
      <c r="F113" s="7">
        <v>760.7</v>
      </c>
      <c r="G113" s="7">
        <v>18312</v>
      </c>
      <c r="H113" s="7">
        <f t="shared" si="3"/>
        <v>-3.023530958327796E-3</v>
      </c>
      <c r="I113" s="7">
        <f>PRODUCT(fact_daily_prices!$F113,fact_daily_prices!$G113)</f>
        <v>13929938.4</v>
      </c>
      <c r="J113" s="7" t="str">
        <f>_xlfn.XLOOKUP(fact_daily_prices!$B113,dim_company[company_id],dim_company[sector_id])</f>
        <v>SEC01</v>
      </c>
      <c r="K113" s="21" t="str">
        <f>_xlfn.XLOOKUP(fact_daily_prices!$J113,dim_sector[sector_id],dim_sector[sector_name])</f>
        <v>Information Technology</v>
      </c>
      <c r="L113" t="str">
        <v>COMP001-05-06-2025</v>
      </c>
      <c r="M113" t="str">
        <f>_xlfn.CONCAT(A112," ",B112)</f>
        <v>45812 COMP001</v>
      </c>
    </row>
    <row r="114" spans="1:13" x14ac:dyDescent="0.3">
      <c r="A114" s="17">
        <v>45814</v>
      </c>
      <c r="B114" s="18" t="s">
        <v>6</v>
      </c>
      <c r="C114" s="18">
        <v>749.8</v>
      </c>
      <c r="D114" s="18">
        <v>758.77</v>
      </c>
      <c r="E114" s="18">
        <v>740.84</v>
      </c>
      <c r="F114" s="18">
        <v>755.39</v>
      </c>
      <c r="G114" s="18">
        <v>37395</v>
      </c>
      <c r="H114" s="18">
        <f t="shared" si="3"/>
        <v>-7.029481459908205E-3</v>
      </c>
      <c r="I114" s="18">
        <f>PRODUCT(fact_daily_prices!$F114,fact_daily_prices!$G114)</f>
        <v>28247809.050000001</v>
      </c>
      <c r="J114" s="18" t="str">
        <f>_xlfn.XLOOKUP(fact_daily_prices!$B114,dim_company[company_id],dim_company[sector_id])</f>
        <v>SEC01</v>
      </c>
      <c r="K114" s="19" t="str">
        <f>_xlfn.XLOOKUP(fact_daily_prices!$J114,dim_sector[sector_id],dim_sector[sector_name])</f>
        <v>Information Technology</v>
      </c>
      <c r="L114" t="str">
        <v>COMP001-06-06-2025</v>
      </c>
      <c r="M114" t="str">
        <f>_xlfn.CONCAT(A113," ",B113)</f>
        <v>45813 COMP001</v>
      </c>
    </row>
    <row r="115" spans="1:13" x14ac:dyDescent="0.3">
      <c r="A115" s="20">
        <v>45817</v>
      </c>
      <c r="B115" s="7" t="s">
        <v>6</v>
      </c>
      <c r="C115" s="7">
        <v>754.74</v>
      </c>
      <c r="D115" s="7">
        <v>766.27</v>
      </c>
      <c r="E115" s="7">
        <v>743.21</v>
      </c>
      <c r="F115" s="7">
        <v>751.57</v>
      </c>
      <c r="G115" s="7">
        <v>38678</v>
      </c>
      <c r="H115" s="7">
        <f t="shared" si="3"/>
        <v>-5.0826935614778877E-3</v>
      </c>
      <c r="I115" s="7">
        <f>PRODUCT(fact_daily_prices!$F115,fact_daily_prices!$G115)</f>
        <v>29069224.460000001</v>
      </c>
      <c r="J115" s="7" t="str">
        <f>_xlfn.XLOOKUP(fact_daily_prices!$B115,dim_company[company_id],dim_company[sector_id])</f>
        <v>SEC01</v>
      </c>
      <c r="K115" s="21" t="str">
        <f>_xlfn.XLOOKUP(fact_daily_prices!$J115,dim_sector[sector_id],dim_sector[sector_name])</f>
        <v>Information Technology</v>
      </c>
      <c r="L115" t="str">
        <v>COMP001-09-06-2025</v>
      </c>
      <c r="M115" t="str">
        <f>_xlfn.CONCAT(A114," ",B114)</f>
        <v>45814 COMP001</v>
      </c>
    </row>
    <row r="116" spans="1:13" x14ac:dyDescent="0.3">
      <c r="A116" s="17">
        <v>45818</v>
      </c>
      <c r="B116" s="18" t="s">
        <v>6</v>
      </c>
      <c r="C116" s="18">
        <v>757.72</v>
      </c>
      <c r="D116" s="18">
        <v>768.43</v>
      </c>
      <c r="E116" s="18">
        <v>747</v>
      </c>
      <c r="F116" s="18">
        <v>754.97</v>
      </c>
      <c r="G116" s="18">
        <v>12003</v>
      </c>
      <c r="H116" s="18">
        <f t="shared" si="3"/>
        <v>4.5034902049087737E-3</v>
      </c>
      <c r="I116" s="18">
        <f>PRODUCT(fact_daily_prices!$F116,fact_daily_prices!$G116)</f>
        <v>9061904.9100000001</v>
      </c>
      <c r="J116" s="18" t="str">
        <f>_xlfn.XLOOKUP(fact_daily_prices!$B116,dim_company[company_id],dim_company[sector_id])</f>
        <v>SEC01</v>
      </c>
      <c r="K116" s="19" t="str">
        <f>_xlfn.XLOOKUP(fact_daily_prices!$J116,dim_sector[sector_id],dim_sector[sector_name])</f>
        <v>Information Technology</v>
      </c>
      <c r="L116" t="str">
        <v>COMP001-10-06-2025</v>
      </c>
      <c r="M116" t="str">
        <f>_xlfn.CONCAT(A115," ",B115)</f>
        <v>45817 COMP001</v>
      </c>
    </row>
    <row r="117" spans="1:13" x14ac:dyDescent="0.3">
      <c r="A117" s="20">
        <v>45819</v>
      </c>
      <c r="B117" s="7" t="s">
        <v>6</v>
      </c>
      <c r="C117" s="7">
        <v>751.46</v>
      </c>
      <c r="D117" s="7">
        <v>756.2</v>
      </c>
      <c r="E117" s="7">
        <v>746.72</v>
      </c>
      <c r="F117" s="7">
        <v>755.08</v>
      </c>
      <c r="G117" s="7">
        <v>14843</v>
      </c>
      <c r="H117" s="7">
        <f t="shared" si="3"/>
        <v>1.4567992795467188E-4</v>
      </c>
      <c r="I117" s="7">
        <f>PRODUCT(fact_daily_prices!$F117,fact_daily_prices!$G117)</f>
        <v>11207652.440000001</v>
      </c>
      <c r="J117" s="7" t="str">
        <f>_xlfn.XLOOKUP(fact_daily_prices!$B117,dim_company[company_id],dim_company[sector_id])</f>
        <v>SEC01</v>
      </c>
      <c r="K117" s="21" t="str">
        <f>_xlfn.XLOOKUP(fact_daily_prices!$J117,dim_sector[sector_id],dim_sector[sector_name])</f>
        <v>Information Technology</v>
      </c>
      <c r="L117" t="str">
        <v>COMP001-11-06-2025</v>
      </c>
      <c r="M117" t="str">
        <f>_xlfn.CONCAT(A116," ",B116)</f>
        <v>45818 COMP001</v>
      </c>
    </row>
    <row r="118" spans="1:13" x14ac:dyDescent="0.3">
      <c r="A118" s="17">
        <v>45820</v>
      </c>
      <c r="B118" s="18" t="s">
        <v>6</v>
      </c>
      <c r="C118" s="18">
        <v>761.91</v>
      </c>
      <c r="D118" s="18">
        <v>763.75</v>
      </c>
      <c r="E118" s="18">
        <v>760.06</v>
      </c>
      <c r="F118" s="18">
        <v>762.6</v>
      </c>
      <c r="G118" s="18">
        <v>39413</v>
      </c>
      <c r="H118" s="18">
        <f t="shared" si="3"/>
        <v>9.8610018358247856E-3</v>
      </c>
      <c r="I118" s="18">
        <f>PRODUCT(fact_daily_prices!$F118,fact_daily_prices!$G118)</f>
        <v>30056353.800000001</v>
      </c>
      <c r="J118" s="18" t="str">
        <f>_xlfn.XLOOKUP(fact_daily_prices!$B118,dim_company[company_id],dim_company[sector_id])</f>
        <v>SEC01</v>
      </c>
      <c r="K118" s="19" t="str">
        <f>_xlfn.XLOOKUP(fact_daily_prices!$J118,dim_sector[sector_id],dim_sector[sector_name])</f>
        <v>Information Technology</v>
      </c>
      <c r="L118" t="str">
        <v>COMP001-12-06-2025</v>
      </c>
      <c r="M118" t="str">
        <f>_xlfn.CONCAT(A117," ",B117)</f>
        <v>45819 COMP001</v>
      </c>
    </row>
    <row r="119" spans="1:13" x14ac:dyDescent="0.3">
      <c r="A119" s="20">
        <v>45821</v>
      </c>
      <c r="B119" s="7" t="s">
        <v>6</v>
      </c>
      <c r="C119" s="7">
        <v>746.54</v>
      </c>
      <c r="D119" s="7">
        <v>756.24</v>
      </c>
      <c r="E119" s="7">
        <v>736.84</v>
      </c>
      <c r="F119" s="7">
        <v>751.81</v>
      </c>
      <c r="G119" s="7">
        <v>45597</v>
      </c>
      <c r="H119" s="7">
        <f t="shared" si="3"/>
        <v>-1.4352030433221263E-2</v>
      </c>
      <c r="I119" s="7">
        <f>PRODUCT(fact_daily_prices!$F119,fact_daily_prices!$G119)</f>
        <v>34280280.57</v>
      </c>
      <c r="J119" s="7" t="str">
        <f>_xlfn.XLOOKUP(fact_daily_prices!$B119,dim_company[company_id],dim_company[sector_id])</f>
        <v>SEC01</v>
      </c>
      <c r="K119" s="21" t="str">
        <f>_xlfn.XLOOKUP(fact_daily_prices!$J119,dim_sector[sector_id],dim_sector[sector_name])</f>
        <v>Information Technology</v>
      </c>
      <c r="L119" t="str">
        <v>COMP001-13-06-2025</v>
      </c>
      <c r="M119" t="str">
        <f>_xlfn.CONCAT(A118," ",B118)</f>
        <v>45820 COMP001</v>
      </c>
    </row>
    <row r="120" spans="1:13" x14ac:dyDescent="0.3">
      <c r="A120" s="17">
        <v>45824</v>
      </c>
      <c r="B120" s="18" t="s">
        <v>6</v>
      </c>
      <c r="C120" s="18">
        <v>742.32</v>
      </c>
      <c r="D120" s="18">
        <v>753.38</v>
      </c>
      <c r="E120" s="18">
        <v>731.26</v>
      </c>
      <c r="F120" s="18">
        <v>744.68</v>
      </c>
      <c r="G120" s="18">
        <v>25504</v>
      </c>
      <c r="H120" s="18">
        <f t="shared" si="3"/>
        <v>-9.5745823709512748E-3</v>
      </c>
      <c r="I120" s="18">
        <f>PRODUCT(fact_daily_prices!$F120,fact_daily_prices!$G120)</f>
        <v>18992318.719999999</v>
      </c>
      <c r="J120" s="18" t="str">
        <f>_xlfn.XLOOKUP(fact_daily_prices!$B120,dim_company[company_id],dim_company[sector_id])</f>
        <v>SEC01</v>
      </c>
      <c r="K120" s="19" t="str">
        <f>_xlfn.XLOOKUP(fact_daily_prices!$J120,dim_sector[sector_id],dim_sector[sector_name])</f>
        <v>Information Technology</v>
      </c>
      <c r="L120" t="str">
        <v>COMP001-16-06-2025</v>
      </c>
      <c r="M120" t="str">
        <f>_xlfn.CONCAT(A119," ",B119)</f>
        <v>45821 COMP001</v>
      </c>
    </row>
    <row r="121" spans="1:13" x14ac:dyDescent="0.3">
      <c r="A121" s="20">
        <v>45825</v>
      </c>
      <c r="B121" s="7" t="s">
        <v>6</v>
      </c>
      <c r="C121" s="7">
        <v>751.82</v>
      </c>
      <c r="D121" s="7">
        <v>765.92</v>
      </c>
      <c r="E121" s="7">
        <v>737.73</v>
      </c>
      <c r="F121" s="7">
        <v>752.15</v>
      </c>
      <c r="G121" s="7">
        <v>12023</v>
      </c>
      <c r="H121" s="7">
        <f t="shared" si="3"/>
        <v>9.9315296151034071E-3</v>
      </c>
      <c r="I121" s="7">
        <f>PRODUCT(fact_daily_prices!$F121,fact_daily_prices!$G121)</f>
        <v>9043099.4499999993</v>
      </c>
      <c r="J121" s="7" t="str">
        <f>_xlfn.XLOOKUP(fact_daily_prices!$B121,dim_company[company_id],dim_company[sector_id])</f>
        <v>SEC01</v>
      </c>
      <c r="K121" s="21" t="str">
        <f>_xlfn.XLOOKUP(fact_daily_prices!$J121,dim_sector[sector_id],dim_sector[sector_name])</f>
        <v>Information Technology</v>
      </c>
      <c r="L121" t="str">
        <v>COMP001-17-06-2025</v>
      </c>
      <c r="M121" t="str">
        <f>_xlfn.CONCAT(A120," ",B120)</f>
        <v>45824 COMP001</v>
      </c>
    </row>
    <row r="122" spans="1:13" x14ac:dyDescent="0.3">
      <c r="A122" s="17">
        <v>45826</v>
      </c>
      <c r="B122" s="18" t="s">
        <v>6</v>
      </c>
      <c r="C122" s="18">
        <v>748</v>
      </c>
      <c r="D122" s="18">
        <v>758.03</v>
      </c>
      <c r="E122" s="18">
        <v>737.98</v>
      </c>
      <c r="F122" s="18">
        <v>744.76</v>
      </c>
      <c r="G122" s="18">
        <v>1667</v>
      </c>
      <c r="H122" s="18">
        <f t="shared" si="3"/>
        <v>-9.9226596487458872E-3</v>
      </c>
      <c r="I122" s="18">
        <f>PRODUCT(fact_daily_prices!$F122,fact_daily_prices!$G122)</f>
        <v>1241514.92</v>
      </c>
      <c r="J122" s="18" t="str">
        <f>_xlfn.XLOOKUP(fact_daily_prices!$B122,dim_company[company_id],dim_company[sector_id])</f>
        <v>SEC01</v>
      </c>
      <c r="K122" s="19" t="str">
        <f>_xlfn.XLOOKUP(fact_daily_prices!$J122,dim_sector[sector_id],dim_sector[sector_name])</f>
        <v>Information Technology</v>
      </c>
      <c r="L122" t="str">
        <v>COMP001-18-06-2025</v>
      </c>
      <c r="M122" t="str">
        <f>_xlfn.CONCAT(A121," ",B121)</f>
        <v>45825 COMP001</v>
      </c>
    </row>
    <row r="123" spans="1:13" x14ac:dyDescent="0.3">
      <c r="A123" s="20">
        <v>45827</v>
      </c>
      <c r="B123" s="7" t="s">
        <v>6</v>
      </c>
      <c r="C123" s="7">
        <v>759.3</v>
      </c>
      <c r="D123" s="7">
        <v>763.13</v>
      </c>
      <c r="E123" s="7">
        <v>755.47</v>
      </c>
      <c r="F123" s="7">
        <v>758.05</v>
      </c>
      <c r="G123" s="7">
        <v>37487</v>
      </c>
      <c r="H123" s="7">
        <f t="shared" si="3"/>
        <v>1.7531825077501437E-2</v>
      </c>
      <c r="I123" s="7">
        <f>PRODUCT(fact_daily_prices!$F123,fact_daily_prices!$G123)</f>
        <v>28417020.349999998</v>
      </c>
      <c r="J123" s="7" t="str">
        <f>_xlfn.XLOOKUP(fact_daily_prices!$B123,dim_company[company_id],dim_company[sector_id])</f>
        <v>SEC01</v>
      </c>
      <c r="K123" s="21" t="str">
        <f>_xlfn.XLOOKUP(fact_daily_prices!$J123,dim_sector[sector_id],dim_sector[sector_name])</f>
        <v>Information Technology</v>
      </c>
      <c r="L123" t="str">
        <v>COMP001-19-06-2025</v>
      </c>
      <c r="M123" t="str">
        <f>_xlfn.CONCAT(A122," ",B122)</f>
        <v>45826 COMP001</v>
      </c>
    </row>
    <row r="124" spans="1:13" x14ac:dyDescent="0.3">
      <c r="A124" s="17">
        <v>45828</v>
      </c>
      <c r="B124" s="18" t="s">
        <v>6</v>
      </c>
      <c r="C124" s="18">
        <v>769.99</v>
      </c>
      <c r="D124" s="18">
        <v>777.22</v>
      </c>
      <c r="E124" s="18">
        <v>762.76</v>
      </c>
      <c r="F124" s="18">
        <v>771.77</v>
      </c>
      <c r="G124" s="18">
        <v>28355</v>
      </c>
      <c r="H124" s="18">
        <f t="shared" si="3"/>
        <v>1.7777317076331067E-2</v>
      </c>
      <c r="I124" s="18">
        <f>PRODUCT(fact_daily_prices!$F124,fact_daily_prices!$G124)</f>
        <v>21883538.349999998</v>
      </c>
      <c r="J124" s="18" t="str">
        <f>_xlfn.XLOOKUP(fact_daily_prices!$B124,dim_company[company_id],dim_company[sector_id])</f>
        <v>SEC01</v>
      </c>
      <c r="K124" s="19" t="str">
        <f>_xlfn.XLOOKUP(fact_daily_prices!$J124,dim_sector[sector_id],dim_sector[sector_name])</f>
        <v>Information Technology</v>
      </c>
      <c r="L124" t="str">
        <v>COMP001-20-06-2025</v>
      </c>
      <c r="M124" t="str">
        <f>_xlfn.CONCAT(A123," ",B123)</f>
        <v>45827 COMP001</v>
      </c>
    </row>
    <row r="125" spans="1:13" x14ac:dyDescent="0.3">
      <c r="A125" s="20">
        <v>45831</v>
      </c>
      <c r="B125" s="7" t="s">
        <v>6</v>
      </c>
      <c r="C125" s="7">
        <v>786.4</v>
      </c>
      <c r="D125" s="7">
        <v>791.28</v>
      </c>
      <c r="E125" s="7">
        <v>781.53</v>
      </c>
      <c r="F125" s="7">
        <v>785.61</v>
      </c>
      <c r="G125" s="7">
        <v>39810</v>
      </c>
      <c r="H125" s="7">
        <f t="shared" si="3"/>
        <v>1.761688369547235E-2</v>
      </c>
      <c r="I125" s="7">
        <f>PRODUCT(fact_daily_prices!$F125,fact_daily_prices!$G125)</f>
        <v>31275134.100000001</v>
      </c>
      <c r="J125" s="7" t="str">
        <f>_xlfn.XLOOKUP(fact_daily_prices!$B125,dim_company[company_id],dim_company[sector_id])</f>
        <v>SEC01</v>
      </c>
      <c r="K125" s="21" t="str">
        <f>_xlfn.XLOOKUP(fact_daily_prices!$J125,dim_sector[sector_id],dim_sector[sector_name])</f>
        <v>Information Technology</v>
      </c>
      <c r="L125" t="str">
        <v>COMP001-23-06-2025</v>
      </c>
      <c r="M125" t="str">
        <f>_xlfn.CONCAT(A124," ",B124)</f>
        <v>45828 COMP001</v>
      </c>
    </row>
    <row r="126" spans="1:13" x14ac:dyDescent="0.3">
      <c r="A126" s="17">
        <v>45832</v>
      </c>
      <c r="B126" s="18" t="s">
        <v>6</v>
      </c>
      <c r="C126" s="18">
        <v>778.39</v>
      </c>
      <c r="D126" s="18">
        <v>787.98</v>
      </c>
      <c r="E126" s="18">
        <v>768.8</v>
      </c>
      <c r="F126" s="18">
        <v>777.13</v>
      </c>
      <c r="G126" s="18">
        <v>14216</v>
      </c>
      <c r="H126" s="18">
        <f t="shared" si="3"/>
        <v>-1.0911945234388092E-2</v>
      </c>
      <c r="I126" s="18">
        <f>PRODUCT(fact_daily_prices!$F126,fact_daily_prices!$G126)</f>
        <v>11047680.08</v>
      </c>
      <c r="J126" s="18" t="str">
        <f>_xlfn.XLOOKUP(fact_daily_prices!$B126,dim_company[company_id],dim_company[sector_id])</f>
        <v>SEC01</v>
      </c>
      <c r="K126" s="19" t="str">
        <f>_xlfn.XLOOKUP(fact_daily_prices!$J126,dim_sector[sector_id],dim_sector[sector_name])</f>
        <v>Information Technology</v>
      </c>
      <c r="L126" t="str">
        <v>COMP001-24-06-2025</v>
      </c>
      <c r="M126" t="str">
        <f>_xlfn.CONCAT(A125," ",B125)</f>
        <v>45831 COMP001</v>
      </c>
    </row>
    <row r="127" spans="1:13" x14ac:dyDescent="0.3">
      <c r="A127" s="20">
        <v>45833</v>
      </c>
      <c r="B127" s="7" t="s">
        <v>6</v>
      </c>
      <c r="C127" s="7">
        <v>776.58</v>
      </c>
      <c r="D127" s="7">
        <v>784.47</v>
      </c>
      <c r="E127" s="7">
        <v>768.69</v>
      </c>
      <c r="F127" s="7">
        <v>778.07</v>
      </c>
      <c r="G127" s="7">
        <v>32471</v>
      </c>
      <c r="H127" s="7">
        <f t="shared" si="3"/>
        <v>1.2081175215598269E-3</v>
      </c>
      <c r="I127" s="7">
        <f>PRODUCT(fact_daily_prices!$F127,fact_daily_prices!$G127)</f>
        <v>25264710.970000003</v>
      </c>
      <c r="J127" s="7" t="str">
        <f>_xlfn.XLOOKUP(fact_daily_prices!$B127,dim_company[company_id],dim_company[sector_id])</f>
        <v>SEC01</v>
      </c>
      <c r="K127" s="21" t="str">
        <f>_xlfn.XLOOKUP(fact_daily_prices!$J127,dim_sector[sector_id],dim_sector[sector_name])</f>
        <v>Information Technology</v>
      </c>
      <c r="L127" t="str">
        <v>COMP001-25-06-2025</v>
      </c>
      <c r="M127" t="str">
        <f>_xlfn.CONCAT(A126," ",B126)</f>
        <v>45832 COMP001</v>
      </c>
    </row>
    <row r="128" spans="1:13" x14ac:dyDescent="0.3">
      <c r="A128" s="17">
        <v>45834</v>
      </c>
      <c r="B128" s="18" t="s">
        <v>6</v>
      </c>
      <c r="C128" s="18">
        <v>767.64</v>
      </c>
      <c r="D128" s="18">
        <v>775.95</v>
      </c>
      <c r="E128" s="18">
        <v>759.34</v>
      </c>
      <c r="F128" s="18">
        <v>773.43</v>
      </c>
      <c r="G128" s="18">
        <v>46445</v>
      </c>
      <c r="H128" s="18">
        <f t="shared" si="3"/>
        <v>-5.9992500937384122E-3</v>
      </c>
      <c r="I128" s="18">
        <f>PRODUCT(fact_daily_prices!$F128,fact_daily_prices!$G128)</f>
        <v>35921956.349999994</v>
      </c>
      <c r="J128" s="18" t="str">
        <f>_xlfn.XLOOKUP(fact_daily_prices!$B128,dim_company[company_id],dim_company[sector_id])</f>
        <v>SEC01</v>
      </c>
      <c r="K128" s="19" t="str">
        <f>_xlfn.XLOOKUP(fact_daily_prices!$J128,dim_sector[sector_id],dim_sector[sector_name])</f>
        <v>Information Technology</v>
      </c>
      <c r="L128" t="str">
        <v>COMP001-26-06-2025</v>
      </c>
      <c r="M128" t="str">
        <f>_xlfn.CONCAT(A127," ",B127)</f>
        <v>45833 COMP001</v>
      </c>
    </row>
    <row r="129" spans="1:13" x14ac:dyDescent="0.3">
      <c r="A129" s="20">
        <v>45835</v>
      </c>
      <c r="B129" s="7" t="s">
        <v>6</v>
      </c>
      <c r="C129" s="7">
        <v>784.42</v>
      </c>
      <c r="D129" s="7">
        <v>797.53</v>
      </c>
      <c r="E129" s="7">
        <v>771.31</v>
      </c>
      <c r="F129" s="7">
        <v>782.67</v>
      </c>
      <c r="G129" s="7">
        <v>11136</v>
      </c>
      <c r="H129" s="7">
        <f t="shared" si="3"/>
        <v>1.1805741883552467E-2</v>
      </c>
      <c r="I129" s="7">
        <f>PRODUCT(fact_daily_prices!$F129,fact_daily_prices!$G129)</f>
        <v>8715813.1199999992</v>
      </c>
      <c r="J129" s="7" t="str">
        <f>_xlfn.XLOOKUP(fact_daily_prices!$B129,dim_company[company_id],dim_company[sector_id])</f>
        <v>SEC01</v>
      </c>
      <c r="K129" s="21" t="str">
        <f>_xlfn.XLOOKUP(fact_daily_prices!$J129,dim_sector[sector_id],dim_sector[sector_name])</f>
        <v>Information Technology</v>
      </c>
      <c r="L129" t="str">
        <v>COMP001-27-06-2025</v>
      </c>
      <c r="M129" t="str">
        <f>_xlfn.CONCAT(A128," ",B128)</f>
        <v>45834 COMP001</v>
      </c>
    </row>
    <row r="130" spans="1:13" x14ac:dyDescent="0.3">
      <c r="A130" s="17">
        <v>45838</v>
      </c>
      <c r="B130" s="18" t="s">
        <v>6</v>
      </c>
      <c r="C130" s="18">
        <v>795.75</v>
      </c>
      <c r="D130" s="18">
        <v>806.56</v>
      </c>
      <c r="E130" s="18">
        <v>784.95</v>
      </c>
      <c r="F130" s="18">
        <v>799.87</v>
      </c>
      <c r="G130" s="18">
        <v>24793</v>
      </c>
      <c r="H130" s="18">
        <f t="shared" si="3"/>
        <v>2.1503494317826704E-2</v>
      </c>
      <c r="I130" s="18">
        <f>PRODUCT(fact_daily_prices!$F130,fact_daily_prices!$G130)</f>
        <v>19831176.91</v>
      </c>
      <c r="J130" s="18" t="str">
        <f>_xlfn.XLOOKUP(fact_daily_prices!$B130,dim_company[company_id],dim_company[sector_id])</f>
        <v>SEC01</v>
      </c>
      <c r="K130" s="19" t="str">
        <f>_xlfn.XLOOKUP(fact_daily_prices!$J130,dim_sector[sector_id],dim_sector[sector_name])</f>
        <v>Information Technology</v>
      </c>
      <c r="L130" t="str">
        <v>COMP001-30-06-2025</v>
      </c>
      <c r="M130" t="str">
        <f>_xlfn.CONCAT(A129," ",B129)</f>
        <v>45835 COMP001</v>
      </c>
    </row>
    <row r="131" spans="1:13" x14ac:dyDescent="0.3">
      <c r="A131" s="20">
        <v>45658</v>
      </c>
      <c r="B131" s="7" t="s">
        <v>11</v>
      </c>
      <c r="C131" s="7">
        <v>1156.78</v>
      </c>
      <c r="D131" s="7">
        <v>1172.33</v>
      </c>
      <c r="E131" s="7">
        <v>1141.24</v>
      </c>
      <c r="F131" s="7">
        <v>1161</v>
      </c>
      <c r="G131" s="7">
        <v>11589</v>
      </c>
      <c r="H131" s="7">
        <v>0</v>
      </c>
      <c r="I131" s="7">
        <f>PRODUCT(fact_daily_prices!$F131,fact_daily_prices!$G131)</f>
        <v>13454829</v>
      </c>
      <c r="J131" s="7" t="str">
        <f>_xlfn.XLOOKUP(fact_daily_prices!$B131,dim_company[company_id],dim_company[sector_id])</f>
        <v>SEC01</v>
      </c>
      <c r="K131" s="21" t="str">
        <f>_xlfn.XLOOKUP(fact_daily_prices!$J131,dim_sector[sector_id],dim_sector[sector_name])</f>
        <v>Information Technology</v>
      </c>
      <c r="L131" t="str">
        <v>COMP002-01-01-2025</v>
      </c>
      <c r="M131" t="str">
        <f>_xlfn.CONCAT(A130," ",B130)</f>
        <v>45838 COMP001</v>
      </c>
    </row>
    <row r="132" spans="1:13" x14ac:dyDescent="0.3">
      <c r="A132" s="17">
        <v>45659</v>
      </c>
      <c r="B132" s="18" t="s">
        <v>11</v>
      </c>
      <c r="C132" s="18">
        <v>1148.3800000000001</v>
      </c>
      <c r="D132" s="18">
        <v>1160.76</v>
      </c>
      <c r="E132" s="18">
        <v>1136.01</v>
      </c>
      <c r="F132" s="18">
        <v>1156.75</v>
      </c>
      <c r="G132" s="18">
        <v>14046</v>
      </c>
      <c r="H132" s="18">
        <f t="shared" ref="H132:H195" si="4">(F132-F131)/F132</f>
        <v>-3.6740868813486061E-3</v>
      </c>
      <c r="I132" s="18">
        <f>PRODUCT(fact_daily_prices!$F132,fact_daily_prices!$G132)</f>
        <v>16247710.5</v>
      </c>
      <c r="J132" s="18" t="str">
        <f>_xlfn.XLOOKUP(fact_daily_prices!$B132,dim_company[company_id],dim_company[sector_id])</f>
        <v>SEC01</v>
      </c>
      <c r="K132" s="19" t="str">
        <f>_xlfn.XLOOKUP(fact_daily_prices!$J132,dim_sector[sector_id],dim_sector[sector_name])</f>
        <v>Information Technology</v>
      </c>
      <c r="L132" t="str">
        <v>COMP002-02-01-2025</v>
      </c>
      <c r="M132" t="str">
        <f>_xlfn.CONCAT(A131," ",B131)</f>
        <v>45658 COMP002</v>
      </c>
    </row>
    <row r="133" spans="1:13" x14ac:dyDescent="0.3">
      <c r="A133" s="20">
        <v>45660</v>
      </c>
      <c r="B133" s="7" t="s">
        <v>11</v>
      </c>
      <c r="C133" s="7">
        <v>1140.48</v>
      </c>
      <c r="D133" s="7">
        <v>1141.28</v>
      </c>
      <c r="E133" s="7">
        <v>1139.68</v>
      </c>
      <c r="F133" s="7">
        <v>1140.0999999999999</v>
      </c>
      <c r="G133" s="7">
        <v>5324</v>
      </c>
      <c r="H133" s="7">
        <f t="shared" si="4"/>
        <v>-1.4603982106832815E-2</v>
      </c>
      <c r="I133" s="7">
        <f>PRODUCT(fact_daily_prices!$F133,fact_daily_prices!$G133)</f>
        <v>6069892.3999999994</v>
      </c>
      <c r="J133" s="7" t="str">
        <f>_xlfn.XLOOKUP(fact_daily_prices!$B133,dim_company[company_id],dim_company[sector_id])</f>
        <v>SEC01</v>
      </c>
      <c r="K133" s="21" t="str">
        <f>_xlfn.XLOOKUP(fact_daily_prices!$J133,dim_sector[sector_id],dim_sector[sector_name])</f>
        <v>Information Technology</v>
      </c>
      <c r="L133" t="str">
        <v>COMP002-03-01-2025</v>
      </c>
      <c r="M133" t="str">
        <f>_xlfn.CONCAT(A132," ",B132)</f>
        <v>45659 COMP002</v>
      </c>
    </row>
    <row r="134" spans="1:13" x14ac:dyDescent="0.3">
      <c r="A134" s="17">
        <v>45663</v>
      </c>
      <c r="B134" s="18" t="s">
        <v>11</v>
      </c>
      <c r="C134" s="18">
        <v>1148.73</v>
      </c>
      <c r="D134" s="18">
        <v>1161.2</v>
      </c>
      <c r="E134" s="18">
        <v>1136.27</v>
      </c>
      <c r="F134" s="18">
        <v>1138.82</v>
      </c>
      <c r="G134" s="18">
        <v>42427</v>
      </c>
      <c r="H134" s="18">
        <f t="shared" si="4"/>
        <v>-1.1239704255281543E-3</v>
      </c>
      <c r="I134" s="18">
        <f>PRODUCT(fact_daily_prices!$F134,fact_daily_prices!$G134)</f>
        <v>48316716.140000001</v>
      </c>
      <c r="J134" s="18" t="str">
        <f>_xlfn.XLOOKUP(fact_daily_prices!$B134,dim_company[company_id],dim_company[sector_id])</f>
        <v>SEC01</v>
      </c>
      <c r="K134" s="19" t="str">
        <f>_xlfn.XLOOKUP(fact_daily_prices!$J134,dim_sector[sector_id],dim_sector[sector_name])</f>
        <v>Information Technology</v>
      </c>
      <c r="L134" t="str">
        <v>COMP002-06-01-2025</v>
      </c>
      <c r="M134" t="str">
        <f>_xlfn.CONCAT(A133," ",B133)</f>
        <v>45660 COMP002</v>
      </c>
    </row>
    <row r="135" spans="1:13" x14ac:dyDescent="0.3">
      <c r="A135" s="20">
        <v>45664</v>
      </c>
      <c r="B135" s="7" t="s">
        <v>11</v>
      </c>
      <c r="C135" s="7">
        <v>1162.43</v>
      </c>
      <c r="D135" s="7">
        <v>1183.74</v>
      </c>
      <c r="E135" s="7">
        <v>1141.1199999999999</v>
      </c>
      <c r="F135" s="7">
        <v>1161.22</v>
      </c>
      <c r="G135" s="7">
        <v>42605</v>
      </c>
      <c r="H135" s="7">
        <f t="shared" si="4"/>
        <v>1.9290057009007846E-2</v>
      </c>
      <c r="I135" s="7">
        <f>PRODUCT(fact_daily_prices!$F135,fact_daily_prices!$G135)</f>
        <v>49473778.100000001</v>
      </c>
      <c r="J135" s="7" t="str">
        <f>_xlfn.XLOOKUP(fact_daily_prices!$B135,dim_company[company_id],dim_company[sector_id])</f>
        <v>SEC01</v>
      </c>
      <c r="K135" s="21" t="str">
        <f>_xlfn.XLOOKUP(fact_daily_prices!$J135,dim_sector[sector_id],dim_sector[sector_name])</f>
        <v>Information Technology</v>
      </c>
      <c r="L135" t="str">
        <v>COMP002-07-01-2025</v>
      </c>
      <c r="M135" t="str">
        <f>_xlfn.CONCAT(A134," ",B134)</f>
        <v>45663 COMP002</v>
      </c>
    </row>
    <row r="136" spans="1:13" x14ac:dyDescent="0.3">
      <c r="A136" s="17">
        <v>45665</v>
      </c>
      <c r="B136" s="18" t="s">
        <v>11</v>
      </c>
      <c r="C136" s="18">
        <v>1158.0999999999999</v>
      </c>
      <c r="D136" s="18">
        <v>1175</v>
      </c>
      <c r="E136" s="18">
        <v>1141.21</v>
      </c>
      <c r="F136" s="18">
        <v>1152.52</v>
      </c>
      <c r="G136" s="18">
        <v>48077</v>
      </c>
      <c r="H136" s="18">
        <f t="shared" si="4"/>
        <v>-7.5486759448860283E-3</v>
      </c>
      <c r="I136" s="18">
        <f>PRODUCT(fact_daily_prices!$F136,fact_daily_prices!$G136)</f>
        <v>55409704.039999999</v>
      </c>
      <c r="J136" s="18" t="str">
        <f>_xlfn.XLOOKUP(fact_daily_prices!$B136,dim_company[company_id],dim_company[sector_id])</f>
        <v>SEC01</v>
      </c>
      <c r="K136" s="19" t="str">
        <f>_xlfn.XLOOKUP(fact_daily_prices!$J136,dim_sector[sector_id],dim_sector[sector_name])</f>
        <v>Information Technology</v>
      </c>
      <c r="L136" t="str">
        <v>COMP002-08-01-2025</v>
      </c>
      <c r="M136" t="str">
        <f>_xlfn.CONCAT(A135," ",B135)</f>
        <v>45664 COMP002</v>
      </c>
    </row>
    <row r="137" spans="1:13" x14ac:dyDescent="0.3">
      <c r="A137" s="20">
        <v>45666</v>
      </c>
      <c r="B137" s="7" t="s">
        <v>11</v>
      </c>
      <c r="C137" s="7">
        <v>1170.78</v>
      </c>
      <c r="D137" s="7">
        <v>1189.54</v>
      </c>
      <c r="E137" s="7">
        <v>1152.02</v>
      </c>
      <c r="F137" s="7">
        <v>1173.8399999999999</v>
      </c>
      <c r="G137" s="7">
        <v>1846</v>
      </c>
      <c r="H137" s="7">
        <f t="shared" si="4"/>
        <v>1.8162611599536509E-2</v>
      </c>
      <c r="I137" s="7">
        <f>PRODUCT(fact_daily_prices!$F137,fact_daily_prices!$G137)</f>
        <v>2166908.6399999997</v>
      </c>
      <c r="J137" s="7" t="str">
        <f>_xlfn.XLOOKUP(fact_daily_prices!$B137,dim_company[company_id],dim_company[sector_id])</f>
        <v>SEC01</v>
      </c>
      <c r="K137" s="21" t="str">
        <f>_xlfn.XLOOKUP(fact_daily_prices!$J137,dim_sector[sector_id],dim_sector[sector_name])</f>
        <v>Information Technology</v>
      </c>
      <c r="L137" t="str">
        <v>COMP002-09-01-2025</v>
      </c>
      <c r="M137" t="str">
        <f>_xlfn.CONCAT(A136," ",B136)</f>
        <v>45665 COMP002</v>
      </c>
    </row>
    <row r="138" spans="1:13" x14ac:dyDescent="0.3">
      <c r="A138" s="17">
        <v>45667</v>
      </c>
      <c r="B138" s="18" t="s">
        <v>11</v>
      </c>
      <c r="C138" s="18">
        <v>1178.6400000000001</v>
      </c>
      <c r="D138" s="18">
        <v>1190.56</v>
      </c>
      <c r="E138" s="18">
        <v>1166.73</v>
      </c>
      <c r="F138" s="18">
        <v>1177.96</v>
      </c>
      <c r="G138" s="18">
        <v>23700</v>
      </c>
      <c r="H138" s="18">
        <f t="shared" si="4"/>
        <v>3.4975720737547267E-3</v>
      </c>
      <c r="I138" s="18">
        <f>PRODUCT(fact_daily_prices!$F138,fact_daily_prices!$G138)</f>
        <v>27917652</v>
      </c>
      <c r="J138" s="18" t="str">
        <f>_xlfn.XLOOKUP(fact_daily_prices!$B138,dim_company[company_id],dim_company[sector_id])</f>
        <v>SEC01</v>
      </c>
      <c r="K138" s="19" t="str">
        <f>_xlfn.XLOOKUP(fact_daily_prices!$J138,dim_sector[sector_id],dim_sector[sector_name])</f>
        <v>Information Technology</v>
      </c>
      <c r="L138" t="str">
        <v>COMP002-10-01-2025</v>
      </c>
      <c r="M138" t="str">
        <f>_xlfn.CONCAT(A137," ",B137)</f>
        <v>45666 COMP002</v>
      </c>
    </row>
    <row r="139" spans="1:13" x14ac:dyDescent="0.3">
      <c r="A139" s="20">
        <v>45670</v>
      </c>
      <c r="B139" s="7" t="s">
        <v>11</v>
      </c>
      <c r="C139" s="7">
        <v>1203.6400000000001</v>
      </c>
      <c r="D139" s="7">
        <v>1215.0899999999999</v>
      </c>
      <c r="E139" s="7">
        <v>1192.2</v>
      </c>
      <c r="F139" s="7">
        <v>1196.67</v>
      </c>
      <c r="G139" s="7">
        <v>43101</v>
      </c>
      <c r="H139" s="7">
        <f t="shared" si="4"/>
        <v>1.5635053941353953E-2</v>
      </c>
      <c r="I139" s="7">
        <f>PRODUCT(fact_daily_prices!$F139,fact_daily_prices!$G139)</f>
        <v>51577673.670000002</v>
      </c>
      <c r="J139" s="7" t="str">
        <f>_xlfn.XLOOKUP(fact_daily_prices!$B139,dim_company[company_id],dim_company[sector_id])</f>
        <v>SEC01</v>
      </c>
      <c r="K139" s="21" t="str">
        <f>_xlfn.XLOOKUP(fact_daily_prices!$J139,dim_sector[sector_id],dim_sector[sector_name])</f>
        <v>Information Technology</v>
      </c>
      <c r="L139" t="str">
        <v>COMP002-13-01-2025</v>
      </c>
      <c r="M139" t="str">
        <f>_xlfn.CONCAT(A138," ",B138)</f>
        <v>45667 COMP002</v>
      </c>
    </row>
    <row r="140" spans="1:13" x14ac:dyDescent="0.3">
      <c r="A140" s="17">
        <v>45671</v>
      </c>
      <c r="B140" s="18" t="s">
        <v>11</v>
      </c>
      <c r="C140" s="18">
        <v>1206.4000000000001</v>
      </c>
      <c r="D140" s="18">
        <v>1217.33</v>
      </c>
      <c r="E140" s="18">
        <v>1195.47</v>
      </c>
      <c r="F140" s="18">
        <v>1200.26</v>
      </c>
      <c r="G140" s="18">
        <v>46587</v>
      </c>
      <c r="H140" s="18">
        <f t="shared" si="4"/>
        <v>2.991018612633861E-3</v>
      </c>
      <c r="I140" s="18">
        <f>PRODUCT(fact_daily_prices!$F140,fact_daily_prices!$G140)</f>
        <v>55916512.619999997</v>
      </c>
      <c r="J140" s="18" t="str">
        <f>_xlfn.XLOOKUP(fact_daily_prices!$B140,dim_company[company_id],dim_company[sector_id])</f>
        <v>SEC01</v>
      </c>
      <c r="K140" s="19" t="str">
        <f>_xlfn.XLOOKUP(fact_daily_prices!$J140,dim_sector[sector_id],dim_sector[sector_name])</f>
        <v>Information Technology</v>
      </c>
      <c r="L140" t="str">
        <v>COMP002-14-01-2025</v>
      </c>
      <c r="M140" t="str">
        <f>_xlfn.CONCAT(A139," ",B139)</f>
        <v>45670 COMP002</v>
      </c>
    </row>
    <row r="141" spans="1:13" x14ac:dyDescent="0.3">
      <c r="A141" s="20">
        <v>45672</v>
      </c>
      <c r="B141" s="7" t="s">
        <v>11</v>
      </c>
      <c r="C141" s="7">
        <v>1194.77</v>
      </c>
      <c r="D141" s="7">
        <v>1199.03</v>
      </c>
      <c r="E141" s="7">
        <v>1190.5</v>
      </c>
      <c r="F141" s="7">
        <v>1193.24</v>
      </c>
      <c r="G141" s="7">
        <v>40001</v>
      </c>
      <c r="H141" s="7">
        <f t="shared" si="4"/>
        <v>-5.8831416982333658E-3</v>
      </c>
      <c r="I141" s="7">
        <f>PRODUCT(fact_daily_prices!$F141,fact_daily_prices!$G141)</f>
        <v>47730793.240000002</v>
      </c>
      <c r="J141" s="7" t="str">
        <f>_xlfn.XLOOKUP(fact_daily_prices!$B141,dim_company[company_id],dim_company[sector_id])</f>
        <v>SEC01</v>
      </c>
      <c r="K141" s="21" t="str">
        <f>_xlfn.XLOOKUP(fact_daily_prices!$J141,dim_sector[sector_id],dim_sector[sector_name])</f>
        <v>Information Technology</v>
      </c>
      <c r="L141" t="str">
        <v>COMP002-15-01-2025</v>
      </c>
      <c r="M141" t="str">
        <f>_xlfn.CONCAT(A140," ",B140)</f>
        <v>45671 COMP002</v>
      </c>
    </row>
    <row r="142" spans="1:13" x14ac:dyDescent="0.3">
      <c r="A142" s="17">
        <v>45673</v>
      </c>
      <c r="B142" s="18" t="s">
        <v>11</v>
      </c>
      <c r="C142" s="18">
        <v>1226.72</v>
      </c>
      <c r="D142" s="18">
        <v>1237.1400000000001</v>
      </c>
      <c r="E142" s="18">
        <v>1216.3</v>
      </c>
      <c r="F142" s="18">
        <v>1218.43</v>
      </c>
      <c r="G142" s="18">
        <v>2917</v>
      </c>
      <c r="H142" s="18">
        <f t="shared" si="4"/>
        <v>2.0674146237371085E-2</v>
      </c>
      <c r="I142" s="18">
        <f>PRODUCT(fact_daily_prices!$F142,fact_daily_prices!$G142)</f>
        <v>3554160.31</v>
      </c>
      <c r="J142" s="18" t="str">
        <f>_xlfn.XLOOKUP(fact_daily_prices!$B142,dim_company[company_id],dim_company[sector_id])</f>
        <v>SEC01</v>
      </c>
      <c r="K142" s="19" t="str">
        <f>_xlfn.XLOOKUP(fact_daily_prices!$J142,dim_sector[sector_id],dim_sector[sector_name])</f>
        <v>Information Technology</v>
      </c>
      <c r="L142" t="str">
        <v>COMP002-16-01-2025</v>
      </c>
      <c r="M142" t="str">
        <f>_xlfn.CONCAT(A141," ",B141)</f>
        <v>45672 COMP002</v>
      </c>
    </row>
    <row r="143" spans="1:13" x14ac:dyDescent="0.3">
      <c r="A143" s="20">
        <v>45674</v>
      </c>
      <c r="B143" s="7" t="s">
        <v>11</v>
      </c>
      <c r="C143" s="7">
        <v>1218.19</v>
      </c>
      <c r="D143" s="7">
        <v>1225.95</v>
      </c>
      <c r="E143" s="7">
        <v>1210.42</v>
      </c>
      <c r="F143" s="7">
        <v>1222.18</v>
      </c>
      <c r="G143" s="7">
        <v>48362</v>
      </c>
      <c r="H143" s="7">
        <f t="shared" si="4"/>
        <v>3.0682878135790143E-3</v>
      </c>
      <c r="I143" s="7">
        <f>PRODUCT(fact_daily_prices!$F143,fact_daily_prices!$G143)</f>
        <v>59107069.160000004</v>
      </c>
      <c r="J143" s="7" t="str">
        <f>_xlfn.XLOOKUP(fact_daily_prices!$B143,dim_company[company_id],dim_company[sector_id])</f>
        <v>SEC01</v>
      </c>
      <c r="K143" s="21" t="str">
        <f>_xlfn.XLOOKUP(fact_daily_prices!$J143,dim_sector[sector_id],dim_sector[sector_name])</f>
        <v>Information Technology</v>
      </c>
      <c r="L143" t="str">
        <v>COMP002-17-01-2025</v>
      </c>
      <c r="M143" t="str">
        <f>_xlfn.CONCAT(A142," ",B142)</f>
        <v>45673 COMP002</v>
      </c>
    </row>
    <row r="144" spans="1:13" x14ac:dyDescent="0.3">
      <c r="A144" s="17">
        <v>45677</v>
      </c>
      <c r="B144" s="18" t="s">
        <v>11</v>
      </c>
      <c r="C144" s="18">
        <v>1221.55</v>
      </c>
      <c r="D144" s="18">
        <v>1226.31</v>
      </c>
      <c r="E144" s="18">
        <v>1216.79</v>
      </c>
      <c r="F144" s="18">
        <v>1225.04</v>
      </c>
      <c r="G144" s="18">
        <v>1009</v>
      </c>
      <c r="H144" s="18">
        <f t="shared" si="4"/>
        <v>2.3346176451380365E-3</v>
      </c>
      <c r="I144" s="18">
        <f>PRODUCT(fact_daily_prices!$F144,fact_daily_prices!$G144)</f>
        <v>1236065.3599999999</v>
      </c>
      <c r="J144" s="18" t="str">
        <f>_xlfn.XLOOKUP(fact_daily_prices!$B144,dim_company[company_id],dim_company[sector_id])</f>
        <v>SEC01</v>
      </c>
      <c r="K144" s="19" t="str">
        <f>_xlfn.XLOOKUP(fact_daily_prices!$J144,dim_sector[sector_id],dim_sector[sector_name])</f>
        <v>Information Technology</v>
      </c>
      <c r="L144" t="str">
        <v>COMP002-20-01-2025</v>
      </c>
      <c r="M144" t="str">
        <f>_xlfn.CONCAT(A143," ",B143)</f>
        <v>45674 COMP002</v>
      </c>
    </row>
    <row r="145" spans="1:13" x14ac:dyDescent="0.3">
      <c r="A145" s="20">
        <v>45678</v>
      </c>
      <c r="B145" s="7" t="s">
        <v>11</v>
      </c>
      <c r="C145" s="7">
        <v>1237.8599999999999</v>
      </c>
      <c r="D145" s="7">
        <v>1251.44</v>
      </c>
      <c r="E145" s="7">
        <v>1224.27</v>
      </c>
      <c r="F145" s="7">
        <v>1237.8599999999999</v>
      </c>
      <c r="G145" s="7">
        <v>40809</v>
      </c>
      <c r="H145" s="7">
        <f t="shared" si="4"/>
        <v>1.0356583135411062E-2</v>
      </c>
      <c r="I145" s="7">
        <f>PRODUCT(fact_daily_prices!$F145,fact_daily_prices!$G145)</f>
        <v>50515828.739999995</v>
      </c>
      <c r="J145" s="7" t="str">
        <f>_xlfn.XLOOKUP(fact_daily_prices!$B145,dim_company[company_id],dim_company[sector_id])</f>
        <v>SEC01</v>
      </c>
      <c r="K145" s="21" t="str">
        <f>_xlfn.XLOOKUP(fact_daily_prices!$J145,dim_sector[sector_id],dim_sector[sector_name])</f>
        <v>Information Technology</v>
      </c>
      <c r="L145" t="str">
        <v>COMP002-21-01-2025</v>
      </c>
      <c r="M145" t="str">
        <f>_xlfn.CONCAT(A144," ",B144)</f>
        <v>45677 COMP002</v>
      </c>
    </row>
    <row r="146" spans="1:13" x14ac:dyDescent="0.3">
      <c r="A146" s="17">
        <v>45679</v>
      </c>
      <c r="B146" s="18" t="s">
        <v>11</v>
      </c>
      <c r="C146" s="18">
        <v>1246.55</v>
      </c>
      <c r="D146" s="18">
        <v>1260.73</v>
      </c>
      <c r="E146" s="18">
        <v>1232.3699999999999</v>
      </c>
      <c r="F146" s="18">
        <v>1252.6600000000001</v>
      </c>
      <c r="G146" s="18">
        <v>9512</v>
      </c>
      <c r="H146" s="18">
        <f t="shared" si="4"/>
        <v>1.1814857982213994E-2</v>
      </c>
      <c r="I146" s="18">
        <f>PRODUCT(fact_daily_prices!$F146,fact_daily_prices!$G146)</f>
        <v>11915301.92</v>
      </c>
      <c r="J146" s="18" t="str">
        <f>_xlfn.XLOOKUP(fact_daily_prices!$B146,dim_company[company_id],dim_company[sector_id])</f>
        <v>SEC01</v>
      </c>
      <c r="K146" s="19" t="str">
        <f>_xlfn.XLOOKUP(fact_daily_prices!$J146,dim_sector[sector_id],dim_sector[sector_name])</f>
        <v>Information Technology</v>
      </c>
      <c r="L146" t="str">
        <v>COMP002-22-01-2025</v>
      </c>
      <c r="M146" t="str">
        <f>_xlfn.CONCAT(A145," ",B145)</f>
        <v>45678 COMP002</v>
      </c>
    </row>
    <row r="147" spans="1:13" x14ac:dyDescent="0.3">
      <c r="A147" s="20">
        <v>45680</v>
      </c>
      <c r="B147" s="7" t="s">
        <v>11</v>
      </c>
      <c r="C147" s="7">
        <v>1267.57</v>
      </c>
      <c r="D147" s="7">
        <v>1269.3699999999999</v>
      </c>
      <c r="E147" s="7">
        <v>1265.78</v>
      </c>
      <c r="F147" s="7">
        <v>1265.8499999999999</v>
      </c>
      <c r="G147" s="7">
        <v>28534</v>
      </c>
      <c r="H147" s="7">
        <f t="shared" si="4"/>
        <v>1.0419875972666451E-2</v>
      </c>
      <c r="I147" s="7">
        <f>PRODUCT(fact_daily_prices!$F147,fact_daily_prices!$G147)</f>
        <v>36119763.899999999</v>
      </c>
      <c r="J147" s="7" t="str">
        <f>_xlfn.XLOOKUP(fact_daily_prices!$B147,dim_company[company_id],dim_company[sector_id])</f>
        <v>SEC01</v>
      </c>
      <c r="K147" s="21" t="str">
        <f>_xlfn.XLOOKUP(fact_daily_prices!$J147,dim_sector[sector_id],dim_sector[sector_name])</f>
        <v>Information Technology</v>
      </c>
      <c r="L147" t="str">
        <v>COMP002-23-01-2025</v>
      </c>
      <c r="M147" t="str">
        <f>_xlfn.CONCAT(A146," ",B146)</f>
        <v>45679 COMP002</v>
      </c>
    </row>
    <row r="148" spans="1:13" x14ac:dyDescent="0.3">
      <c r="A148" s="17">
        <v>45681</v>
      </c>
      <c r="B148" s="18" t="s">
        <v>11</v>
      </c>
      <c r="C148" s="18">
        <v>1245.53</v>
      </c>
      <c r="D148" s="18">
        <v>1256.53</v>
      </c>
      <c r="E148" s="18">
        <v>1234.54</v>
      </c>
      <c r="F148" s="18">
        <v>1244.79</v>
      </c>
      <c r="G148" s="18">
        <v>29253</v>
      </c>
      <c r="H148" s="18">
        <f t="shared" si="4"/>
        <v>-1.6918516376256194E-2</v>
      </c>
      <c r="I148" s="18">
        <f>PRODUCT(fact_daily_prices!$F148,fact_daily_prices!$G148)</f>
        <v>36413841.869999997</v>
      </c>
      <c r="J148" s="18" t="str">
        <f>_xlfn.XLOOKUP(fact_daily_prices!$B148,dim_company[company_id],dim_company[sector_id])</f>
        <v>SEC01</v>
      </c>
      <c r="K148" s="19" t="str">
        <f>_xlfn.XLOOKUP(fact_daily_prices!$J148,dim_sector[sector_id],dim_sector[sector_name])</f>
        <v>Information Technology</v>
      </c>
      <c r="L148" t="str">
        <v>COMP002-24-01-2025</v>
      </c>
      <c r="M148" t="str">
        <f>_xlfn.CONCAT(A147," ",B147)</f>
        <v>45680 COMP002</v>
      </c>
    </row>
    <row r="149" spans="1:13" x14ac:dyDescent="0.3">
      <c r="A149" s="20">
        <v>45684</v>
      </c>
      <c r="B149" s="7" t="s">
        <v>11</v>
      </c>
      <c r="C149" s="7">
        <v>1225.94</v>
      </c>
      <c r="D149" s="7">
        <v>1237.76</v>
      </c>
      <c r="E149" s="7">
        <v>1214.1099999999999</v>
      </c>
      <c r="F149" s="7">
        <v>1235.1300000000001</v>
      </c>
      <c r="G149" s="7">
        <v>13219</v>
      </c>
      <c r="H149" s="7">
        <f t="shared" si="4"/>
        <v>-7.8210390809063442E-3</v>
      </c>
      <c r="I149" s="7">
        <f>PRODUCT(fact_daily_prices!$F149,fact_daily_prices!$G149)</f>
        <v>16327183.470000001</v>
      </c>
      <c r="J149" s="7" t="str">
        <f>_xlfn.XLOOKUP(fact_daily_prices!$B149,dim_company[company_id],dim_company[sector_id])</f>
        <v>SEC01</v>
      </c>
      <c r="K149" s="21" t="str">
        <f>_xlfn.XLOOKUP(fact_daily_prices!$J149,dim_sector[sector_id],dim_sector[sector_name])</f>
        <v>Information Technology</v>
      </c>
      <c r="L149" t="str">
        <v>COMP002-27-01-2025</v>
      </c>
      <c r="M149" t="str">
        <f>_xlfn.CONCAT(A148," ",B148)</f>
        <v>45681 COMP002</v>
      </c>
    </row>
    <row r="150" spans="1:13" x14ac:dyDescent="0.3">
      <c r="A150" s="17">
        <v>45685</v>
      </c>
      <c r="B150" s="18" t="s">
        <v>11</v>
      </c>
      <c r="C150" s="18">
        <v>1235.55</v>
      </c>
      <c r="D150" s="18">
        <v>1248.8900000000001</v>
      </c>
      <c r="E150" s="18">
        <v>1222.2</v>
      </c>
      <c r="F150" s="18">
        <v>1225.25</v>
      </c>
      <c r="G150" s="18">
        <v>9567</v>
      </c>
      <c r="H150" s="18">
        <f t="shared" si="4"/>
        <v>-8.0636604774536706E-3</v>
      </c>
      <c r="I150" s="18">
        <f>PRODUCT(fact_daily_prices!$F150,fact_daily_prices!$G150)</f>
        <v>11721966.75</v>
      </c>
      <c r="J150" s="18" t="str">
        <f>_xlfn.XLOOKUP(fact_daily_prices!$B150,dim_company[company_id],dim_company[sector_id])</f>
        <v>SEC01</v>
      </c>
      <c r="K150" s="19" t="str">
        <f>_xlfn.XLOOKUP(fact_daily_prices!$J150,dim_sector[sector_id],dim_sector[sector_name])</f>
        <v>Information Technology</v>
      </c>
      <c r="L150" t="str">
        <v>COMP002-28-01-2025</v>
      </c>
      <c r="M150" t="str">
        <f>_xlfn.CONCAT(A149," ",B149)</f>
        <v>45684 COMP002</v>
      </c>
    </row>
    <row r="151" spans="1:13" x14ac:dyDescent="0.3">
      <c r="A151" s="20">
        <v>45686</v>
      </c>
      <c r="B151" s="7" t="s">
        <v>11</v>
      </c>
      <c r="C151" s="7">
        <v>1223.1099999999999</v>
      </c>
      <c r="D151" s="7">
        <v>1237.6199999999999</v>
      </c>
      <c r="E151" s="7">
        <v>1208.5899999999999</v>
      </c>
      <c r="F151" s="7">
        <v>1213.57</v>
      </c>
      <c r="G151" s="7">
        <v>9162</v>
      </c>
      <c r="H151" s="7">
        <f t="shared" si="4"/>
        <v>-9.6244963207726495E-3</v>
      </c>
      <c r="I151" s="7">
        <f>PRODUCT(fact_daily_prices!$F151,fact_daily_prices!$G151)</f>
        <v>11118728.34</v>
      </c>
      <c r="J151" s="7" t="str">
        <f>_xlfn.XLOOKUP(fact_daily_prices!$B151,dim_company[company_id],dim_company[sector_id])</f>
        <v>SEC01</v>
      </c>
      <c r="K151" s="21" t="str">
        <f>_xlfn.XLOOKUP(fact_daily_prices!$J151,dim_sector[sector_id],dim_sector[sector_name])</f>
        <v>Information Technology</v>
      </c>
      <c r="L151" t="str">
        <v>COMP002-29-01-2025</v>
      </c>
      <c r="M151" t="str">
        <f>_xlfn.CONCAT(A150," ",B150)</f>
        <v>45685 COMP002</v>
      </c>
    </row>
    <row r="152" spans="1:13" x14ac:dyDescent="0.3">
      <c r="A152" s="17">
        <v>45687</v>
      </c>
      <c r="B152" s="18" t="s">
        <v>11</v>
      </c>
      <c r="C152" s="18">
        <v>1192.49</v>
      </c>
      <c r="D152" s="18">
        <v>1202.19</v>
      </c>
      <c r="E152" s="18">
        <v>1182.8</v>
      </c>
      <c r="F152" s="18">
        <v>1200.5899999999999</v>
      </c>
      <c r="G152" s="18">
        <v>44925</v>
      </c>
      <c r="H152" s="18">
        <f t="shared" si="4"/>
        <v>-1.0811351085716205E-2</v>
      </c>
      <c r="I152" s="18">
        <f>PRODUCT(fact_daily_prices!$F152,fact_daily_prices!$G152)</f>
        <v>53936505.75</v>
      </c>
      <c r="J152" s="18" t="str">
        <f>_xlfn.XLOOKUP(fact_daily_prices!$B152,dim_company[company_id],dim_company[sector_id])</f>
        <v>SEC01</v>
      </c>
      <c r="K152" s="19" t="str">
        <f>_xlfn.XLOOKUP(fact_daily_prices!$J152,dim_sector[sector_id],dim_sector[sector_name])</f>
        <v>Information Technology</v>
      </c>
      <c r="L152" t="str">
        <v>COMP002-30-01-2025</v>
      </c>
      <c r="M152" t="str">
        <f>_xlfn.CONCAT(A151," ",B151)</f>
        <v>45686 COMP002</v>
      </c>
    </row>
    <row r="153" spans="1:13" x14ac:dyDescent="0.3">
      <c r="A153" s="20">
        <v>45688</v>
      </c>
      <c r="B153" s="7" t="s">
        <v>11</v>
      </c>
      <c r="C153" s="7">
        <v>1182.04</v>
      </c>
      <c r="D153" s="7">
        <v>1191.9100000000001</v>
      </c>
      <c r="E153" s="7">
        <v>1172.1600000000001</v>
      </c>
      <c r="F153" s="7">
        <v>1190.77</v>
      </c>
      <c r="G153" s="7">
        <v>42832</v>
      </c>
      <c r="H153" s="7">
        <f t="shared" si="4"/>
        <v>-8.2467646984723635E-3</v>
      </c>
      <c r="I153" s="7">
        <f>PRODUCT(fact_daily_prices!$F153,fact_daily_prices!$G153)</f>
        <v>51003060.640000001</v>
      </c>
      <c r="J153" s="7" t="str">
        <f>_xlfn.XLOOKUP(fact_daily_prices!$B153,dim_company[company_id],dim_company[sector_id])</f>
        <v>SEC01</v>
      </c>
      <c r="K153" s="21" t="str">
        <f>_xlfn.XLOOKUP(fact_daily_prices!$J153,dim_sector[sector_id],dim_sector[sector_name])</f>
        <v>Information Technology</v>
      </c>
      <c r="L153" t="str">
        <v>COMP002-31-01-2025</v>
      </c>
      <c r="M153" t="str">
        <f>_xlfn.CONCAT(A152," ",B152)</f>
        <v>45687 COMP002</v>
      </c>
    </row>
    <row r="154" spans="1:13" x14ac:dyDescent="0.3">
      <c r="A154" s="17">
        <v>45691</v>
      </c>
      <c r="B154" s="18" t="s">
        <v>11</v>
      </c>
      <c r="C154" s="18">
        <v>1195.52</v>
      </c>
      <c r="D154" s="18">
        <v>1214.06</v>
      </c>
      <c r="E154" s="18">
        <v>1176.98</v>
      </c>
      <c r="F154" s="18">
        <v>1196.0999999999999</v>
      </c>
      <c r="G154" s="18">
        <v>22204</v>
      </c>
      <c r="H154" s="18">
        <f t="shared" si="4"/>
        <v>4.4561491514086846E-3</v>
      </c>
      <c r="I154" s="18">
        <f>PRODUCT(fact_daily_prices!$F154,fact_daily_prices!$G154)</f>
        <v>26558204.399999999</v>
      </c>
      <c r="J154" s="18" t="str">
        <f>_xlfn.XLOOKUP(fact_daily_prices!$B154,dim_company[company_id],dim_company[sector_id])</f>
        <v>SEC01</v>
      </c>
      <c r="K154" s="19" t="str">
        <f>_xlfn.XLOOKUP(fact_daily_prices!$J154,dim_sector[sector_id],dim_sector[sector_name])</f>
        <v>Information Technology</v>
      </c>
      <c r="L154" t="str">
        <v>COMP002-03-02-2025</v>
      </c>
      <c r="M154" t="str">
        <f>_xlfn.CONCAT(A153," ",B153)</f>
        <v>45688 COMP002</v>
      </c>
    </row>
    <row r="155" spans="1:13" x14ac:dyDescent="0.3">
      <c r="A155" s="20">
        <v>45692</v>
      </c>
      <c r="B155" s="7" t="s">
        <v>11</v>
      </c>
      <c r="C155" s="7">
        <v>1203.27</v>
      </c>
      <c r="D155" s="7">
        <v>1208.3499999999999</v>
      </c>
      <c r="E155" s="7">
        <v>1198.19</v>
      </c>
      <c r="F155" s="7">
        <v>1203.8599999999999</v>
      </c>
      <c r="G155" s="7">
        <v>1077</v>
      </c>
      <c r="H155" s="7">
        <f t="shared" si="4"/>
        <v>6.4459322512584452E-3</v>
      </c>
      <c r="I155" s="7">
        <f>PRODUCT(fact_daily_prices!$F155,fact_daily_prices!$G155)</f>
        <v>1296557.22</v>
      </c>
      <c r="J155" s="7" t="str">
        <f>_xlfn.XLOOKUP(fact_daily_prices!$B155,dim_company[company_id],dim_company[sector_id])</f>
        <v>SEC01</v>
      </c>
      <c r="K155" s="21" t="str">
        <f>_xlfn.XLOOKUP(fact_daily_prices!$J155,dim_sector[sector_id],dim_sector[sector_name])</f>
        <v>Information Technology</v>
      </c>
      <c r="L155" t="str">
        <v>COMP002-04-02-2025</v>
      </c>
      <c r="M155" t="str">
        <f>_xlfn.CONCAT(A154," ",B154)</f>
        <v>45691 COMP002</v>
      </c>
    </row>
    <row r="156" spans="1:13" x14ac:dyDescent="0.3">
      <c r="A156" s="17">
        <v>45693</v>
      </c>
      <c r="B156" s="18" t="s">
        <v>11</v>
      </c>
      <c r="C156" s="18">
        <v>1206.0999999999999</v>
      </c>
      <c r="D156" s="18">
        <v>1216.72</v>
      </c>
      <c r="E156" s="18">
        <v>1195.48</v>
      </c>
      <c r="F156" s="18">
        <v>1204.1300000000001</v>
      </c>
      <c r="G156" s="18">
        <v>15060</v>
      </c>
      <c r="H156" s="18">
        <f t="shared" si="4"/>
        <v>2.2422828099973355E-4</v>
      </c>
      <c r="I156" s="18">
        <f>PRODUCT(fact_daily_prices!$F156,fact_daily_prices!$G156)</f>
        <v>18134197.800000001</v>
      </c>
      <c r="J156" s="18" t="str">
        <f>_xlfn.XLOOKUP(fact_daily_prices!$B156,dim_company[company_id],dim_company[sector_id])</f>
        <v>SEC01</v>
      </c>
      <c r="K156" s="19" t="str">
        <f>_xlfn.XLOOKUP(fact_daily_prices!$J156,dim_sector[sector_id],dim_sector[sector_name])</f>
        <v>Information Technology</v>
      </c>
      <c r="L156" t="str">
        <v>COMP002-05-02-2025</v>
      </c>
      <c r="M156" t="str">
        <f>_xlfn.CONCAT(A155," ",B155)</f>
        <v>45692 COMP002</v>
      </c>
    </row>
    <row r="157" spans="1:13" x14ac:dyDescent="0.3">
      <c r="A157" s="20">
        <v>45694</v>
      </c>
      <c r="B157" s="7" t="s">
        <v>11</v>
      </c>
      <c r="C157" s="7">
        <v>1196.83</v>
      </c>
      <c r="D157" s="7">
        <v>1212.06</v>
      </c>
      <c r="E157" s="7">
        <v>1181.5999999999999</v>
      </c>
      <c r="F157" s="7">
        <v>1197.97</v>
      </c>
      <c r="G157" s="7">
        <v>10510</v>
      </c>
      <c r="H157" s="7">
        <f t="shared" si="4"/>
        <v>-5.1420319373607698E-3</v>
      </c>
      <c r="I157" s="7">
        <f>PRODUCT(fact_daily_prices!$F157,fact_daily_prices!$G157)</f>
        <v>12590664.700000001</v>
      </c>
      <c r="J157" s="7" t="str">
        <f>_xlfn.XLOOKUP(fact_daily_prices!$B157,dim_company[company_id],dim_company[sector_id])</f>
        <v>SEC01</v>
      </c>
      <c r="K157" s="21" t="str">
        <f>_xlfn.XLOOKUP(fact_daily_prices!$J157,dim_sector[sector_id],dim_sector[sector_name])</f>
        <v>Information Technology</v>
      </c>
      <c r="L157" t="str">
        <v>COMP002-06-02-2025</v>
      </c>
      <c r="M157" t="str">
        <f>_xlfn.CONCAT(A156," ",B156)</f>
        <v>45693 COMP002</v>
      </c>
    </row>
    <row r="158" spans="1:13" x14ac:dyDescent="0.3">
      <c r="A158" s="17">
        <v>45695</v>
      </c>
      <c r="B158" s="18" t="s">
        <v>11</v>
      </c>
      <c r="C158" s="18">
        <v>1215.4000000000001</v>
      </c>
      <c r="D158" s="18">
        <v>1235.04</v>
      </c>
      <c r="E158" s="18">
        <v>1195.75</v>
      </c>
      <c r="F158" s="18">
        <v>1217.6600000000001</v>
      </c>
      <c r="G158" s="18">
        <v>8804</v>
      </c>
      <c r="H158" s="18">
        <f t="shared" si="4"/>
        <v>1.6170359542072542E-2</v>
      </c>
      <c r="I158" s="18">
        <f>PRODUCT(fact_daily_prices!$F158,fact_daily_prices!$G158)</f>
        <v>10720278.640000001</v>
      </c>
      <c r="J158" s="18" t="str">
        <f>_xlfn.XLOOKUP(fact_daily_prices!$B158,dim_company[company_id],dim_company[sector_id])</f>
        <v>SEC01</v>
      </c>
      <c r="K158" s="19" t="str">
        <f>_xlfn.XLOOKUP(fact_daily_prices!$J158,dim_sector[sector_id],dim_sector[sector_name])</f>
        <v>Information Technology</v>
      </c>
      <c r="L158" t="str">
        <v>COMP002-07-02-2025</v>
      </c>
      <c r="M158" t="str">
        <f>_xlfn.CONCAT(A157," ",B157)</f>
        <v>45694 COMP002</v>
      </c>
    </row>
    <row r="159" spans="1:13" x14ac:dyDescent="0.3">
      <c r="A159" s="20">
        <v>45698</v>
      </c>
      <c r="B159" s="7" t="s">
        <v>11</v>
      </c>
      <c r="C159" s="7">
        <v>1211.1199999999999</v>
      </c>
      <c r="D159" s="7">
        <v>1223.8800000000001</v>
      </c>
      <c r="E159" s="7">
        <v>1198.3599999999999</v>
      </c>
      <c r="F159" s="7">
        <v>1216.55</v>
      </c>
      <c r="G159" s="7">
        <v>19574</v>
      </c>
      <c r="H159" s="7">
        <f t="shared" si="4"/>
        <v>-9.1241625909344243E-4</v>
      </c>
      <c r="I159" s="7">
        <f>PRODUCT(fact_daily_prices!$F159,fact_daily_prices!$G159)</f>
        <v>23812749.699999999</v>
      </c>
      <c r="J159" s="7" t="str">
        <f>_xlfn.XLOOKUP(fact_daily_prices!$B159,dim_company[company_id],dim_company[sector_id])</f>
        <v>SEC01</v>
      </c>
      <c r="K159" s="21" t="str">
        <f>_xlfn.XLOOKUP(fact_daily_prices!$J159,dim_sector[sector_id],dim_sector[sector_name])</f>
        <v>Information Technology</v>
      </c>
      <c r="L159" t="str">
        <v>COMP002-10-02-2025</v>
      </c>
      <c r="M159" t="str">
        <f>_xlfn.CONCAT(A158," ",B158)</f>
        <v>45695 COMP002</v>
      </c>
    </row>
    <row r="160" spans="1:13" x14ac:dyDescent="0.3">
      <c r="A160" s="17">
        <v>45699</v>
      </c>
      <c r="B160" s="18" t="s">
        <v>11</v>
      </c>
      <c r="C160" s="18">
        <v>1234.02</v>
      </c>
      <c r="D160" s="18">
        <v>1245.51</v>
      </c>
      <c r="E160" s="18">
        <v>1222.54</v>
      </c>
      <c r="F160" s="18">
        <v>1231.29</v>
      </c>
      <c r="G160" s="18">
        <v>12246</v>
      </c>
      <c r="H160" s="18">
        <f t="shared" si="4"/>
        <v>1.1971184692477004E-2</v>
      </c>
      <c r="I160" s="18">
        <f>PRODUCT(fact_daily_prices!$F160,fact_daily_prices!$G160)</f>
        <v>15078377.34</v>
      </c>
      <c r="J160" s="18" t="str">
        <f>_xlfn.XLOOKUP(fact_daily_prices!$B160,dim_company[company_id],dim_company[sector_id])</f>
        <v>SEC01</v>
      </c>
      <c r="K160" s="19" t="str">
        <f>_xlfn.XLOOKUP(fact_daily_prices!$J160,dim_sector[sector_id],dim_sector[sector_name])</f>
        <v>Information Technology</v>
      </c>
      <c r="L160" t="str">
        <v>COMP002-11-02-2025</v>
      </c>
      <c r="M160" t="str">
        <f>_xlfn.CONCAT(A159," ",B159)</f>
        <v>45698 COMP002</v>
      </c>
    </row>
    <row r="161" spans="1:13" x14ac:dyDescent="0.3">
      <c r="A161" s="20">
        <v>45700</v>
      </c>
      <c r="B161" s="7" t="s">
        <v>11</v>
      </c>
      <c r="C161" s="7">
        <v>1220.83</v>
      </c>
      <c r="D161" s="7">
        <v>1232.17</v>
      </c>
      <c r="E161" s="7">
        <v>1209.49</v>
      </c>
      <c r="F161" s="7">
        <v>1222.78</v>
      </c>
      <c r="G161" s="7">
        <v>37455</v>
      </c>
      <c r="H161" s="7">
        <f t="shared" si="4"/>
        <v>-6.9595511866402714E-3</v>
      </c>
      <c r="I161" s="7">
        <f>PRODUCT(fact_daily_prices!$F161,fact_daily_prices!$G161)</f>
        <v>45799224.899999999</v>
      </c>
      <c r="J161" s="7" t="str">
        <f>_xlfn.XLOOKUP(fact_daily_prices!$B161,dim_company[company_id],dim_company[sector_id])</f>
        <v>SEC01</v>
      </c>
      <c r="K161" s="21" t="str">
        <f>_xlfn.XLOOKUP(fact_daily_prices!$J161,dim_sector[sector_id],dim_sector[sector_name])</f>
        <v>Information Technology</v>
      </c>
      <c r="L161" t="str">
        <v>COMP002-12-02-2025</v>
      </c>
      <c r="M161" t="str">
        <f>_xlfn.CONCAT(A160," ",B160)</f>
        <v>45699 COMP002</v>
      </c>
    </row>
    <row r="162" spans="1:13" x14ac:dyDescent="0.3">
      <c r="A162" s="17">
        <v>45701</v>
      </c>
      <c r="B162" s="18" t="s">
        <v>11</v>
      </c>
      <c r="C162" s="18">
        <v>1225.5999999999999</v>
      </c>
      <c r="D162" s="18">
        <v>1235.0899999999999</v>
      </c>
      <c r="E162" s="18">
        <v>1216.1099999999999</v>
      </c>
      <c r="F162" s="18">
        <v>1229.46</v>
      </c>
      <c r="G162" s="18">
        <v>42157</v>
      </c>
      <c r="H162" s="18">
        <f t="shared" si="4"/>
        <v>5.4332796512290464E-3</v>
      </c>
      <c r="I162" s="18">
        <f>PRODUCT(fact_daily_prices!$F162,fact_daily_prices!$G162)</f>
        <v>51830345.219999999</v>
      </c>
      <c r="J162" s="18" t="str">
        <f>_xlfn.XLOOKUP(fact_daily_prices!$B162,dim_company[company_id],dim_company[sector_id])</f>
        <v>SEC01</v>
      </c>
      <c r="K162" s="19" t="str">
        <f>_xlfn.XLOOKUP(fact_daily_prices!$J162,dim_sector[sector_id],dim_sector[sector_name])</f>
        <v>Information Technology</v>
      </c>
      <c r="L162" t="str">
        <v>COMP002-13-02-2025</v>
      </c>
      <c r="M162" t="str">
        <f>_xlfn.CONCAT(A161," ",B161)</f>
        <v>45700 COMP002</v>
      </c>
    </row>
    <row r="163" spans="1:13" x14ac:dyDescent="0.3">
      <c r="A163" s="20">
        <v>45702</v>
      </c>
      <c r="B163" s="7" t="s">
        <v>11</v>
      </c>
      <c r="C163" s="7">
        <v>1254.6300000000001</v>
      </c>
      <c r="D163" s="7">
        <v>1274.23</v>
      </c>
      <c r="E163" s="7">
        <v>1235.02</v>
      </c>
      <c r="F163" s="7">
        <v>1250.72</v>
      </c>
      <c r="G163" s="7">
        <v>25519</v>
      </c>
      <c r="H163" s="7">
        <f t="shared" si="4"/>
        <v>1.6998209031597791E-2</v>
      </c>
      <c r="I163" s="7">
        <f>PRODUCT(fact_daily_prices!$F163,fact_daily_prices!$G163)</f>
        <v>31917123.68</v>
      </c>
      <c r="J163" s="7" t="str">
        <f>_xlfn.XLOOKUP(fact_daily_prices!$B163,dim_company[company_id],dim_company[sector_id])</f>
        <v>SEC01</v>
      </c>
      <c r="K163" s="21" t="str">
        <f>_xlfn.XLOOKUP(fact_daily_prices!$J163,dim_sector[sector_id],dim_sector[sector_name])</f>
        <v>Information Technology</v>
      </c>
      <c r="L163" t="str">
        <v>COMP002-14-02-2025</v>
      </c>
      <c r="M163" t="str">
        <f>_xlfn.CONCAT(A162," ",B162)</f>
        <v>45701 COMP002</v>
      </c>
    </row>
    <row r="164" spans="1:13" x14ac:dyDescent="0.3">
      <c r="A164" s="17">
        <v>45705</v>
      </c>
      <c r="B164" s="18" t="s">
        <v>11</v>
      </c>
      <c r="C164" s="18">
        <v>1216.95</v>
      </c>
      <c r="D164" s="18">
        <v>1227.3699999999999</v>
      </c>
      <c r="E164" s="18">
        <v>1206.54</v>
      </c>
      <c r="F164" s="18">
        <v>1210.57</v>
      </c>
      <c r="G164" s="18">
        <v>6788</v>
      </c>
      <c r="H164" s="18">
        <f t="shared" si="4"/>
        <v>-3.3166194437331251E-2</v>
      </c>
      <c r="I164" s="18">
        <f>PRODUCT(fact_daily_prices!$F164,fact_daily_prices!$G164)</f>
        <v>8217349.1599999992</v>
      </c>
      <c r="J164" s="18" t="str">
        <f>_xlfn.XLOOKUP(fact_daily_prices!$B164,dim_company[company_id],dim_company[sector_id])</f>
        <v>SEC01</v>
      </c>
      <c r="K164" s="19" t="str">
        <f>_xlfn.XLOOKUP(fact_daily_prices!$J164,dim_sector[sector_id],dim_sector[sector_name])</f>
        <v>Information Technology</v>
      </c>
      <c r="L164" t="str">
        <v>COMP002-17-02-2025</v>
      </c>
      <c r="M164" t="str">
        <f>_xlfn.CONCAT(A163," ",B163)</f>
        <v>45702 COMP002</v>
      </c>
    </row>
    <row r="165" spans="1:13" x14ac:dyDescent="0.3">
      <c r="A165" s="20">
        <v>45706</v>
      </c>
      <c r="B165" s="7" t="s">
        <v>11</v>
      </c>
      <c r="C165" s="7">
        <v>1197.95</v>
      </c>
      <c r="D165" s="7">
        <v>1212.81</v>
      </c>
      <c r="E165" s="7">
        <v>1183.0999999999999</v>
      </c>
      <c r="F165" s="7">
        <v>1200.9100000000001</v>
      </c>
      <c r="G165" s="7">
        <v>1922</v>
      </c>
      <c r="H165" s="7">
        <f t="shared" si="4"/>
        <v>-8.0439000424676731E-3</v>
      </c>
      <c r="I165" s="7">
        <f>PRODUCT(fact_daily_prices!$F165,fact_daily_prices!$G165)</f>
        <v>2308149.02</v>
      </c>
      <c r="J165" s="7" t="str">
        <f>_xlfn.XLOOKUP(fact_daily_prices!$B165,dim_company[company_id],dim_company[sector_id])</f>
        <v>SEC01</v>
      </c>
      <c r="K165" s="21" t="str">
        <f>_xlfn.XLOOKUP(fact_daily_prices!$J165,dim_sector[sector_id],dim_sector[sector_name])</f>
        <v>Information Technology</v>
      </c>
      <c r="L165" t="str">
        <v>COMP002-18-02-2025</v>
      </c>
      <c r="M165" t="str">
        <f>_xlfn.CONCAT(A164," ",B164)</f>
        <v>45705 COMP002</v>
      </c>
    </row>
    <row r="166" spans="1:13" x14ac:dyDescent="0.3">
      <c r="A166" s="17">
        <v>45707</v>
      </c>
      <c r="B166" s="18" t="s">
        <v>11</v>
      </c>
      <c r="C166" s="18">
        <v>1217.92</v>
      </c>
      <c r="D166" s="18">
        <v>1229.3</v>
      </c>
      <c r="E166" s="18">
        <v>1206.54</v>
      </c>
      <c r="F166" s="18">
        <v>1210.21</v>
      </c>
      <c r="G166" s="18">
        <v>2120</v>
      </c>
      <c r="H166" s="18">
        <f t="shared" si="4"/>
        <v>7.6846167194122954E-3</v>
      </c>
      <c r="I166" s="18">
        <f>PRODUCT(fact_daily_prices!$F166,fact_daily_prices!$G166)</f>
        <v>2565645.2000000002</v>
      </c>
      <c r="J166" s="18" t="str">
        <f>_xlfn.XLOOKUP(fact_daily_prices!$B166,dim_company[company_id],dim_company[sector_id])</f>
        <v>SEC01</v>
      </c>
      <c r="K166" s="19" t="str">
        <f>_xlfn.XLOOKUP(fact_daily_prices!$J166,dim_sector[sector_id],dim_sector[sector_name])</f>
        <v>Information Technology</v>
      </c>
      <c r="L166" t="str">
        <v>COMP002-19-02-2025</v>
      </c>
      <c r="M166" t="str">
        <f>_xlfn.CONCAT(A165," ",B165)</f>
        <v>45706 COMP002</v>
      </c>
    </row>
    <row r="167" spans="1:13" x14ac:dyDescent="0.3">
      <c r="A167" s="20">
        <v>45708</v>
      </c>
      <c r="B167" s="7" t="s">
        <v>11</v>
      </c>
      <c r="C167" s="7">
        <v>1228.26</v>
      </c>
      <c r="D167" s="7">
        <v>1246.52</v>
      </c>
      <c r="E167" s="7">
        <v>1210</v>
      </c>
      <c r="F167" s="7">
        <v>1229.1400000000001</v>
      </c>
      <c r="G167" s="7">
        <v>3336</v>
      </c>
      <c r="H167" s="7">
        <f t="shared" si="4"/>
        <v>1.5401012089753863E-2</v>
      </c>
      <c r="I167" s="7">
        <f>PRODUCT(fact_daily_prices!$F167,fact_daily_prices!$G167)</f>
        <v>4100411.0400000005</v>
      </c>
      <c r="J167" s="7" t="str">
        <f>_xlfn.XLOOKUP(fact_daily_prices!$B167,dim_company[company_id],dim_company[sector_id])</f>
        <v>SEC01</v>
      </c>
      <c r="K167" s="21" t="str">
        <f>_xlfn.XLOOKUP(fact_daily_prices!$J167,dim_sector[sector_id],dim_sector[sector_name])</f>
        <v>Information Technology</v>
      </c>
      <c r="L167" t="str">
        <v>COMP002-20-02-2025</v>
      </c>
      <c r="M167" t="str">
        <f>_xlfn.CONCAT(A166," ",B166)</f>
        <v>45707 COMP002</v>
      </c>
    </row>
    <row r="168" spans="1:13" x14ac:dyDescent="0.3">
      <c r="A168" s="17">
        <v>45709</v>
      </c>
      <c r="B168" s="18" t="s">
        <v>11</v>
      </c>
      <c r="C168" s="18">
        <v>1225.97</v>
      </c>
      <c r="D168" s="18">
        <v>1233.4100000000001</v>
      </c>
      <c r="E168" s="18">
        <v>1218.53</v>
      </c>
      <c r="F168" s="18">
        <v>1232.58</v>
      </c>
      <c r="G168" s="18">
        <v>33265</v>
      </c>
      <c r="H168" s="18">
        <f t="shared" si="4"/>
        <v>2.7908938973533787E-3</v>
      </c>
      <c r="I168" s="18">
        <f>PRODUCT(fact_daily_prices!$F168,fact_daily_prices!$G168)</f>
        <v>41001773.699999996</v>
      </c>
      <c r="J168" s="18" t="str">
        <f>_xlfn.XLOOKUP(fact_daily_prices!$B168,dim_company[company_id],dim_company[sector_id])</f>
        <v>SEC01</v>
      </c>
      <c r="K168" s="19" t="str">
        <f>_xlfn.XLOOKUP(fact_daily_prices!$J168,dim_sector[sector_id],dim_sector[sector_name])</f>
        <v>Information Technology</v>
      </c>
      <c r="L168" t="str">
        <v>COMP002-21-02-2025</v>
      </c>
      <c r="M168" t="str">
        <f>_xlfn.CONCAT(A167," ",B167)</f>
        <v>45708 COMP002</v>
      </c>
    </row>
    <row r="169" spans="1:13" x14ac:dyDescent="0.3">
      <c r="A169" s="20">
        <v>45712</v>
      </c>
      <c r="B169" s="7" t="s">
        <v>11</v>
      </c>
      <c r="C169" s="7">
        <v>1230.43</v>
      </c>
      <c r="D169" s="7">
        <v>1245.83</v>
      </c>
      <c r="E169" s="7">
        <v>1215.03</v>
      </c>
      <c r="F169" s="7">
        <v>1233.6500000000001</v>
      </c>
      <c r="G169" s="7">
        <v>47197</v>
      </c>
      <c r="H169" s="7">
        <f t="shared" si="4"/>
        <v>8.6734487091165533E-4</v>
      </c>
      <c r="I169" s="7">
        <f>PRODUCT(fact_daily_prices!$F169,fact_daily_prices!$G169)</f>
        <v>58224579.050000004</v>
      </c>
      <c r="J169" s="7" t="str">
        <f>_xlfn.XLOOKUP(fact_daily_prices!$B169,dim_company[company_id],dim_company[sector_id])</f>
        <v>SEC01</v>
      </c>
      <c r="K169" s="21" t="str">
        <f>_xlfn.XLOOKUP(fact_daily_prices!$J169,dim_sector[sector_id],dim_sector[sector_name])</f>
        <v>Information Technology</v>
      </c>
      <c r="L169" t="str">
        <v>COMP002-24-02-2025</v>
      </c>
      <c r="M169" t="str">
        <f>_xlfn.CONCAT(A168," ",B168)</f>
        <v>45709 COMP002</v>
      </c>
    </row>
    <row r="170" spans="1:13" x14ac:dyDescent="0.3">
      <c r="A170" s="17">
        <v>45713</v>
      </c>
      <c r="B170" s="18" t="s">
        <v>11</v>
      </c>
      <c r="C170" s="18">
        <v>1268.18</v>
      </c>
      <c r="D170" s="18">
        <v>1279.92</v>
      </c>
      <c r="E170" s="18">
        <v>1256.45</v>
      </c>
      <c r="F170" s="18">
        <v>1259.23</v>
      </c>
      <c r="G170" s="18">
        <v>7371</v>
      </c>
      <c r="H170" s="18">
        <f t="shared" si="4"/>
        <v>2.0314001413562197E-2</v>
      </c>
      <c r="I170" s="18">
        <f>PRODUCT(fact_daily_prices!$F170,fact_daily_prices!$G170)</f>
        <v>9281784.3300000001</v>
      </c>
      <c r="J170" s="18" t="str">
        <f>_xlfn.XLOOKUP(fact_daily_prices!$B170,dim_company[company_id],dim_company[sector_id])</f>
        <v>SEC01</v>
      </c>
      <c r="K170" s="19" t="str">
        <f>_xlfn.XLOOKUP(fact_daily_prices!$J170,dim_sector[sector_id],dim_sector[sector_name])</f>
        <v>Information Technology</v>
      </c>
      <c r="L170" t="str">
        <v>COMP002-25-02-2025</v>
      </c>
      <c r="M170" t="str">
        <f>_xlfn.CONCAT(A169," ",B169)</f>
        <v>45712 COMP002</v>
      </c>
    </row>
    <row r="171" spans="1:13" x14ac:dyDescent="0.3">
      <c r="A171" s="20">
        <v>45714</v>
      </c>
      <c r="B171" s="7" t="s">
        <v>11</v>
      </c>
      <c r="C171" s="7">
        <v>1278.03</v>
      </c>
      <c r="D171" s="7">
        <v>1291.6099999999999</v>
      </c>
      <c r="E171" s="7">
        <v>1264.45</v>
      </c>
      <c r="F171" s="7">
        <v>1279.9100000000001</v>
      </c>
      <c r="G171" s="7">
        <v>36996</v>
      </c>
      <c r="H171" s="7">
        <f t="shared" si="4"/>
        <v>1.615738606620783E-2</v>
      </c>
      <c r="I171" s="7">
        <f>PRODUCT(fact_daily_prices!$F171,fact_daily_prices!$G171)</f>
        <v>47351550.359999999</v>
      </c>
      <c r="J171" s="7" t="str">
        <f>_xlfn.XLOOKUP(fact_daily_prices!$B171,dim_company[company_id],dim_company[sector_id])</f>
        <v>SEC01</v>
      </c>
      <c r="K171" s="21" t="str">
        <f>_xlfn.XLOOKUP(fact_daily_prices!$J171,dim_sector[sector_id],dim_sector[sector_name])</f>
        <v>Information Technology</v>
      </c>
      <c r="L171" t="str">
        <v>COMP002-26-02-2025</v>
      </c>
      <c r="M171" t="str">
        <f>_xlfn.CONCAT(A170," ",B170)</f>
        <v>45713 COMP002</v>
      </c>
    </row>
    <row r="172" spans="1:13" x14ac:dyDescent="0.3">
      <c r="A172" s="17">
        <v>45715</v>
      </c>
      <c r="B172" s="18" t="s">
        <v>11</v>
      </c>
      <c r="C172" s="18">
        <v>1266.96</v>
      </c>
      <c r="D172" s="18">
        <v>1279.96</v>
      </c>
      <c r="E172" s="18">
        <v>1253.97</v>
      </c>
      <c r="F172" s="18">
        <v>1266.29</v>
      </c>
      <c r="G172" s="18">
        <v>19755</v>
      </c>
      <c r="H172" s="18">
        <f t="shared" si="4"/>
        <v>-1.0755830023138553E-2</v>
      </c>
      <c r="I172" s="18">
        <f>PRODUCT(fact_daily_prices!$F172,fact_daily_prices!$G172)</f>
        <v>25015558.949999999</v>
      </c>
      <c r="J172" s="18" t="str">
        <f>_xlfn.XLOOKUP(fact_daily_prices!$B172,dim_company[company_id],dim_company[sector_id])</f>
        <v>SEC01</v>
      </c>
      <c r="K172" s="19" t="str">
        <f>_xlfn.XLOOKUP(fact_daily_prices!$J172,dim_sector[sector_id],dim_sector[sector_name])</f>
        <v>Information Technology</v>
      </c>
      <c r="L172" t="str">
        <v>COMP002-27-02-2025</v>
      </c>
      <c r="M172" t="str">
        <f>_xlfn.CONCAT(A171," ",B171)</f>
        <v>45714 COMP002</v>
      </c>
    </row>
    <row r="173" spans="1:13" x14ac:dyDescent="0.3">
      <c r="A173" s="20">
        <v>45716</v>
      </c>
      <c r="B173" s="7" t="s">
        <v>11</v>
      </c>
      <c r="C173" s="7">
        <v>1268.47</v>
      </c>
      <c r="D173" s="7">
        <v>1286.77</v>
      </c>
      <c r="E173" s="7">
        <v>1250.18</v>
      </c>
      <c r="F173" s="7">
        <v>1268.45</v>
      </c>
      <c r="G173" s="7">
        <v>17478</v>
      </c>
      <c r="H173" s="7">
        <f t="shared" si="4"/>
        <v>1.7028657022350757E-3</v>
      </c>
      <c r="I173" s="7">
        <f>PRODUCT(fact_daily_prices!$F173,fact_daily_prices!$G173)</f>
        <v>22169969.100000001</v>
      </c>
      <c r="J173" s="7" t="str">
        <f>_xlfn.XLOOKUP(fact_daily_prices!$B173,dim_company[company_id],dim_company[sector_id])</f>
        <v>SEC01</v>
      </c>
      <c r="K173" s="21" t="str">
        <f>_xlfn.XLOOKUP(fact_daily_prices!$J173,dim_sector[sector_id],dim_sector[sector_name])</f>
        <v>Information Technology</v>
      </c>
      <c r="L173" t="str">
        <v>COMP002-28-02-2025</v>
      </c>
      <c r="M173" t="str">
        <f>_xlfn.CONCAT(A172," ",B172)</f>
        <v>45715 COMP002</v>
      </c>
    </row>
    <row r="174" spans="1:13" x14ac:dyDescent="0.3">
      <c r="A174" s="17">
        <v>45719</v>
      </c>
      <c r="B174" s="18" t="s">
        <v>11</v>
      </c>
      <c r="C174" s="18">
        <v>1274.94</v>
      </c>
      <c r="D174" s="18">
        <v>1289.77</v>
      </c>
      <c r="E174" s="18">
        <v>1260.0999999999999</v>
      </c>
      <c r="F174" s="18">
        <v>1274.52</v>
      </c>
      <c r="G174" s="18">
        <v>34561</v>
      </c>
      <c r="H174" s="18">
        <f t="shared" si="4"/>
        <v>4.7625772839970625E-3</v>
      </c>
      <c r="I174" s="18">
        <f>PRODUCT(fact_daily_prices!$F174,fact_daily_prices!$G174)</f>
        <v>44048685.719999999</v>
      </c>
      <c r="J174" s="18" t="str">
        <f>_xlfn.XLOOKUP(fact_daily_prices!$B174,dim_company[company_id],dim_company[sector_id])</f>
        <v>SEC01</v>
      </c>
      <c r="K174" s="19" t="str">
        <f>_xlfn.XLOOKUP(fact_daily_prices!$J174,dim_sector[sector_id],dim_sector[sector_name])</f>
        <v>Information Technology</v>
      </c>
      <c r="L174" t="str">
        <v>COMP002-03-03-2025</v>
      </c>
      <c r="M174" t="str">
        <f>_xlfn.CONCAT(A173," ",B173)</f>
        <v>45716 COMP002</v>
      </c>
    </row>
    <row r="175" spans="1:13" x14ac:dyDescent="0.3">
      <c r="A175" s="20">
        <v>45720</v>
      </c>
      <c r="B175" s="7" t="s">
        <v>11</v>
      </c>
      <c r="C175" s="7">
        <v>1301.5</v>
      </c>
      <c r="D175" s="7">
        <v>1309.29</v>
      </c>
      <c r="E175" s="7">
        <v>1293.72</v>
      </c>
      <c r="F175" s="7">
        <v>1302.73</v>
      </c>
      <c r="G175" s="7">
        <v>13298</v>
      </c>
      <c r="H175" s="7">
        <f t="shared" si="4"/>
        <v>2.1654525496457466E-2</v>
      </c>
      <c r="I175" s="7">
        <f>PRODUCT(fact_daily_prices!$F175,fact_daily_prices!$G175)</f>
        <v>17323703.539999999</v>
      </c>
      <c r="J175" s="7" t="str">
        <f>_xlfn.XLOOKUP(fact_daily_prices!$B175,dim_company[company_id],dim_company[sector_id])</f>
        <v>SEC01</v>
      </c>
      <c r="K175" s="21" t="str">
        <f>_xlfn.XLOOKUP(fact_daily_prices!$J175,dim_sector[sector_id],dim_sector[sector_name])</f>
        <v>Information Technology</v>
      </c>
      <c r="L175" t="str">
        <v>COMP002-04-03-2025</v>
      </c>
      <c r="M175" t="str">
        <f>_xlfn.CONCAT(A174," ",B174)</f>
        <v>45719 COMP002</v>
      </c>
    </row>
    <row r="176" spans="1:13" x14ac:dyDescent="0.3">
      <c r="A176" s="17">
        <v>45721</v>
      </c>
      <c r="B176" s="18" t="s">
        <v>11</v>
      </c>
      <c r="C176" s="18">
        <v>1325.45</v>
      </c>
      <c r="D176" s="18">
        <v>1342.6</v>
      </c>
      <c r="E176" s="18">
        <v>1308.31</v>
      </c>
      <c r="F176" s="18">
        <v>1317.33</v>
      </c>
      <c r="G176" s="18">
        <v>45165</v>
      </c>
      <c r="H176" s="18">
        <f t="shared" si="4"/>
        <v>1.1083023995505993E-2</v>
      </c>
      <c r="I176" s="18">
        <f>PRODUCT(fact_daily_prices!$F176,fact_daily_prices!$G176)</f>
        <v>59497209.449999996</v>
      </c>
      <c r="J176" s="18" t="str">
        <f>_xlfn.XLOOKUP(fact_daily_prices!$B176,dim_company[company_id],dim_company[sector_id])</f>
        <v>SEC01</v>
      </c>
      <c r="K176" s="19" t="str">
        <f>_xlfn.XLOOKUP(fact_daily_prices!$J176,dim_sector[sector_id],dim_sector[sector_name])</f>
        <v>Information Technology</v>
      </c>
      <c r="L176" t="str">
        <v>COMP002-05-03-2025</v>
      </c>
      <c r="M176" t="str">
        <f>_xlfn.CONCAT(A175," ",B175)</f>
        <v>45720 COMP002</v>
      </c>
    </row>
    <row r="177" spans="1:13" x14ac:dyDescent="0.3">
      <c r="A177" s="20">
        <v>45722</v>
      </c>
      <c r="B177" s="7" t="s">
        <v>11</v>
      </c>
      <c r="C177" s="7">
        <v>1315.12</v>
      </c>
      <c r="D177" s="7">
        <v>1326.48</v>
      </c>
      <c r="E177" s="7">
        <v>1303.77</v>
      </c>
      <c r="F177" s="7">
        <v>1315.93</v>
      </c>
      <c r="G177" s="7">
        <v>11541</v>
      </c>
      <c r="H177" s="7">
        <f t="shared" si="4"/>
        <v>-1.0638863769348397E-3</v>
      </c>
      <c r="I177" s="7">
        <f>PRODUCT(fact_daily_prices!$F177,fact_daily_prices!$G177)</f>
        <v>15187148.130000001</v>
      </c>
      <c r="J177" s="7" t="str">
        <f>_xlfn.XLOOKUP(fact_daily_prices!$B177,dim_company[company_id],dim_company[sector_id])</f>
        <v>SEC01</v>
      </c>
      <c r="K177" s="21" t="str">
        <f>_xlfn.XLOOKUP(fact_daily_prices!$J177,dim_sector[sector_id],dim_sector[sector_name])</f>
        <v>Information Technology</v>
      </c>
      <c r="L177" t="str">
        <v>COMP002-06-03-2025</v>
      </c>
      <c r="M177" t="str">
        <f>_xlfn.CONCAT(A176," ",B176)</f>
        <v>45721 COMP002</v>
      </c>
    </row>
    <row r="178" spans="1:13" x14ac:dyDescent="0.3">
      <c r="A178" s="17">
        <v>45723</v>
      </c>
      <c r="B178" s="18" t="s">
        <v>11</v>
      </c>
      <c r="C178" s="18">
        <v>1315.98</v>
      </c>
      <c r="D178" s="18">
        <v>1336.13</v>
      </c>
      <c r="E178" s="18">
        <v>1295.82</v>
      </c>
      <c r="F178" s="18">
        <v>1319.9</v>
      </c>
      <c r="G178" s="18">
        <v>8783</v>
      </c>
      <c r="H178" s="18">
        <f t="shared" si="4"/>
        <v>3.0078036214864967E-3</v>
      </c>
      <c r="I178" s="18">
        <f>PRODUCT(fact_daily_prices!$F178,fact_daily_prices!$G178)</f>
        <v>11592681.700000001</v>
      </c>
      <c r="J178" s="18" t="str">
        <f>_xlfn.XLOOKUP(fact_daily_prices!$B178,dim_company[company_id],dim_company[sector_id])</f>
        <v>SEC01</v>
      </c>
      <c r="K178" s="19" t="str">
        <f>_xlfn.XLOOKUP(fact_daily_prices!$J178,dim_sector[sector_id],dim_sector[sector_name])</f>
        <v>Information Technology</v>
      </c>
      <c r="L178" t="str">
        <v>COMP002-07-03-2025</v>
      </c>
      <c r="M178" t="str">
        <f>_xlfn.CONCAT(A177," ",B177)</f>
        <v>45722 COMP002</v>
      </c>
    </row>
    <row r="179" spans="1:13" x14ac:dyDescent="0.3">
      <c r="A179" s="20">
        <v>45726</v>
      </c>
      <c r="B179" s="7" t="s">
        <v>11</v>
      </c>
      <c r="C179" s="7">
        <v>1287.8800000000001</v>
      </c>
      <c r="D179" s="7">
        <v>1302.29</v>
      </c>
      <c r="E179" s="7">
        <v>1273.48</v>
      </c>
      <c r="F179" s="7">
        <v>1289.24</v>
      </c>
      <c r="G179" s="7">
        <v>27215</v>
      </c>
      <c r="H179" s="7">
        <f t="shared" si="4"/>
        <v>-2.3781452638763988E-2</v>
      </c>
      <c r="I179" s="7">
        <f>PRODUCT(fact_daily_prices!$F179,fact_daily_prices!$G179)</f>
        <v>35086666.600000001</v>
      </c>
      <c r="J179" s="7" t="str">
        <f>_xlfn.XLOOKUP(fact_daily_prices!$B179,dim_company[company_id],dim_company[sector_id])</f>
        <v>SEC01</v>
      </c>
      <c r="K179" s="21" t="str">
        <f>_xlfn.XLOOKUP(fact_daily_prices!$J179,dim_sector[sector_id],dim_sector[sector_name])</f>
        <v>Information Technology</v>
      </c>
      <c r="L179" t="str">
        <v>COMP002-10-03-2025</v>
      </c>
      <c r="M179" t="str">
        <f>_xlfn.CONCAT(A178," ",B178)</f>
        <v>45723 COMP002</v>
      </c>
    </row>
    <row r="180" spans="1:13" x14ac:dyDescent="0.3">
      <c r="A180" s="17">
        <v>45727</v>
      </c>
      <c r="B180" s="18" t="s">
        <v>11</v>
      </c>
      <c r="C180" s="18">
        <v>1304.5999999999999</v>
      </c>
      <c r="D180" s="18">
        <v>1328.15</v>
      </c>
      <c r="E180" s="18">
        <v>1281.05</v>
      </c>
      <c r="F180" s="18">
        <v>1305.3800000000001</v>
      </c>
      <c r="G180" s="18">
        <v>38219</v>
      </c>
      <c r="H180" s="18">
        <f t="shared" si="4"/>
        <v>1.2364215783909742E-2</v>
      </c>
      <c r="I180" s="18">
        <f>PRODUCT(fact_daily_prices!$F180,fact_daily_prices!$G180)</f>
        <v>49890318.220000006</v>
      </c>
      <c r="J180" s="18" t="str">
        <f>_xlfn.XLOOKUP(fact_daily_prices!$B180,dim_company[company_id],dim_company[sector_id])</f>
        <v>SEC01</v>
      </c>
      <c r="K180" s="19" t="str">
        <f>_xlfn.XLOOKUP(fact_daily_prices!$J180,dim_sector[sector_id],dim_sector[sector_name])</f>
        <v>Information Technology</v>
      </c>
      <c r="L180" t="str">
        <v>COMP002-11-03-2025</v>
      </c>
      <c r="M180" t="str">
        <f>_xlfn.CONCAT(A179," ",B179)</f>
        <v>45726 COMP002</v>
      </c>
    </row>
    <row r="181" spans="1:13" x14ac:dyDescent="0.3">
      <c r="A181" s="20">
        <v>45728</v>
      </c>
      <c r="B181" s="7" t="s">
        <v>11</v>
      </c>
      <c r="C181" s="7">
        <v>1318.05</v>
      </c>
      <c r="D181" s="7">
        <v>1340.55</v>
      </c>
      <c r="E181" s="7">
        <v>1295.56</v>
      </c>
      <c r="F181" s="7">
        <v>1316.36</v>
      </c>
      <c r="G181" s="7">
        <v>39727</v>
      </c>
      <c r="H181" s="7">
        <f t="shared" si="4"/>
        <v>8.3411832629370318E-3</v>
      </c>
      <c r="I181" s="7">
        <f>PRODUCT(fact_daily_prices!$F181,fact_daily_prices!$G181)</f>
        <v>52295033.719999999</v>
      </c>
      <c r="J181" s="7" t="str">
        <f>_xlfn.XLOOKUP(fact_daily_prices!$B181,dim_company[company_id],dim_company[sector_id])</f>
        <v>SEC01</v>
      </c>
      <c r="K181" s="21" t="str">
        <f>_xlfn.XLOOKUP(fact_daily_prices!$J181,dim_sector[sector_id],dim_sector[sector_name])</f>
        <v>Information Technology</v>
      </c>
      <c r="L181" t="str">
        <v>COMP002-12-03-2025</v>
      </c>
      <c r="M181" t="str">
        <f>_xlfn.CONCAT(A180," ",B180)</f>
        <v>45727 COMP002</v>
      </c>
    </row>
    <row r="182" spans="1:13" x14ac:dyDescent="0.3">
      <c r="A182" s="17">
        <v>45729</v>
      </c>
      <c r="B182" s="18" t="s">
        <v>11</v>
      </c>
      <c r="C182" s="18">
        <v>1335.33</v>
      </c>
      <c r="D182" s="18">
        <v>1354.35</v>
      </c>
      <c r="E182" s="18">
        <v>1316.31</v>
      </c>
      <c r="F182" s="18">
        <v>1336.94</v>
      </c>
      <c r="G182" s="18">
        <v>45409</v>
      </c>
      <c r="H182" s="18">
        <f t="shared" si="4"/>
        <v>1.5393360958607083E-2</v>
      </c>
      <c r="I182" s="18">
        <f>PRODUCT(fact_daily_prices!$F182,fact_daily_prices!$G182)</f>
        <v>60709108.460000001</v>
      </c>
      <c r="J182" s="18" t="str">
        <f>_xlfn.XLOOKUP(fact_daily_prices!$B182,dim_company[company_id],dim_company[sector_id])</f>
        <v>SEC01</v>
      </c>
      <c r="K182" s="19" t="str">
        <f>_xlfn.XLOOKUP(fact_daily_prices!$J182,dim_sector[sector_id],dim_sector[sector_name])</f>
        <v>Information Technology</v>
      </c>
      <c r="L182" t="str">
        <v>COMP002-13-03-2025</v>
      </c>
      <c r="M182" t="str">
        <f>_xlfn.CONCAT(A181," ",B181)</f>
        <v>45728 COMP002</v>
      </c>
    </row>
    <row r="183" spans="1:13" x14ac:dyDescent="0.3">
      <c r="A183" s="20">
        <v>45730</v>
      </c>
      <c r="B183" s="7" t="s">
        <v>11</v>
      </c>
      <c r="C183" s="7">
        <v>1334.72</v>
      </c>
      <c r="D183" s="7">
        <v>1336.67</v>
      </c>
      <c r="E183" s="7">
        <v>1332.77</v>
      </c>
      <c r="F183" s="7">
        <v>1334.83</v>
      </c>
      <c r="G183" s="7">
        <v>45327</v>
      </c>
      <c r="H183" s="7">
        <f t="shared" si="4"/>
        <v>-1.5807256354742757E-3</v>
      </c>
      <c r="I183" s="7">
        <f>PRODUCT(fact_daily_prices!$F183,fact_daily_prices!$G183)</f>
        <v>60503839.409999996</v>
      </c>
      <c r="J183" s="7" t="str">
        <f>_xlfn.XLOOKUP(fact_daily_prices!$B183,dim_company[company_id],dim_company[sector_id])</f>
        <v>SEC01</v>
      </c>
      <c r="K183" s="21" t="str">
        <f>_xlfn.XLOOKUP(fact_daily_prices!$J183,dim_sector[sector_id],dim_sector[sector_name])</f>
        <v>Information Technology</v>
      </c>
      <c r="L183" t="str">
        <v>COMP002-14-03-2025</v>
      </c>
      <c r="M183" t="str">
        <f>_xlfn.CONCAT(A182," ",B182)</f>
        <v>45729 COMP002</v>
      </c>
    </row>
    <row r="184" spans="1:13" x14ac:dyDescent="0.3">
      <c r="A184" s="17">
        <v>45733</v>
      </c>
      <c r="B184" s="18" t="s">
        <v>11</v>
      </c>
      <c r="C184" s="18">
        <v>1336.36</v>
      </c>
      <c r="D184" s="18">
        <v>1359.78</v>
      </c>
      <c r="E184" s="18">
        <v>1312.95</v>
      </c>
      <c r="F184" s="18">
        <v>1337.3</v>
      </c>
      <c r="G184" s="18">
        <v>35560</v>
      </c>
      <c r="H184" s="18">
        <f t="shared" si="4"/>
        <v>1.8470051596500615E-3</v>
      </c>
      <c r="I184" s="18">
        <f>PRODUCT(fact_daily_prices!$F184,fact_daily_prices!$G184)</f>
        <v>47554388</v>
      </c>
      <c r="J184" s="18" t="str">
        <f>_xlfn.XLOOKUP(fact_daily_prices!$B184,dim_company[company_id],dim_company[sector_id])</f>
        <v>SEC01</v>
      </c>
      <c r="K184" s="19" t="str">
        <f>_xlfn.XLOOKUP(fact_daily_prices!$J184,dim_sector[sector_id],dim_sector[sector_name])</f>
        <v>Information Technology</v>
      </c>
      <c r="L184" t="str">
        <v>COMP002-17-03-2025</v>
      </c>
      <c r="M184" t="str">
        <f>_xlfn.CONCAT(A183," ",B183)</f>
        <v>45730 COMP002</v>
      </c>
    </row>
    <row r="185" spans="1:13" x14ac:dyDescent="0.3">
      <c r="A185" s="20">
        <v>45734</v>
      </c>
      <c r="B185" s="7" t="s">
        <v>11</v>
      </c>
      <c r="C185" s="7">
        <v>1317.95</v>
      </c>
      <c r="D185" s="7">
        <v>1332.55</v>
      </c>
      <c r="E185" s="7">
        <v>1303.3499999999999</v>
      </c>
      <c r="F185" s="7">
        <v>1329.54</v>
      </c>
      <c r="G185" s="7">
        <v>2645</v>
      </c>
      <c r="H185" s="7">
        <f t="shared" si="4"/>
        <v>-5.8366051416279246E-3</v>
      </c>
      <c r="I185" s="7">
        <f>PRODUCT(fact_daily_prices!$F185,fact_daily_prices!$G185)</f>
        <v>3516633.3</v>
      </c>
      <c r="J185" s="7" t="str">
        <f>_xlfn.XLOOKUP(fact_daily_prices!$B185,dim_company[company_id],dim_company[sector_id])</f>
        <v>SEC01</v>
      </c>
      <c r="K185" s="21" t="str">
        <f>_xlfn.XLOOKUP(fact_daily_prices!$J185,dim_sector[sector_id],dim_sector[sector_name])</f>
        <v>Information Technology</v>
      </c>
      <c r="L185" t="str">
        <v>COMP002-18-03-2025</v>
      </c>
      <c r="M185" t="str">
        <f>_xlfn.CONCAT(A184," ",B184)</f>
        <v>45733 COMP002</v>
      </c>
    </row>
    <row r="186" spans="1:13" x14ac:dyDescent="0.3">
      <c r="A186" s="17">
        <v>45735</v>
      </c>
      <c r="B186" s="18" t="s">
        <v>11</v>
      </c>
      <c r="C186" s="18">
        <v>1302.22</v>
      </c>
      <c r="D186" s="18">
        <v>1315.64</v>
      </c>
      <c r="E186" s="18">
        <v>1288.8</v>
      </c>
      <c r="F186" s="18">
        <v>1310.76</v>
      </c>
      <c r="G186" s="18">
        <v>36840</v>
      </c>
      <c r="H186" s="18">
        <f t="shared" si="4"/>
        <v>-1.4327565687082282E-2</v>
      </c>
      <c r="I186" s="18">
        <f>PRODUCT(fact_daily_prices!$F186,fact_daily_prices!$G186)</f>
        <v>48288398.399999999</v>
      </c>
      <c r="J186" s="18" t="str">
        <f>_xlfn.XLOOKUP(fact_daily_prices!$B186,dim_company[company_id],dim_company[sector_id])</f>
        <v>SEC01</v>
      </c>
      <c r="K186" s="19" t="str">
        <f>_xlfn.XLOOKUP(fact_daily_prices!$J186,dim_sector[sector_id],dim_sector[sector_name])</f>
        <v>Information Technology</v>
      </c>
      <c r="L186" t="str">
        <v>COMP002-19-03-2025</v>
      </c>
      <c r="M186" t="str">
        <f>_xlfn.CONCAT(A185," ",B185)</f>
        <v>45734 COMP002</v>
      </c>
    </row>
    <row r="187" spans="1:13" x14ac:dyDescent="0.3">
      <c r="A187" s="20">
        <v>45736</v>
      </c>
      <c r="B187" s="7" t="s">
        <v>11</v>
      </c>
      <c r="C187" s="7">
        <v>1305.72</v>
      </c>
      <c r="D187" s="7">
        <v>1323.79</v>
      </c>
      <c r="E187" s="7">
        <v>1287.6600000000001</v>
      </c>
      <c r="F187" s="7">
        <v>1301.1600000000001</v>
      </c>
      <c r="G187" s="7">
        <v>3708</v>
      </c>
      <c r="H187" s="7">
        <f t="shared" si="4"/>
        <v>-7.3780319099879402E-3</v>
      </c>
      <c r="I187" s="7">
        <f>PRODUCT(fact_daily_prices!$F187,fact_daily_prices!$G187)</f>
        <v>4824701.28</v>
      </c>
      <c r="J187" s="7" t="str">
        <f>_xlfn.XLOOKUP(fact_daily_prices!$B187,dim_company[company_id],dim_company[sector_id])</f>
        <v>SEC01</v>
      </c>
      <c r="K187" s="21" t="str">
        <f>_xlfn.XLOOKUP(fact_daily_prices!$J187,dim_sector[sector_id],dim_sector[sector_name])</f>
        <v>Information Technology</v>
      </c>
      <c r="L187" t="str">
        <v>COMP002-20-03-2025</v>
      </c>
      <c r="M187" t="str">
        <f>_xlfn.CONCAT(A186," ",B186)</f>
        <v>45735 COMP002</v>
      </c>
    </row>
    <row r="188" spans="1:13" x14ac:dyDescent="0.3">
      <c r="A188" s="17">
        <v>45737</v>
      </c>
      <c r="B188" s="18" t="s">
        <v>11</v>
      </c>
      <c r="C188" s="18">
        <v>1267.33</v>
      </c>
      <c r="D188" s="18">
        <v>1281.6199999999999</v>
      </c>
      <c r="E188" s="18">
        <v>1253.04</v>
      </c>
      <c r="F188" s="18">
        <v>1271.97</v>
      </c>
      <c r="G188" s="18">
        <v>40224</v>
      </c>
      <c r="H188" s="18">
        <f t="shared" si="4"/>
        <v>-2.2948654449397435E-2</v>
      </c>
      <c r="I188" s="18">
        <f>PRODUCT(fact_daily_prices!$F188,fact_daily_prices!$G188)</f>
        <v>51163721.280000001</v>
      </c>
      <c r="J188" s="18" t="str">
        <f>_xlfn.XLOOKUP(fact_daily_prices!$B188,dim_company[company_id],dim_company[sector_id])</f>
        <v>SEC01</v>
      </c>
      <c r="K188" s="19" t="str">
        <f>_xlfn.XLOOKUP(fact_daily_prices!$J188,dim_sector[sector_id],dim_sector[sector_name])</f>
        <v>Information Technology</v>
      </c>
      <c r="L188" t="str">
        <v>COMP002-21-03-2025</v>
      </c>
      <c r="M188" t="str">
        <f>_xlfn.CONCAT(A187," ",B187)</f>
        <v>45736 COMP002</v>
      </c>
    </row>
    <row r="189" spans="1:13" x14ac:dyDescent="0.3">
      <c r="A189" s="20">
        <v>45740</v>
      </c>
      <c r="B189" s="7" t="s">
        <v>11</v>
      </c>
      <c r="C189" s="7">
        <v>1282.79</v>
      </c>
      <c r="D189" s="7">
        <v>1287.1400000000001</v>
      </c>
      <c r="E189" s="7">
        <v>1278.44</v>
      </c>
      <c r="F189" s="7">
        <v>1287.02</v>
      </c>
      <c r="G189" s="7">
        <v>26150</v>
      </c>
      <c r="H189" s="7">
        <f t="shared" si="4"/>
        <v>1.1693679973893145E-2</v>
      </c>
      <c r="I189" s="7">
        <f>PRODUCT(fact_daily_prices!$F189,fact_daily_prices!$G189)</f>
        <v>33655573</v>
      </c>
      <c r="J189" s="7" t="str">
        <f>_xlfn.XLOOKUP(fact_daily_prices!$B189,dim_company[company_id],dim_company[sector_id])</f>
        <v>SEC01</v>
      </c>
      <c r="K189" s="21" t="str">
        <f>_xlfn.XLOOKUP(fact_daily_prices!$J189,dim_sector[sector_id],dim_sector[sector_name])</f>
        <v>Information Technology</v>
      </c>
      <c r="L189" t="str">
        <v>COMP002-24-03-2025</v>
      </c>
      <c r="M189" t="str">
        <f>_xlfn.CONCAT(A188," ",B188)</f>
        <v>45737 COMP002</v>
      </c>
    </row>
    <row r="190" spans="1:13" x14ac:dyDescent="0.3">
      <c r="A190" s="17">
        <v>45741</v>
      </c>
      <c r="B190" s="18" t="s">
        <v>11</v>
      </c>
      <c r="C190" s="18">
        <v>1246.9100000000001</v>
      </c>
      <c r="D190" s="18">
        <v>1262.92</v>
      </c>
      <c r="E190" s="18">
        <v>1230.9000000000001</v>
      </c>
      <c r="F190" s="18">
        <v>1252.53</v>
      </c>
      <c r="G190" s="18">
        <v>8973</v>
      </c>
      <c r="H190" s="18">
        <f t="shared" si="4"/>
        <v>-2.7536266596408877E-2</v>
      </c>
      <c r="I190" s="18">
        <f>PRODUCT(fact_daily_prices!$F190,fact_daily_prices!$G190)</f>
        <v>11238951.689999999</v>
      </c>
      <c r="J190" s="18" t="str">
        <f>_xlfn.XLOOKUP(fact_daily_prices!$B190,dim_company[company_id],dim_company[sector_id])</f>
        <v>SEC01</v>
      </c>
      <c r="K190" s="19" t="str">
        <f>_xlfn.XLOOKUP(fact_daily_prices!$J190,dim_sector[sector_id],dim_sector[sector_name])</f>
        <v>Information Technology</v>
      </c>
      <c r="L190" t="str">
        <v>COMP002-25-03-2025</v>
      </c>
      <c r="M190" t="str">
        <f>_xlfn.CONCAT(A189," ",B189)</f>
        <v>45740 COMP002</v>
      </c>
    </row>
    <row r="191" spans="1:13" x14ac:dyDescent="0.3">
      <c r="A191" s="20">
        <v>45742</v>
      </c>
      <c r="B191" s="7" t="s">
        <v>11</v>
      </c>
      <c r="C191" s="7">
        <v>1285.31</v>
      </c>
      <c r="D191" s="7">
        <v>1294.23</v>
      </c>
      <c r="E191" s="7">
        <v>1276.4000000000001</v>
      </c>
      <c r="F191" s="7">
        <v>1285.32</v>
      </c>
      <c r="G191" s="7">
        <v>37368</v>
      </c>
      <c r="H191" s="7">
        <f t="shared" si="4"/>
        <v>2.5511156754738092E-2</v>
      </c>
      <c r="I191" s="7">
        <f>PRODUCT(fact_daily_prices!$F191,fact_daily_prices!$G191)</f>
        <v>48029837.759999998</v>
      </c>
      <c r="J191" s="7" t="str">
        <f>_xlfn.XLOOKUP(fact_daily_prices!$B191,dim_company[company_id],dim_company[sector_id])</f>
        <v>SEC01</v>
      </c>
      <c r="K191" s="21" t="str">
        <f>_xlfn.XLOOKUP(fact_daily_prices!$J191,dim_sector[sector_id],dim_sector[sector_name])</f>
        <v>Information Technology</v>
      </c>
      <c r="L191" t="str">
        <v>COMP002-26-03-2025</v>
      </c>
      <c r="M191" t="str">
        <f>_xlfn.CONCAT(A190," ",B190)</f>
        <v>45741 COMP002</v>
      </c>
    </row>
    <row r="192" spans="1:13" x14ac:dyDescent="0.3">
      <c r="A192" s="17">
        <v>45743</v>
      </c>
      <c r="B192" s="18" t="s">
        <v>11</v>
      </c>
      <c r="C192" s="18">
        <v>1264.3399999999999</v>
      </c>
      <c r="D192" s="18">
        <v>1272.1300000000001</v>
      </c>
      <c r="E192" s="18">
        <v>1256.54</v>
      </c>
      <c r="F192" s="18">
        <v>1257.3699999999999</v>
      </c>
      <c r="G192" s="18">
        <v>14490</v>
      </c>
      <c r="H192" s="18">
        <f t="shared" si="4"/>
        <v>-2.2228938180487882E-2</v>
      </c>
      <c r="I192" s="18">
        <f>PRODUCT(fact_daily_prices!$F192,fact_daily_prices!$G192)</f>
        <v>18219291.299999997</v>
      </c>
      <c r="J192" s="18" t="str">
        <f>_xlfn.XLOOKUP(fact_daily_prices!$B192,dim_company[company_id],dim_company[sector_id])</f>
        <v>SEC01</v>
      </c>
      <c r="K192" s="19" t="str">
        <f>_xlfn.XLOOKUP(fact_daily_prices!$J192,dim_sector[sector_id],dim_sector[sector_name])</f>
        <v>Information Technology</v>
      </c>
      <c r="L192" t="str">
        <v>COMP002-27-03-2025</v>
      </c>
      <c r="M192" t="str">
        <f>_xlfn.CONCAT(A191," ",B191)</f>
        <v>45742 COMP002</v>
      </c>
    </row>
    <row r="193" spans="1:13" x14ac:dyDescent="0.3">
      <c r="A193" s="20">
        <v>45744</v>
      </c>
      <c r="B193" s="7" t="s">
        <v>11</v>
      </c>
      <c r="C193" s="7">
        <v>1277.44</v>
      </c>
      <c r="D193" s="7">
        <v>1288.02</v>
      </c>
      <c r="E193" s="7">
        <v>1266.8499999999999</v>
      </c>
      <c r="F193" s="7">
        <v>1281.6600000000001</v>
      </c>
      <c r="G193" s="7">
        <v>6299</v>
      </c>
      <c r="H193" s="7">
        <f t="shared" si="4"/>
        <v>1.8951984145561374E-2</v>
      </c>
      <c r="I193" s="7">
        <f>PRODUCT(fact_daily_prices!$F193,fact_daily_prices!$G193)</f>
        <v>8073176.3400000008</v>
      </c>
      <c r="J193" s="7" t="str">
        <f>_xlfn.XLOOKUP(fact_daily_prices!$B193,dim_company[company_id],dim_company[sector_id])</f>
        <v>SEC01</v>
      </c>
      <c r="K193" s="21" t="str">
        <f>_xlfn.XLOOKUP(fact_daily_prices!$J193,dim_sector[sector_id],dim_sector[sector_name])</f>
        <v>Information Technology</v>
      </c>
      <c r="L193" t="str">
        <v>COMP002-28-03-2025</v>
      </c>
      <c r="M193" t="str">
        <f>_xlfn.CONCAT(A192," ",B192)</f>
        <v>45743 COMP002</v>
      </c>
    </row>
    <row r="194" spans="1:13" x14ac:dyDescent="0.3">
      <c r="A194" s="17">
        <v>45747</v>
      </c>
      <c r="B194" s="18" t="s">
        <v>11</v>
      </c>
      <c r="C194" s="18">
        <v>1261.0999999999999</v>
      </c>
      <c r="D194" s="18">
        <v>1278</v>
      </c>
      <c r="E194" s="18">
        <v>1244.19</v>
      </c>
      <c r="F194" s="18">
        <v>1267.3800000000001</v>
      </c>
      <c r="G194" s="18">
        <v>38148</v>
      </c>
      <c r="H194" s="18">
        <f t="shared" si="4"/>
        <v>-1.1267338919661011E-2</v>
      </c>
      <c r="I194" s="18">
        <f>PRODUCT(fact_daily_prices!$F194,fact_daily_prices!$G194)</f>
        <v>48348012.240000002</v>
      </c>
      <c r="J194" s="18" t="str">
        <f>_xlfn.XLOOKUP(fact_daily_prices!$B194,dim_company[company_id],dim_company[sector_id])</f>
        <v>SEC01</v>
      </c>
      <c r="K194" s="19" t="str">
        <f>_xlfn.XLOOKUP(fact_daily_prices!$J194,dim_sector[sector_id],dim_sector[sector_name])</f>
        <v>Information Technology</v>
      </c>
      <c r="L194" t="str">
        <v>COMP002-31-03-2025</v>
      </c>
      <c r="M194" t="str">
        <f>_xlfn.CONCAT(A193," ",B193)</f>
        <v>45744 COMP002</v>
      </c>
    </row>
    <row r="195" spans="1:13" x14ac:dyDescent="0.3">
      <c r="A195" s="20">
        <v>45748</v>
      </c>
      <c r="B195" s="7" t="s">
        <v>11</v>
      </c>
      <c r="C195" s="7">
        <v>1276.02</v>
      </c>
      <c r="D195" s="7">
        <v>1291.5</v>
      </c>
      <c r="E195" s="7">
        <v>1260.53</v>
      </c>
      <c r="F195" s="7">
        <v>1276.68</v>
      </c>
      <c r="G195" s="7">
        <v>11395</v>
      </c>
      <c r="H195" s="7">
        <f t="shared" si="4"/>
        <v>7.2845192217313301E-3</v>
      </c>
      <c r="I195" s="7">
        <f>PRODUCT(fact_daily_prices!$F195,fact_daily_prices!$G195)</f>
        <v>14547768.600000001</v>
      </c>
      <c r="J195" s="7" t="str">
        <f>_xlfn.XLOOKUP(fact_daily_prices!$B195,dim_company[company_id],dim_company[sector_id])</f>
        <v>SEC01</v>
      </c>
      <c r="K195" s="21" t="str">
        <f>_xlfn.XLOOKUP(fact_daily_prices!$J195,dim_sector[sector_id],dim_sector[sector_name])</f>
        <v>Information Technology</v>
      </c>
      <c r="L195" t="str">
        <v>COMP002-01-04-2025</v>
      </c>
      <c r="M195" t="str">
        <f>_xlfn.CONCAT(A194," ",B194)</f>
        <v>45747 COMP002</v>
      </c>
    </row>
    <row r="196" spans="1:13" x14ac:dyDescent="0.3">
      <c r="A196" s="17">
        <v>45749</v>
      </c>
      <c r="B196" s="18" t="s">
        <v>11</v>
      </c>
      <c r="C196" s="18">
        <v>1261.1099999999999</v>
      </c>
      <c r="D196" s="18">
        <v>1270.31</v>
      </c>
      <c r="E196" s="18">
        <v>1251.9000000000001</v>
      </c>
      <c r="F196" s="18">
        <v>1264.93</v>
      </c>
      <c r="G196" s="18">
        <v>5944</v>
      </c>
      <c r="H196" s="18">
        <f t="shared" ref="H196:H259" si="5">(F196-F195)/F196</f>
        <v>-9.2890515680709596E-3</v>
      </c>
      <c r="I196" s="18">
        <f>PRODUCT(fact_daily_prices!$F196,fact_daily_prices!$G196)</f>
        <v>7518743.9199999999</v>
      </c>
      <c r="J196" s="18" t="str">
        <f>_xlfn.XLOOKUP(fact_daily_prices!$B196,dim_company[company_id],dim_company[sector_id])</f>
        <v>SEC01</v>
      </c>
      <c r="K196" s="19" t="str">
        <f>_xlfn.XLOOKUP(fact_daily_prices!$J196,dim_sector[sector_id],dim_sector[sector_name])</f>
        <v>Information Technology</v>
      </c>
      <c r="L196" t="str">
        <v>COMP002-02-04-2025</v>
      </c>
      <c r="M196" t="str">
        <f>_xlfn.CONCAT(A195," ",B195)</f>
        <v>45748 COMP002</v>
      </c>
    </row>
    <row r="197" spans="1:13" x14ac:dyDescent="0.3">
      <c r="A197" s="20">
        <v>45750</v>
      </c>
      <c r="B197" s="7" t="s">
        <v>11</v>
      </c>
      <c r="C197" s="7">
        <v>1302.7</v>
      </c>
      <c r="D197" s="7">
        <v>1317.04</v>
      </c>
      <c r="E197" s="7">
        <v>1288.3599999999999</v>
      </c>
      <c r="F197" s="7">
        <v>1292.2</v>
      </c>
      <c r="G197" s="7">
        <v>25917</v>
      </c>
      <c r="H197" s="7">
        <f t="shared" si="5"/>
        <v>2.1103544342980948E-2</v>
      </c>
      <c r="I197" s="7">
        <f>PRODUCT(fact_daily_prices!$F197,fact_daily_prices!$G197)</f>
        <v>33489947.400000002</v>
      </c>
      <c r="J197" s="7" t="str">
        <f>_xlfn.XLOOKUP(fact_daily_prices!$B197,dim_company[company_id],dim_company[sector_id])</f>
        <v>SEC01</v>
      </c>
      <c r="K197" s="21" t="str">
        <f>_xlfn.XLOOKUP(fact_daily_prices!$J197,dim_sector[sector_id],dim_sector[sector_name])</f>
        <v>Information Technology</v>
      </c>
      <c r="L197" t="str">
        <v>COMP002-03-04-2025</v>
      </c>
      <c r="M197" t="str">
        <f>_xlfn.CONCAT(A196," ",B196)</f>
        <v>45749 COMP002</v>
      </c>
    </row>
    <row r="198" spans="1:13" x14ac:dyDescent="0.3">
      <c r="A198" s="17">
        <v>45751</v>
      </c>
      <c r="B198" s="18" t="s">
        <v>11</v>
      </c>
      <c r="C198" s="18">
        <v>1281.43</v>
      </c>
      <c r="D198" s="18">
        <v>1295.42</v>
      </c>
      <c r="E198" s="18">
        <v>1267.43</v>
      </c>
      <c r="F198" s="18">
        <v>1293.22</v>
      </c>
      <c r="G198" s="18">
        <v>21806</v>
      </c>
      <c r="H198" s="18">
        <f t="shared" si="5"/>
        <v>7.8872890923430031E-4</v>
      </c>
      <c r="I198" s="18">
        <f>PRODUCT(fact_daily_prices!$F198,fact_daily_prices!$G198)</f>
        <v>28199955.32</v>
      </c>
      <c r="J198" s="18" t="str">
        <f>_xlfn.XLOOKUP(fact_daily_prices!$B198,dim_company[company_id],dim_company[sector_id])</f>
        <v>SEC01</v>
      </c>
      <c r="K198" s="19" t="str">
        <f>_xlfn.XLOOKUP(fact_daily_prices!$J198,dim_sector[sector_id],dim_sector[sector_name])</f>
        <v>Information Technology</v>
      </c>
      <c r="L198" t="str">
        <v>COMP002-04-04-2025</v>
      </c>
      <c r="M198" t="str">
        <f>_xlfn.CONCAT(A197," ",B197)</f>
        <v>45750 COMP002</v>
      </c>
    </row>
    <row r="199" spans="1:13" x14ac:dyDescent="0.3">
      <c r="A199" s="20">
        <v>45754</v>
      </c>
      <c r="B199" s="7" t="s">
        <v>11</v>
      </c>
      <c r="C199" s="7">
        <v>1318.07</v>
      </c>
      <c r="D199" s="7">
        <v>1326.75</v>
      </c>
      <c r="E199" s="7">
        <v>1309.3800000000001</v>
      </c>
      <c r="F199" s="7">
        <v>1311.14</v>
      </c>
      <c r="G199" s="7">
        <v>27838</v>
      </c>
      <c r="H199" s="7">
        <f t="shared" si="5"/>
        <v>1.3667495461964451E-2</v>
      </c>
      <c r="I199" s="7">
        <f>PRODUCT(fact_daily_prices!$F199,fact_daily_prices!$G199)</f>
        <v>36499515.32</v>
      </c>
      <c r="J199" s="7" t="str">
        <f>_xlfn.XLOOKUP(fact_daily_prices!$B199,dim_company[company_id],dim_company[sector_id])</f>
        <v>SEC01</v>
      </c>
      <c r="K199" s="21" t="str">
        <f>_xlfn.XLOOKUP(fact_daily_prices!$J199,dim_sector[sector_id],dim_sector[sector_name])</f>
        <v>Information Technology</v>
      </c>
      <c r="L199" t="str">
        <v>COMP002-07-04-2025</v>
      </c>
      <c r="M199" t="str">
        <f>_xlfn.CONCAT(A198," ",B198)</f>
        <v>45751 COMP002</v>
      </c>
    </row>
    <row r="200" spans="1:13" x14ac:dyDescent="0.3">
      <c r="A200" s="17">
        <v>45755</v>
      </c>
      <c r="B200" s="18" t="s">
        <v>11</v>
      </c>
      <c r="C200" s="18">
        <v>1307.81</v>
      </c>
      <c r="D200" s="18">
        <v>1323.92</v>
      </c>
      <c r="E200" s="18">
        <v>1291.71</v>
      </c>
      <c r="F200" s="18">
        <v>1312.71</v>
      </c>
      <c r="G200" s="18">
        <v>28965</v>
      </c>
      <c r="H200" s="18">
        <f t="shared" si="5"/>
        <v>1.1959991163318145E-3</v>
      </c>
      <c r="I200" s="18">
        <f>PRODUCT(fact_daily_prices!$F200,fact_daily_prices!$G200)</f>
        <v>38022645.149999999</v>
      </c>
      <c r="J200" s="18" t="str">
        <f>_xlfn.XLOOKUP(fact_daily_prices!$B200,dim_company[company_id],dim_company[sector_id])</f>
        <v>SEC01</v>
      </c>
      <c r="K200" s="19" t="str">
        <f>_xlfn.XLOOKUP(fact_daily_prices!$J200,dim_sector[sector_id],dim_sector[sector_name])</f>
        <v>Information Technology</v>
      </c>
      <c r="L200" t="str">
        <v>COMP002-08-04-2025</v>
      </c>
      <c r="M200" t="str">
        <f>_xlfn.CONCAT(A199," ",B199)</f>
        <v>45754 COMP002</v>
      </c>
    </row>
    <row r="201" spans="1:13" x14ac:dyDescent="0.3">
      <c r="A201" s="20">
        <v>45756</v>
      </c>
      <c r="B201" s="7" t="s">
        <v>11</v>
      </c>
      <c r="C201" s="7">
        <v>1319.07</v>
      </c>
      <c r="D201" s="7">
        <v>1324.29</v>
      </c>
      <c r="E201" s="7">
        <v>1313.85</v>
      </c>
      <c r="F201" s="7">
        <v>1318.88</v>
      </c>
      <c r="G201" s="7">
        <v>21908</v>
      </c>
      <c r="H201" s="7">
        <f t="shared" si="5"/>
        <v>4.6782118160864309E-3</v>
      </c>
      <c r="I201" s="7">
        <f>PRODUCT(fact_daily_prices!$F201,fact_daily_prices!$G201)</f>
        <v>28894023.040000003</v>
      </c>
      <c r="J201" s="7" t="str">
        <f>_xlfn.XLOOKUP(fact_daily_prices!$B201,dim_company[company_id],dim_company[sector_id])</f>
        <v>SEC01</v>
      </c>
      <c r="K201" s="21" t="str">
        <f>_xlfn.XLOOKUP(fact_daily_prices!$J201,dim_sector[sector_id],dim_sector[sector_name])</f>
        <v>Information Technology</v>
      </c>
      <c r="L201" t="str">
        <v>COMP002-09-04-2025</v>
      </c>
      <c r="M201" t="str">
        <f>_xlfn.CONCAT(A200," ",B200)</f>
        <v>45755 COMP002</v>
      </c>
    </row>
    <row r="202" spans="1:13" x14ac:dyDescent="0.3">
      <c r="A202" s="17">
        <v>45757</v>
      </c>
      <c r="B202" s="18" t="s">
        <v>11</v>
      </c>
      <c r="C202" s="18">
        <v>1323.37</v>
      </c>
      <c r="D202" s="18">
        <v>1339.51</v>
      </c>
      <c r="E202" s="18">
        <v>1307.23</v>
      </c>
      <c r="F202" s="18">
        <v>1329.47</v>
      </c>
      <c r="G202" s="18">
        <v>24570</v>
      </c>
      <c r="H202" s="18">
        <f t="shared" si="5"/>
        <v>7.9655802688288705E-3</v>
      </c>
      <c r="I202" s="18">
        <f>PRODUCT(fact_daily_prices!$F202,fact_daily_prices!$G202)</f>
        <v>32665077.900000002</v>
      </c>
      <c r="J202" s="18" t="str">
        <f>_xlfn.XLOOKUP(fact_daily_prices!$B202,dim_company[company_id],dim_company[sector_id])</f>
        <v>SEC01</v>
      </c>
      <c r="K202" s="19" t="str">
        <f>_xlfn.XLOOKUP(fact_daily_prices!$J202,dim_sector[sector_id],dim_sector[sector_name])</f>
        <v>Information Technology</v>
      </c>
      <c r="L202" t="str">
        <v>COMP002-10-04-2025</v>
      </c>
      <c r="M202" t="str">
        <f>_xlfn.CONCAT(A201," ",B201)</f>
        <v>45756 COMP002</v>
      </c>
    </row>
    <row r="203" spans="1:13" x14ac:dyDescent="0.3">
      <c r="A203" s="20">
        <v>45758</v>
      </c>
      <c r="B203" s="7" t="s">
        <v>11</v>
      </c>
      <c r="C203" s="7">
        <v>1311.58</v>
      </c>
      <c r="D203" s="7">
        <v>1322.69</v>
      </c>
      <c r="E203" s="7">
        <v>1300.47</v>
      </c>
      <c r="F203" s="7">
        <v>1320.96</v>
      </c>
      <c r="G203" s="7">
        <v>49302</v>
      </c>
      <c r="H203" s="7">
        <f t="shared" si="5"/>
        <v>-6.4422843992247994E-3</v>
      </c>
      <c r="I203" s="7">
        <f>PRODUCT(fact_daily_prices!$F203,fact_daily_prices!$G203)</f>
        <v>65125969.920000002</v>
      </c>
      <c r="J203" s="7" t="str">
        <f>_xlfn.XLOOKUP(fact_daily_prices!$B203,dim_company[company_id],dim_company[sector_id])</f>
        <v>SEC01</v>
      </c>
      <c r="K203" s="21" t="str">
        <f>_xlfn.XLOOKUP(fact_daily_prices!$J203,dim_sector[sector_id],dim_sector[sector_name])</f>
        <v>Information Technology</v>
      </c>
      <c r="L203" t="str">
        <v>COMP002-11-04-2025</v>
      </c>
      <c r="M203" t="str">
        <f>_xlfn.CONCAT(A202," ",B202)</f>
        <v>45757 COMP002</v>
      </c>
    </row>
    <row r="204" spans="1:13" x14ac:dyDescent="0.3">
      <c r="A204" s="17">
        <v>45761</v>
      </c>
      <c r="B204" s="18" t="s">
        <v>11</v>
      </c>
      <c r="C204" s="18">
        <v>1300.04</v>
      </c>
      <c r="D204" s="18">
        <v>1313.85</v>
      </c>
      <c r="E204" s="18">
        <v>1286.23</v>
      </c>
      <c r="F204" s="18">
        <v>1300.1300000000001</v>
      </c>
      <c r="G204" s="18">
        <v>39000</v>
      </c>
      <c r="H204" s="18">
        <f t="shared" si="5"/>
        <v>-1.6021474775599304E-2</v>
      </c>
      <c r="I204" s="18">
        <f>PRODUCT(fact_daily_prices!$F204,fact_daily_prices!$G204)</f>
        <v>50705070.000000007</v>
      </c>
      <c r="J204" s="18" t="str">
        <f>_xlfn.XLOOKUP(fact_daily_prices!$B204,dim_company[company_id],dim_company[sector_id])</f>
        <v>SEC01</v>
      </c>
      <c r="K204" s="19" t="str">
        <f>_xlfn.XLOOKUP(fact_daily_prices!$J204,dim_sector[sector_id],dim_sector[sector_name])</f>
        <v>Information Technology</v>
      </c>
      <c r="L204" t="str">
        <v>COMP002-14-04-2025</v>
      </c>
      <c r="M204" t="str">
        <f>_xlfn.CONCAT(A203," ",B203)</f>
        <v>45758 COMP002</v>
      </c>
    </row>
    <row r="205" spans="1:13" x14ac:dyDescent="0.3">
      <c r="A205" s="20">
        <v>45762</v>
      </c>
      <c r="B205" s="7" t="s">
        <v>11</v>
      </c>
      <c r="C205" s="7">
        <v>1277.26</v>
      </c>
      <c r="D205" s="7">
        <v>1289.54</v>
      </c>
      <c r="E205" s="7">
        <v>1264.97</v>
      </c>
      <c r="F205" s="7">
        <v>1279.29</v>
      </c>
      <c r="G205" s="7">
        <v>13342</v>
      </c>
      <c r="H205" s="7">
        <f t="shared" si="5"/>
        <v>-1.6290286018025738E-2</v>
      </c>
      <c r="I205" s="7">
        <f>PRODUCT(fact_daily_prices!$F205,fact_daily_prices!$G205)</f>
        <v>17068287.18</v>
      </c>
      <c r="J205" s="7" t="str">
        <f>_xlfn.XLOOKUP(fact_daily_prices!$B205,dim_company[company_id],dim_company[sector_id])</f>
        <v>SEC01</v>
      </c>
      <c r="K205" s="21" t="str">
        <f>_xlfn.XLOOKUP(fact_daily_prices!$J205,dim_sector[sector_id],dim_sector[sector_name])</f>
        <v>Information Technology</v>
      </c>
      <c r="L205" t="str">
        <v>COMP002-15-04-2025</v>
      </c>
      <c r="M205" t="str">
        <f>_xlfn.CONCAT(A204," ",B204)</f>
        <v>45761 COMP002</v>
      </c>
    </row>
    <row r="206" spans="1:13" x14ac:dyDescent="0.3">
      <c r="A206" s="17">
        <v>45763</v>
      </c>
      <c r="B206" s="18" t="s">
        <v>11</v>
      </c>
      <c r="C206" s="18">
        <v>1287.75</v>
      </c>
      <c r="D206" s="18">
        <v>1304.6400000000001</v>
      </c>
      <c r="E206" s="18">
        <v>1270.8499999999999</v>
      </c>
      <c r="F206" s="18">
        <v>1280.4100000000001</v>
      </c>
      <c r="G206" s="18">
        <v>35249</v>
      </c>
      <c r="H206" s="18">
        <f t="shared" si="5"/>
        <v>8.7471981630893086E-4</v>
      </c>
      <c r="I206" s="18">
        <f>PRODUCT(fact_daily_prices!$F206,fact_daily_prices!$G206)</f>
        <v>45133172.090000004</v>
      </c>
      <c r="J206" s="18" t="str">
        <f>_xlfn.XLOOKUP(fact_daily_prices!$B206,dim_company[company_id],dim_company[sector_id])</f>
        <v>SEC01</v>
      </c>
      <c r="K206" s="19" t="str">
        <f>_xlfn.XLOOKUP(fact_daily_prices!$J206,dim_sector[sector_id],dim_sector[sector_name])</f>
        <v>Information Technology</v>
      </c>
      <c r="L206" t="str">
        <v>COMP002-16-04-2025</v>
      </c>
      <c r="M206" t="str">
        <f>_xlfn.CONCAT(A205," ",B205)</f>
        <v>45762 COMP002</v>
      </c>
    </row>
    <row r="207" spans="1:13" x14ac:dyDescent="0.3">
      <c r="A207" s="20">
        <v>45764</v>
      </c>
      <c r="B207" s="7" t="s">
        <v>11</v>
      </c>
      <c r="C207" s="7">
        <v>1277.58</v>
      </c>
      <c r="D207" s="7">
        <v>1295.7</v>
      </c>
      <c r="E207" s="7">
        <v>1259.45</v>
      </c>
      <c r="F207" s="7">
        <v>1272.8599999999999</v>
      </c>
      <c r="G207" s="7">
        <v>48190</v>
      </c>
      <c r="H207" s="7">
        <f t="shared" si="5"/>
        <v>-5.9315242838962516E-3</v>
      </c>
      <c r="I207" s="7">
        <f>PRODUCT(fact_daily_prices!$F207,fact_daily_prices!$G207)</f>
        <v>61339123.399999999</v>
      </c>
      <c r="J207" s="7" t="str">
        <f>_xlfn.XLOOKUP(fact_daily_prices!$B207,dim_company[company_id],dim_company[sector_id])</f>
        <v>SEC01</v>
      </c>
      <c r="K207" s="21" t="str">
        <f>_xlfn.XLOOKUP(fact_daily_prices!$J207,dim_sector[sector_id],dim_sector[sector_name])</f>
        <v>Information Technology</v>
      </c>
      <c r="L207" t="str">
        <v>COMP002-17-04-2025</v>
      </c>
      <c r="M207" t="str">
        <f>_xlfn.CONCAT(A206," ",B206)</f>
        <v>45763 COMP002</v>
      </c>
    </row>
    <row r="208" spans="1:13" x14ac:dyDescent="0.3">
      <c r="A208" s="17">
        <v>45765</v>
      </c>
      <c r="B208" s="18" t="s">
        <v>11</v>
      </c>
      <c r="C208" s="18">
        <v>1240.93</v>
      </c>
      <c r="D208" s="18">
        <v>1263.46</v>
      </c>
      <c r="E208" s="18">
        <v>1218.3900000000001</v>
      </c>
      <c r="F208" s="18">
        <v>1239.2</v>
      </c>
      <c r="G208" s="18">
        <v>20846</v>
      </c>
      <c r="H208" s="18">
        <f t="shared" si="5"/>
        <v>-2.7162685603615119E-2</v>
      </c>
      <c r="I208" s="18">
        <f>PRODUCT(fact_daily_prices!$F208,fact_daily_prices!$G208)</f>
        <v>25832363.199999999</v>
      </c>
      <c r="J208" s="18" t="str">
        <f>_xlfn.XLOOKUP(fact_daily_prices!$B208,dim_company[company_id],dim_company[sector_id])</f>
        <v>SEC01</v>
      </c>
      <c r="K208" s="19" t="str">
        <f>_xlfn.XLOOKUP(fact_daily_prices!$J208,dim_sector[sector_id],dim_sector[sector_name])</f>
        <v>Information Technology</v>
      </c>
      <c r="L208" t="str">
        <v>COMP002-18-04-2025</v>
      </c>
      <c r="M208" t="str">
        <f>_xlfn.CONCAT(A207," ",B207)</f>
        <v>45764 COMP002</v>
      </c>
    </row>
    <row r="209" spans="1:13" x14ac:dyDescent="0.3">
      <c r="A209" s="20">
        <v>45768</v>
      </c>
      <c r="B209" s="7" t="s">
        <v>11</v>
      </c>
      <c r="C209" s="7">
        <v>1255.42</v>
      </c>
      <c r="D209" s="7">
        <v>1263.97</v>
      </c>
      <c r="E209" s="7">
        <v>1246.8599999999999</v>
      </c>
      <c r="F209" s="7">
        <v>1247.53</v>
      </c>
      <c r="G209" s="7">
        <v>11998</v>
      </c>
      <c r="H209" s="7">
        <f t="shared" si="5"/>
        <v>6.6771941356119115E-3</v>
      </c>
      <c r="I209" s="7">
        <f>PRODUCT(fact_daily_prices!$F209,fact_daily_prices!$G209)</f>
        <v>14967864.939999999</v>
      </c>
      <c r="J209" s="7" t="str">
        <f>_xlfn.XLOOKUP(fact_daily_prices!$B209,dim_company[company_id],dim_company[sector_id])</f>
        <v>SEC01</v>
      </c>
      <c r="K209" s="21" t="str">
        <f>_xlfn.XLOOKUP(fact_daily_prices!$J209,dim_sector[sector_id],dim_sector[sector_name])</f>
        <v>Information Technology</v>
      </c>
      <c r="L209" t="str">
        <v>COMP002-21-04-2025</v>
      </c>
      <c r="M209" t="str">
        <f>_xlfn.CONCAT(A208," ",B208)</f>
        <v>45765 COMP002</v>
      </c>
    </row>
    <row r="210" spans="1:13" x14ac:dyDescent="0.3">
      <c r="A210" s="17">
        <v>45769</v>
      </c>
      <c r="B210" s="18" t="s">
        <v>11</v>
      </c>
      <c r="C210" s="18">
        <v>1229.53</v>
      </c>
      <c r="D210" s="18">
        <v>1235.06</v>
      </c>
      <c r="E210" s="18">
        <v>1224</v>
      </c>
      <c r="F210" s="18">
        <v>1228.82</v>
      </c>
      <c r="G210" s="18">
        <v>9519</v>
      </c>
      <c r="H210" s="18">
        <f t="shared" si="5"/>
        <v>-1.5225989160332708E-2</v>
      </c>
      <c r="I210" s="18">
        <f>PRODUCT(fact_daily_prices!$F210,fact_daily_prices!$G210)</f>
        <v>11697137.58</v>
      </c>
      <c r="J210" s="18" t="str">
        <f>_xlfn.XLOOKUP(fact_daily_prices!$B210,dim_company[company_id],dim_company[sector_id])</f>
        <v>SEC01</v>
      </c>
      <c r="K210" s="19" t="str">
        <f>_xlfn.XLOOKUP(fact_daily_prices!$J210,dim_sector[sector_id],dim_sector[sector_name])</f>
        <v>Information Technology</v>
      </c>
      <c r="L210" t="str">
        <v>COMP002-22-04-2025</v>
      </c>
      <c r="M210" t="str">
        <f>_xlfn.CONCAT(A209," ",B209)</f>
        <v>45768 COMP002</v>
      </c>
    </row>
    <row r="211" spans="1:13" x14ac:dyDescent="0.3">
      <c r="A211" s="20">
        <v>45770</v>
      </c>
      <c r="B211" s="7" t="s">
        <v>11</v>
      </c>
      <c r="C211" s="7">
        <v>1202.8499999999999</v>
      </c>
      <c r="D211" s="7">
        <v>1213.8</v>
      </c>
      <c r="E211" s="7">
        <v>1191.9000000000001</v>
      </c>
      <c r="F211" s="7">
        <v>1211.28</v>
      </c>
      <c r="G211" s="7">
        <v>7722</v>
      </c>
      <c r="H211" s="7">
        <f t="shared" si="5"/>
        <v>-1.448054950135391E-2</v>
      </c>
      <c r="I211" s="7">
        <f>PRODUCT(fact_daily_prices!$F211,fact_daily_prices!$G211)</f>
        <v>9353504.1600000001</v>
      </c>
      <c r="J211" s="7" t="str">
        <f>_xlfn.XLOOKUP(fact_daily_prices!$B211,dim_company[company_id],dim_company[sector_id])</f>
        <v>SEC01</v>
      </c>
      <c r="K211" s="21" t="str">
        <f>_xlfn.XLOOKUP(fact_daily_prices!$J211,dim_sector[sector_id],dim_sector[sector_name])</f>
        <v>Information Technology</v>
      </c>
      <c r="L211" t="str">
        <v>COMP002-23-04-2025</v>
      </c>
      <c r="M211" t="str">
        <f>_xlfn.CONCAT(A210," ",B210)</f>
        <v>45769 COMP002</v>
      </c>
    </row>
    <row r="212" spans="1:13" x14ac:dyDescent="0.3">
      <c r="A212" s="17">
        <v>45771</v>
      </c>
      <c r="B212" s="18" t="s">
        <v>11</v>
      </c>
      <c r="C212" s="18">
        <v>1214.93</v>
      </c>
      <c r="D212" s="18">
        <v>1232.42</v>
      </c>
      <c r="E212" s="18">
        <v>1197.45</v>
      </c>
      <c r="F212" s="18">
        <v>1210.93</v>
      </c>
      <c r="G212" s="18">
        <v>14575</v>
      </c>
      <c r="H212" s="18">
        <f t="shared" si="5"/>
        <v>-2.8903404821080413E-4</v>
      </c>
      <c r="I212" s="18">
        <f>PRODUCT(fact_daily_prices!$F212,fact_daily_prices!$G212)</f>
        <v>17649304.75</v>
      </c>
      <c r="J212" s="18" t="str">
        <f>_xlfn.XLOOKUP(fact_daily_prices!$B212,dim_company[company_id],dim_company[sector_id])</f>
        <v>SEC01</v>
      </c>
      <c r="K212" s="19" t="str">
        <f>_xlfn.XLOOKUP(fact_daily_prices!$J212,dim_sector[sector_id],dim_sector[sector_name])</f>
        <v>Information Technology</v>
      </c>
      <c r="L212" t="str">
        <v>COMP002-24-04-2025</v>
      </c>
      <c r="M212" t="str">
        <f>_xlfn.CONCAT(A211," ",B211)</f>
        <v>45770 COMP002</v>
      </c>
    </row>
    <row r="213" spans="1:13" x14ac:dyDescent="0.3">
      <c r="A213" s="20">
        <v>45772</v>
      </c>
      <c r="B213" s="7" t="s">
        <v>11</v>
      </c>
      <c r="C213" s="7">
        <v>1195.8399999999999</v>
      </c>
      <c r="D213" s="7">
        <v>1199.94</v>
      </c>
      <c r="E213" s="7">
        <v>1191.73</v>
      </c>
      <c r="F213" s="7">
        <v>1197.56</v>
      </c>
      <c r="G213" s="7">
        <v>32821</v>
      </c>
      <c r="H213" s="7">
        <f t="shared" si="5"/>
        <v>-1.1164367547346369E-2</v>
      </c>
      <c r="I213" s="7">
        <f>PRODUCT(fact_daily_prices!$F213,fact_daily_prices!$G213)</f>
        <v>39305116.759999998</v>
      </c>
      <c r="J213" s="7" t="str">
        <f>_xlfn.XLOOKUP(fact_daily_prices!$B213,dim_company[company_id],dim_company[sector_id])</f>
        <v>SEC01</v>
      </c>
      <c r="K213" s="21" t="str">
        <f>_xlfn.XLOOKUP(fact_daily_prices!$J213,dim_sector[sector_id],dim_sector[sector_name])</f>
        <v>Information Technology</v>
      </c>
      <c r="L213" t="str">
        <v>COMP002-25-04-2025</v>
      </c>
      <c r="M213" t="str">
        <f>_xlfn.CONCAT(A212," ",B212)</f>
        <v>45771 COMP002</v>
      </c>
    </row>
    <row r="214" spans="1:13" x14ac:dyDescent="0.3">
      <c r="A214" s="17">
        <v>45775</v>
      </c>
      <c r="B214" s="18" t="s">
        <v>11</v>
      </c>
      <c r="C214" s="18">
        <v>1197.25</v>
      </c>
      <c r="D214" s="18">
        <v>1214.17</v>
      </c>
      <c r="E214" s="18">
        <v>1180.33</v>
      </c>
      <c r="F214" s="18">
        <v>1199.69</v>
      </c>
      <c r="G214" s="18">
        <v>13175</v>
      </c>
      <c r="H214" s="18">
        <f t="shared" si="5"/>
        <v>1.775458660153964E-3</v>
      </c>
      <c r="I214" s="18">
        <f>PRODUCT(fact_daily_prices!$F214,fact_daily_prices!$G214)</f>
        <v>15805915.75</v>
      </c>
      <c r="J214" s="18" t="str">
        <f>_xlfn.XLOOKUP(fact_daily_prices!$B214,dim_company[company_id],dim_company[sector_id])</f>
        <v>SEC01</v>
      </c>
      <c r="K214" s="19" t="str">
        <f>_xlfn.XLOOKUP(fact_daily_prices!$J214,dim_sector[sector_id],dim_sector[sector_name])</f>
        <v>Information Technology</v>
      </c>
      <c r="L214" t="str">
        <v>COMP002-28-04-2025</v>
      </c>
      <c r="M214" t="str">
        <f>_xlfn.CONCAT(A213," ",B213)</f>
        <v>45772 COMP002</v>
      </c>
    </row>
    <row r="215" spans="1:13" x14ac:dyDescent="0.3">
      <c r="A215" s="20">
        <v>45776</v>
      </c>
      <c r="B215" s="7" t="s">
        <v>11</v>
      </c>
      <c r="C215" s="7">
        <v>1226.8599999999999</v>
      </c>
      <c r="D215" s="7">
        <v>1239.96</v>
      </c>
      <c r="E215" s="7">
        <v>1213.75</v>
      </c>
      <c r="F215" s="7">
        <v>1230.19</v>
      </c>
      <c r="G215" s="7">
        <v>22389</v>
      </c>
      <c r="H215" s="7">
        <f t="shared" si="5"/>
        <v>2.4792918167112397E-2</v>
      </c>
      <c r="I215" s="7">
        <f>PRODUCT(fact_daily_prices!$F215,fact_daily_prices!$G215)</f>
        <v>27542723.91</v>
      </c>
      <c r="J215" s="7" t="str">
        <f>_xlfn.XLOOKUP(fact_daily_prices!$B215,dim_company[company_id],dim_company[sector_id])</f>
        <v>SEC01</v>
      </c>
      <c r="K215" s="21" t="str">
        <f>_xlfn.XLOOKUP(fact_daily_prices!$J215,dim_sector[sector_id],dim_sector[sector_name])</f>
        <v>Information Technology</v>
      </c>
      <c r="L215" t="str">
        <v>COMP002-29-04-2025</v>
      </c>
      <c r="M215" t="str">
        <f>_xlfn.CONCAT(A214," ",B214)</f>
        <v>45775 COMP002</v>
      </c>
    </row>
    <row r="216" spans="1:13" x14ac:dyDescent="0.3">
      <c r="A216" s="17">
        <v>45777</v>
      </c>
      <c r="B216" s="18" t="s">
        <v>11</v>
      </c>
      <c r="C216" s="18">
        <v>1217.23</v>
      </c>
      <c r="D216" s="18">
        <v>1231.8</v>
      </c>
      <c r="E216" s="18">
        <v>1202.67</v>
      </c>
      <c r="F216" s="18">
        <v>1224.6199999999999</v>
      </c>
      <c r="G216" s="18">
        <v>7150</v>
      </c>
      <c r="H216" s="18">
        <f t="shared" si="5"/>
        <v>-4.5483496921495357E-3</v>
      </c>
      <c r="I216" s="18">
        <f>PRODUCT(fact_daily_prices!$F216,fact_daily_prices!$G216)</f>
        <v>8756033</v>
      </c>
      <c r="J216" s="18" t="str">
        <f>_xlfn.XLOOKUP(fact_daily_prices!$B216,dim_company[company_id],dim_company[sector_id])</f>
        <v>SEC01</v>
      </c>
      <c r="K216" s="19" t="str">
        <f>_xlfn.XLOOKUP(fact_daily_prices!$J216,dim_sector[sector_id],dim_sector[sector_name])</f>
        <v>Information Technology</v>
      </c>
      <c r="L216" t="str">
        <v>COMP002-30-04-2025</v>
      </c>
      <c r="M216" t="str">
        <f>_xlfn.CONCAT(A215," ",B215)</f>
        <v>45776 COMP002</v>
      </c>
    </row>
    <row r="217" spans="1:13" x14ac:dyDescent="0.3">
      <c r="A217" s="20">
        <v>45778</v>
      </c>
      <c r="B217" s="7" t="s">
        <v>11</v>
      </c>
      <c r="C217" s="7">
        <v>1207.43</v>
      </c>
      <c r="D217" s="7">
        <v>1223.98</v>
      </c>
      <c r="E217" s="7">
        <v>1190.8800000000001</v>
      </c>
      <c r="F217" s="7">
        <v>1208.67</v>
      </c>
      <c r="G217" s="7">
        <v>21079</v>
      </c>
      <c r="H217" s="7">
        <f t="shared" si="5"/>
        <v>-1.3196323231320226E-2</v>
      </c>
      <c r="I217" s="7">
        <f>PRODUCT(fact_daily_prices!$F217,fact_daily_prices!$G217)</f>
        <v>25477554.93</v>
      </c>
      <c r="J217" s="7" t="str">
        <f>_xlfn.XLOOKUP(fact_daily_prices!$B217,dim_company[company_id],dim_company[sector_id])</f>
        <v>SEC01</v>
      </c>
      <c r="K217" s="21" t="str">
        <f>_xlfn.XLOOKUP(fact_daily_prices!$J217,dim_sector[sector_id],dim_sector[sector_name])</f>
        <v>Information Technology</v>
      </c>
      <c r="L217" t="str">
        <v>COMP002-01-05-2025</v>
      </c>
      <c r="M217" t="str">
        <f>_xlfn.CONCAT(A216," ",B216)</f>
        <v>45777 COMP002</v>
      </c>
    </row>
    <row r="218" spans="1:13" x14ac:dyDescent="0.3">
      <c r="A218" s="17">
        <v>45779</v>
      </c>
      <c r="B218" s="18" t="s">
        <v>11</v>
      </c>
      <c r="C218" s="18">
        <v>1206.8599999999999</v>
      </c>
      <c r="D218" s="18">
        <v>1216.1199999999999</v>
      </c>
      <c r="E218" s="18">
        <v>1197.5899999999999</v>
      </c>
      <c r="F218" s="18">
        <v>1211.72</v>
      </c>
      <c r="G218" s="18">
        <v>32419</v>
      </c>
      <c r="H218" s="18">
        <f t="shared" si="5"/>
        <v>2.5170831545241099E-3</v>
      </c>
      <c r="I218" s="18">
        <f>PRODUCT(fact_daily_prices!$F218,fact_daily_prices!$G218)</f>
        <v>39282750.68</v>
      </c>
      <c r="J218" s="18" t="str">
        <f>_xlfn.XLOOKUP(fact_daily_prices!$B218,dim_company[company_id],dim_company[sector_id])</f>
        <v>SEC01</v>
      </c>
      <c r="K218" s="19" t="str">
        <f>_xlfn.XLOOKUP(fact_daily_prices!$J218,dim_sector[sector_id],dim_sector[sector_name])</f>
        <v>Information Technology</v>
      </c>
      <c r="L218" t="str">
        <v>COMP002-02-05-2025</v>
      </c>
      <c r="M218" t="str">
        <f>_xlfn.CONCAT(A217," ",B217)</f>
        <v>45778 COMP002</v>
      </c>
    </row>
    <row r="219" spans="1:13" x14ac:dyDescent="0.3">
      <c r="A219" s="20">
        <v>45782</v>
      </c>
      <c r="B219" s="7" t="s">
        <v>11</v>
      </c>
      <c r="C219" s="7">
        <v>1197.75</v>
      </c>
      <c r="D219" s="7">
        <v>1217.1300000000001</v>
      </c>
      <c r="E219" s="7">
        <v>1178.3699999999999</v>
      </c>
      <c r="F219" s="7">
        <v>1200.23</v>
      </c>
      <c r="G219" s="7">
        <v>24236</v>
      </c>
      <c r="H219" s="7">
        <f t="shared" si="5"/>
        <v>-9.5731651433475333E-3</v>
      </c>
      <c r="I219" s="7">
        <f>PRODUCT(fact_daily_prices!$F219,fact_daily_prices!$G219)</f>
        <v>29088774.280000001</v>
      </c>
      <c r="J219" s="7" t="str">
        <f>_xlfn.XLOOKUP(fact_daily_prices!$B219,dim_company[company_id],dim_company[sector_id])</f>
        <v>SEC01</v>
      </c>
      <c r="K219" s="21" t="str">
        <f>_xlfn.XLOOKUP(fact_daily_prices!$J219,dim_sector[sector_id],dim_sector[sector_name])</f>
        <v>Information Technology</v>
      </c>
      <c r="L219" t="str">
        <v>COMP002-05-05-2025</v>
      </c>
      <c r="M219" t="str">
        <f>_xlfn.CONCAT(A218," ",B218)</f>
        <v>45779 COMP002</v>
      </c>
    </row>
    <row r="220" spans="1:13" x14ac:dyDescent="0.3">
      <c r="A220" s="17">
        <v>45783</v>
      </c>
      <c r="B220" s="18" t="s">
        <v>11</v>
      </c>
      <c r="C220" s="18">
        <v>1201.8699999999999</v>
      </c>
      <c r="D220" s="18">
        <v>1209.0899999999999</v>
      </c>
      <c r="E220" s="18">
        <v>1194.6500000000001</v>
      </c>
      <c r="F220" s="18">
        <v>1200.8800000000001</v>
      </c>
      <c r="G220" s="18">
        <v>35177</v>
      </c>
      <c r="H220" s="18">
        <f t="shared" si="5"/>
        <v>5.4126973552735564E-4</v>
      </c>
      <c r="I220" s="18">
        <f>PRODUCT(fact_daily_prices!$F220,fact_daily_prices!$G220)</f>
        <v>42243355.760000005</v>
      </c>
      <c r="J220" s="18" t="str">
        <f>_xlfn.XLOOKUP(fact_daily_prices!$B220,dim_company[company_id],dim_company[sector_id])</f>
        <v>SEC01</v>
      </c>
      <c r="K220" s="19" t="str">
        <f>_xlfn.XLOOKUP(fact_daily_prices!$J220,dim_sector[sector_id],dim_sector[sector_name])</f>
        <v>Information Technology</v>
      </c>
      <c r="L220" t="str">
        <v>COMP002-06-05-2025</v>
      </c>
      <c r="M220" t="str">
        <f>_xlfn.CONCAT(A219," ",B219)</f>
        <v>45782 COMP002</v>
      </c>
    </row>
    <row r="221" spans="1:13" x14ac:dyDescent="0.3">
      <c r="A221" s="20">
        <v>45784</v>
      </c>
      <c r="B221" s="7" t="s">
        <v>11</v>
      </c>
      <c r="C221" s="7">
        <v>1209.9100000000001</v>
      </c>
      <c r="D221" s="7">
        <v>1214.71</v>
      </c>
      <c r="E221" s="7">
        <v>1205.1199999999999</v>
      </c>
      <c r="F221" s="7">
        <v>1205.95</v>
      </c>
      <c r="G221" s="7">
        <v>15596</v>
      </c>
      <c r="H221" s="7">
        <f t="shared" si="5"/>
        <v>4.2041544010945195E-3</v>
      </c>
      <c r="I221" s="7">
        <f>PRODUCT(fact_daily_prices!$F221,fact_daily_prices!$G221)</f>
        <v>18807996.199999999</v>
      </c>
      <c r="J221" s="7" t="str">
        <f>_xlfn.XLOOKUP(fact_daily_prices!$B221,dim_company[company_id],dim_company[sector_id])</f>
        <v>SEC01</v>
      </c>
      <c r="K221" s="21" t="str">
        <f>_xlfn.XLOOKUP(fact_daily_prices!$J221,dim_sector[sector_id],dim_sector[sector_name])</f>
        <v>Information Technology</v>
      </c>
      <c r="L221" t="str">
        <v>COMP002-07-05-2025</v>
      </c>
      <c r="M221" t="str">
        <f>_xlfn.CONCAT(A220," ",B220)</f>
        <v>45783 COMP002</v>
      </c>
    </row>
    <row r="222" spans="1:13" x14ac:dyDescent="0.3">
      <c r="A222" s="17">
        <v>45785</v>
      </c>
      <c r="B222" s="18" t="s">
        <v>11</v>
      </c>
      <c r="C222" s="18">
        <v>1200.53</v>
      </c>
      <c r="D222" s="18">
        <v>1214.03</v>
      </c>
      <c r="E222" s="18">
        <v>1187.04</v>
      </c>
      <c r="F222" s="18">
        <v>1205.7</v>
      </c>
      <c r="G222" s="18">
        <v>46960</v>
      </c>
      <c r="H222" s="18">
        <f t="shared" si="5"/>
        <v>-2.0734842829891347E-4</v>
      </c>
      <c r="I222" s="18">
        <f>PRODUCT(fact_daily_prices!$F222,fact_daily_prices!$G222)</f>
        <v>56619672</v>
      </c>
      <c r="J222" s="18" t="str">
        <f>_xlfn.XLOOKUP(fact_daily_prices!$B222,dim_company[company_id],dim_company[sector_id])</f>
        <v>SEC01</v>
      </c>
      <c r="K222" s="19" t="str">
        <f>_xlfn.XLOOKUP(fact_daily_prices!$J222,dim_sector[sector_id],dim_sector[sector_name])</f>
        <v>Information Technology</v>
      </c>
      <c r="L222" t="str">
        <v>COMP002-08-05-2025</v>
      </c>
      <c r="M222" t="str">
        <f>_xlfn.CONCAT(A221," ",B221)</f>
        <v>45784 COMP002</v>
      </c>
    </row>
    <row r="223" spans="1:13" x14ac:dyDescent="0.3">
      <c r="A223" s="20">
        <v>45786</v>
      </c>
      <c r="B223" s="7" t="s">
        <v>11</v>
      </c>
      <c r="C223" s="7">
        <v>1208.56</v>
      </c>
      <c r="D223" s="7">
        <v>1217.3800000000001</v>
      </c>
      <c r="E223" s="7">
        <v>1199.74</v>
      </c>
      <c r="F223" s="7">
        <v>1206.8499999999999</v>
      </c>
      <c r="G223" s="7">
        <v>44861</v>
      </c>
      <c r="H223" s="7">
        <f t="shared" si="5"/>
        <v>9.5289389733592715E-4</v>
      </c>
      <c r="I223" s="7">
        <f>PRODUCT(fact_daily_prices!$F223,fact_daily_prices!$G223)</f>
        <v>54140497.849999994</v>
      </c>
      <c r="J223" s="7" t="str">
        <f>_xlfn.XLOOKUP(fact_daily_prices!$B223,dim_company[company_id],dim_company[sector_id])</f>
        <v>SEC01</v>
      </c>
      <c r="K223" s="21" t="str">
        <f>_xlfn.XLOOKUP(fact_daily_prices!$J223,dim_sector[sector_id],dim_sector[sector_name])</f>
        <v>Information Technology</v>
      </c>
      <c r="L223" t="str">
        <v>COMP002-09-05-2025</v>
      </c>
      <c r="M223" t="str">
        <f>_xlfn.CONCAT(A222," ",B222)</f>
        <v>45785 COMP002</v>
      </c>
    </row>
    <row r="224" spans="1:13" x14ac:dyDescent="0.3">
      <c r="A224" s="17">
        <v>45789</v>
      </c>
      <c r="B224" s="18" t="s">
        <v>11</v>
      </c>
      <c r="C224" s="18">
        <v>1218.1099999999999</v>
      </c>
      <c r="D224" s="18">
        <v>1228.93</v>
      </c>
      <c r="E224" s="18">
        <v>1207.3</v>
      </c>
      <c r="F224" s="18">
        <v>1210.06</v>
      </c>
      <c r="G224" s="18">
        <v>49285</v>
      </c>
      <c r="H224" s="18">
        <f t="shared" si="5"/>
        <v>2.6527610201147354E-3</v>
      </c>
      <c r="I224" s="18">
        <f>PRODUCT(fact_daily_prices!$F224,fact_daily_prices!$G224)</f>
        <v>59637807.099999994</v>
      </c>
      <c r="J224" s="18" t="str">
        <f>_xlfn.XLOOKUP(fact_daily_prices!$B224,dim_company[company_id],dim_company[sector_id])</f>
        <v>SEC01</v>
      </c>
      <c r="K224" s="19" t="str">
        <f>_xlfn.XLOOKUP(fact_daily_prices!$J224,dim_sector[sector_id],dim_sector[sector_name])</f>
        <v>Information Technology</v>
      </c>
      <c r="L224" t="str">
        <v>COMP002-12-05-2025</v>
      </c>
      <c r="M224" t="str">
        <f>_xlfn.CONCAT(A223," ",B223)</f>
        <v>45786 COMP002</v>
      </c>
    </row>
    <row r="225" spans="1:13" x14ac:dyDescent="0.3">
      <c r="A225" s="20">
        <v>45790</v>
      </c>
      <c r="B225" s="7" t="s">
        <v>11</v>
      </c>
      <c r="C225" s="7">
        <v>1229.92</v>
      </c>
      <c r="D225" s="7">
        <v>1246.99</v>
      </c>
      <c r="E225" s="7">
        <v>1212.8599999999999</v>
      </c>
      <c r="F225" s="7">
        <v>1234.95</v>
      </c>
      <c r="G225" s="7">
        <v>21607</v>
      </c>
      <c r="H225" s="7">
        <f t="shared" si="5"/>
        <v>2.0154662132070206E-2</v>
      </c>
      <c r="I225" s="7">
        <f>PRODUCT(fact_daily_prices!$F225,fact_daily_prices!$G225)</f>
        <v>26683564.650000002</v>
      </c>
      <c r="J225" s="7" t="str">
        <f>_xlfn.XLOOKUP(fact_daily_prices!$B225,dim_company[company_id],dim_company[sector_id])</f>
        <v>SEC01</v>
      </c>
      <c r="K225" s="21" t="str">
        <f>_xlfn.XLOOKUP(fact_daily_prices!$J225,dim_sector[sector_id],dim_sector[sector_name])</f>
        <v>Information Technology</v>
      </c>
      <c r="L225" t="str">
        <v>COMP002-13-05-2025</v>
      </c>
      <c r="M225" t="str">
        <f>_xlfn.CONCAT(A224," ",B224)</f>
        <v>45789 COMP002</v>
      </c>
    </row>
    <row r="226" spans="1:13" x14ac:dyDescent="0.3">
      <c r="A226" s="17">
        <v>45791</v>
      </c>
      <c r="B226" s="18" t="s">
        <v>11</v>
      </c>
      <c r="C226" s="18">
        <v>1227.5899999999999</v>
      </c>
      <c r="D226" s="18">
        <v>1235.8</v>
      </c>
      <c r="E226" s="18">
        <v>1219.3800000000001</v>
      </c>
      <c r="F226" s="18">
        <v>1231.31</v>
      </c>
      <c r="G226" s="18">
        <v>28856</v>
      </c>
      <c r="H226" s="18">
        <f t="shared" si="5"/>
        <v>-2.9562011191333623E-3</v>
      </c>
      <c r="I226" s="18">
        <f>PRODUCT(fact_daily_prices!$F226,fact_daily_prices!$G226)</f>
        <v>35530681.359999999</v>
      </c>
      <c r="J226" s="18" t="str">
        <f>_xlfn.XLOOKUP(fact_daily_prices!$B226,dim_company[company_id],dim_company[sector_id])</f>
        <v>SEC01</v>
      </c>
      <c r="K226" s="19" t="str">
        <f>_xlfn.XLOOKUP(fact_daily_prices!$J226,dim_sector[sector_id],dim_sector[sector_name])</f>
        <v>Information Technology</v>
      </c>
      <c r="L226" t="str">
        <v>COMP002-14-05-2025</v>
      </c>
      <c r="M226" t="str">
        <f>_xlfn.CONCAT(A225," ",B225)</f>
        <v>45790 COMP002</v>
      </c>
    </row>
    <row r="227" spans="1:13" x14ac:dyDescent="0.3">
      <c r="A227" s="20">
        <v>45792</v>
      </c>
      <c r="B227" s="7" t="s">
        <v>11</v>
      </c>
      <c r="C227" s="7">
        <v>1230.22</v>
      </c>
      <c r="D227" s="7">
        <v>1240.22</v>
      </c>
      <c r="E227" s="7">
        <v>1220.22</v>
      </c>
      <c r="F227" s="7">
        <v>1233.5899999999999</v>
      </c>
      <c r="G227" s="7">
        <v>42196</v>
      </c>
      <c r="H227" s="7">
        <f t="shared" si="5"/>
        <v>1.8482640099222374E-3</v>
      </c>
      <c r="I227" s="7">
        <f>PRODUCT(fact_daily_prices!$F227,fact_daily_prices!$G227)</f>
        <v>52052563.639999993</v>
      </c>
      <c r="J227" s="7" t="str">
        <f>_xlfn.XLOOKUP(fact_daily_prices!$B227,dim_company[company_id],dim_company[sector_id])</f>
        <v>SEC01</v>
      </c>
      <c r="K227" s="21" t="str">
        <f>_xlfn.XLOOKUP(fact_daily_prices!$J227,dim_sector[sector_id],dim_sector[sector_name])</f>
        <v>Information Technology</v>
      </c>
      <c r="L227" t="str">
        <v>COMP002-15-05-2025</v>
      </c>
      <c r="M227" t="str">
        <f>_xlfn.CONCAT(A226," ",B226)</f>
        <v>45791 COMP002</v>
      </c>
    </row>
    <row r="228" spans="1:13" x14ac:dyDescent="0.3">
      <c r="A228" s="17">
        <v>45793</v>
      </c>
      <c r="B228" s="18" t="s">
        <v>11</v>
      </c>
      <c r="C228" s="18">
        <v>1249.73</v>
      </c>
      <c r="D228" s="18">
        <v>1257.47</v>
      </c>
      <c r="E228" s="18">
        <v>1241.99</v>
      </c>
      <c r="F228" s="18">
        <v>1247.43</v>
      </c>
      <c r="G228" s="18">
        <v>18685</v>
      </c>
      <c r="H228" s="18">
        <f t="shared" si="5"/>
        <v>1.1094810931274816E-2</v>
      </c>
      <c r="I228" s="18">
        <f>PRODUCT(fact_daily_prices!$F228,fact_daily_prices!$G228)</f>
        <v>23308229.550000001</v>
      </c>
      <c r="J228" s="18" t="str">
        <f>_xlfn.XLOOKUP(fact_daily_prices!$B228,dim_company[company_id],dim_company[sector_id])</f>
        <v>SEC01</v>
      </c>
      <c r="K228" s="19" t="str">
        <f>_xlfn.XLOOKUP(fact_daily_prices!$J228,dim_sector[sector_id],dim_sector[sector_name])</f>
        <v>Information Technology</v>
      </c>
      <c r="L228" t="str">
        <v>COMP002-16-05-2025</v>
      </c>
      <c r="M228" t="str">
        <f>_xlfn.CONCAT(A227," ",B227)</f>
        <v>45792 COMP002</v>
      </c>
    </row>
    <row r="229" spans="1:13" x14ac:dyDescent="0.3">
      <c r="A229" s="20">
        <v>45796</v>
      </c>
      <c r="B229" s="7" t="s">
        <v>11</v>
      </c>
      <c r="C229" s="7">
        <v>1253.28</v>
      </c>
      <c r="D229" s="7">
        <v>1276.1099999999999</v>
      </c>
      <c r="E229" s="7">
        <v>1230.44</v>
      </c>
      <c r="F229" s="7">
        <v>1255.1500000000001</v>
      </c>
      <c r="G229" s="7">
        <v>42401</v>
      </c>
      <c r="H229" s="7">
        <f t="shared" si="5"/>
        <v>6.1506592837509673E-3</v>
      </c>
      <c r="I229" s="7">
        <f>PRODUCT(fact_daily_prices!$F229,fact_daily_prices!$G229)</f>
        <v>53219615.150000006</v>
      </c>
      <c r="J229" s="7" t="str">
        <f>_xlfn.XLOOKUP(fact_daily_prices!$B229,dim_company[company_id],dim_company[sector_id])</f>
        <v>SEC01</v>
      </c>
      <c r="K229" s="21" t="str">
        <f>_xlfn.XLOOKUP(fact_daily_prices!$J229,dim_sector[sector_id],dim_sector[sector_name])</f>
        <v>Information Technology</v>
      </c>
      <c r="L229" t="str">
        <v>COMP002-19-05-2025</v>
      </c>
      <c r="M229" t="str">
        <f>_xlfn.CONCAT(A228," ",B228)</f>
        <v>45793 COMP002</v>
      </c>
    </row>
    <row r="230" spans="1:13" x14ac:dyDescent="0.3">
      <c r="A230" s="17">
        <v>45797</v>
      </c>
      <c r="B230" s="18" t="s">
        <v>11</v>
      </c>
      <c r="C230" s="18">
        <v>1252.42</v>
      </c>
      <c r="D230" s="18">
        <v>1272.31</v>
      </c>
      <c r="E230" s="18">
        <v>1232.52</v>
      </c>
      <c r="F230" s="18">
        <v>1249.8</v>
      </c>
      <c r="G230" s="18">
        <v>9996</v>
      </c>
      <c r="H230" s="18">
        <f t="shared" si="5"/>
        <v>-4.2806849095856428E-3</v>
      </c>
      <c r="I230" s="18">
        <f>PRODUCT(fact_daily_prices!$F230,fact_daily_prices!$G230)</f>
        <v>12493000.799999999</v>
      </c>
      <c r="J230" s="18" t="str">
        <f>_xlfn.XLOOKUP(fact_daily_prices!$B230,dim_company[company_id],dim_company[sector_id])</f>
        <v>SEC01</v>
      </c>
      <c r="K230" s="19" t="str">
        <f>_xlfn.XLOOKUP(fact_daily_prices!$J230,dim_sector[sector_id],dim_sector[sector_name])</f>
        <v>Information Technology</v>
      </c>
      <c r="L230" t="str">
        <v>COMP002-20-05-2025</v>
      </c>
      <c r="M230" t="str">
        <f>_xlfn.CONCAT(A229," ",B229)</f>
        <v>45796 COMP002</v>
      </c>
    </row>
    <row r="231" spans="1:13" x14ac:dyDescent="0.3">
      <c r="A231" s="20">
        <v>45798</v>
      </c>
      <c r="B231" s="7" t="s">
        <v>11</v>
      </c>
      <c r="C231" s="7">
        <v>1253.05</v>
      </c>
      <c r="D231" s="7">
        <v>1264.8499999999999</v>
      </c>
      <c r="E231" s="7">
        <v>1241.26</v>
      </c>
      <c r="F231" s="7">
        <v>1264.3800000000001</v>
      </c>
      <c r="G231" s="7">
        <v>27665</v>
      </c>
      <c r="H231" s="7">
        <f t="shared" si="5"/>
        <v>1.1531343425236205E-2</v>
      </c>
      <c r="I231" s="7">
        <f>PRODUCT(fact_daily_prices!$F231,fact_daily_prices!$G231)</f>
        <v>34979072.700000003</v>
      </c>
      <c r="J231" s="7" t="str">
        <f>_xlfn.XLOOKUP(fact_daily_prices!$B231,dim_company[company_id],dim_company[sector_id])</f>
        <v>SEC01</v>
      </c>
      <c r="K231" s="21" t="str">
        <f>_xlfn.XLOOKUP(fact_daily_prices!$J231,dim_sector[sector_id],dim_sector[sector_name])</f>
        <v>Information Technology</v>
      </c>
      <c r="L231" t="str">
        <v>COMP002-21-05-2025</v>
      </c>
      <c r="M231" t="str">
        <f>_xlfn.CONCAT(A230," ",B230)</f>
        <v>45797 COMP002</v>
      </c>
    </row>
    <row r="232" spans="1:13" x14ac:dyDescent="0.3">
      <c r="A232" s="17">
        <v>45799</v>
      </c>
      <c r="B232" s="18" t="s">
        <v>11</v>
      </c>
      <c r="C232" s="18">
        <v>1254.6600000000001</v>
      </c>
      <c r="D232" s="18">
        <v>1265.3</v>
      </c>
      <c r="E232" s="18">
        <v>1244.02</v>
      </c>
      <c r="F232" s="18">
        <v>1250.8800000000001</v>
      </c>
      <c r="G232" s="18">
        <v>40952</v>
      </c>
      <c r="H232" s="18">
        <f t="shared" si="5"/>
        <v>-1.0792402148887182E-2</v>
      </c>
      <c r="I232" s="18">
        <f>PRODUCT(fact_daily_prices!$F232,fact_daily_prices!$G232)</f>
        <v>51226037.760000005</v>
      </c>
      <c r="J232" s="18" t="str">
        <f>_xlfn.XLOOKUP(fact_daily_prices!$B232,dim_company[company_id],dim_company[sector_id])</f>
        <v>SEC01</v>
      </c>
      <c r="K232" s="19" t="str">
        <f>_xlfn.XLOOKUP(fact_daily_prices!$J232,dim_sector[sector_id],dim_sector[sector_name])</f>
        <v>Information Technology</v>
      </c>
      <c r="L232" t="str">
        <v>COMP002-22-05-2025</v>
      </c>
      <c r="M232" t="str">
        <f>_xlfn.CONCAT(A231," ",B231)</f>
        <v>45798 COMP002</v>
      </c>
    </row>
    <row r="233" spans="1:13" x14ac:dyDescent="0.3">
      <c r="A233" s="20">
        <v>45800</v>
      </c>
      <c r="B233" s="7" t="s">
        <v>11</v>
      </c>
      <c r="C233" s="7">
        <v>1246.45</v>
      </c>
      <c r="D233" s="7">
        <v>1257.72</v>
      </c>
      <c r="E233" s="7">
        <v>1235.19</v>
      </c>
      <c r="F233" s="7">
        <v>1247.6099999999999</v>
      </c>
      <c r="G233" s="7">
        <v>13875</v>
      </c>
      <c r="H233" s="7">
        <f t="shared" si="5"/>
        <v>-2.6210113737467713E-3</v>
      </c>
      <c r="I233" s="7">
        <f>PRODUCT(fact_daily_prices!$F233,fact_daily_prices!$G233)</f>
        <v>17310588.75</v>
      </c>
      <c r="J233" s="7" t="str">
        <f>_xlfn.XLOOKUP(fact_daily_prices!$B233,dim_company[company_id],dim_company[sector_id])</f>
        <v>SEC01</v>
      </c>
      <c r="K233" s="21" t="str">
        <f>_xlfn.XLOOKUP(fact_daily_prices!$J233,dim_sector[sector_id],dim_sector[sector_name])</f>
        <v>Information Technology</v>
      </c>
      <c r="L233" t="str">
        <v>COMP002-23-05-2025</v>
      </c>
      <c r="M233" t="str">
        <f>_xlfn.CONCAT(A232," ",B232)</f>
        <v>45799 COMP002</v>
      </c>
    </row>
    <row r="234" spans="1:13" x14ac:dyDescent="0.3">
      <c r="A234" s="17">
        <v>45803</v>
      </c>
      <c r="B234" s="18" t="s">
        <v>11</v>
      </c>
      <c r="C234" s="18">
        <v>1238.25</v>
      </c>
      <c r="D234" s="18">
        <v>1240.94</v>
      </c>
      <c r="E234" s="18">
        <v>1235.57</v>
      </c>
      <c r="F234" s="18">
        <v>1235.8399999999999</v>
      </c>
      <c r="G234" s="18">
        <v>41760</v>
      </c>
      <c r="H234" s="18">
        <f t="shared" si="5"/>
        <v>-9.5238865872604734E-3</v>
      </c>
      <c r="I234" s="18">
        <f>PRODUCT(fact_daily_prices!$F234,fact_daily_prices!$G234)</f>
        <v>51608678.399999999</v>
      </c>
      <c r="J234" s="18" t="str">
        <f>_xlfn.XLOOKUP(fact_daily_prices!$B234,dim_company[company_id],dim_company[sector_id])</f>
        <v>SEC01</v>
      </c>
      <c r="K234" s="19" t="str">
        <f>_xlfn.XLOOKUP(fact_daily_prices!$J234,dim_sector[sector_id],dim_sector[sector_name])</f>
        <v>Information Technology</v>
      </c>
      <c r="L234" t="str">
        <v>COMP002-26-05-2025</v>
      </c>
      <c r="M234" t="str">
        <f>_xlfn.CONCAT(A233," ",B233)</f>
        <v>45800 COMP002</v>
      </c>
    </row>
    <row r="235" spans="1:13" x14ac:dyDescent="0.3">
      <c r="A235" s="20">
        <v>45804</v>
      </c>
      <c r="B235" s="7" t="s">
        <v>11</v>
      </c>
      <c r="C235" s="7">
        <v>1239.3399999999999</v>
      </c>
      <c r="D235" s="7">
        <v>1251.77</v>
      </c>
      <c r="E235" s="7">
        <v>1226.9000000000001</v>
      </c>
      <c r="F235" s="7">
        <v>1245.1400000000001</v>
      </c>
      <c r="G235" s="7">
        <v>31987</v>
      </c>
      <c r="H235" s="7">
        <f t="shared" si="5"/>
        <v>7.4690396260662911E-3</v>
      </c>
      <c r="I235" s="7">
        <f>PRODUCT(fact_daily_prices!$F235,fact_daily_prices!$G235)</f>
        <v>39828293.18</v>
      </c>
      <c r="J235" s="7" t="str">
        <f>_xlfn.XLOOKUP(fact_daily_prices!$B235,dim_company[company_id],dim_company[sector_id])</f>
        <v>SEC01</v>
      </c>
      <c r="K235" s="21" t="str">
        <f>_xlfn.XLOOKUP(fact_daily_prices!$J235,dim_sector[sector_id],dim_sector[sector_name])</f>
        <v>Information Technology</v>
      </c>
      <c r="L235" t="str">
        <v>COMP002-27-05-2025</v>
      </c>
      <c r="M235" t="str">
        <f>_xlfn.CONCAT(A234," ",B234)</f>
        <v>45803 COMP002</v>
      </c>
    </row>
    <row r="236" spans="1:13" x14ac:dyDescent="0.3">
      <c r="A236" s="17">
        <v>45805</v>
      </c>
      <c r="B236" s="18" t="s">
        <v>11</v>
      </c>
      <c r="C236" s="18">
        <v>1266</v>
      </c>
      <c r="D236" s="18">
        <v>1280.25</v>
      </c>
      <c r="E236" s="18">
        <v>1251.74</v>
      </c>
      <c r="F236" s="18">
        <v>1264.24</v>
      </c>
      <c r="G236" s="18">
        <v>28529</v>
      </c>
      <c r="H236" s="18">
        <f t="shared" si="5"/>
        <v>1.5107890906789778E-2</v>
      </c>
      <c r="I236" s="18">
        <f>PRODUCT(fact_daily_prices!$F236,fact_daily_prices!$G236)</f>
        <v>36067502.960000001</v>
      </c>
      <c r="J236" s="18" t="str">
        <f>_xlfn.XLOOKUP(fact_daily_prices!$B236,dim_company[company_id],dim_company[sector_id])</f>
        <v>SEC01</v>
      </c>
      <c r="K236" s="19" t="str">
        <f>_xlfn.XLOOKUP(fact_daily_prices!$J236,dim_sector[sector_id],dim_sector[sector_name])</f>
        <v>Information Technology</v>
      </c>
      <c r="L236" t="str">
        <v>COMP002-28-05-2025</v>
      </c>
      <c r="M236" t="str">
        <f>_xlfn.CONCAT(A235," ",B235)</f>
        <v>45804 COMP002</v>
      </c>
    </row>
    <row r="237" spans="1:13" x14ac:dyDescent="0.3">
      <c r="A237" s="20">
        <v>45806</v>
      </c>
      <c r="B237" s="7" t="s">
        <v>11</v>
      </c>
      <c r="C237" s="7">
        <v>1274.3900000000001</v>
      </c>
      <c r="D237" s="7">
        <v>1291.3</v>
      </c>
      <c r="E237" s="7">
        <v>1257.48</v>
      </c>
      <c r="F237" s="7">
        <v>1268.1099999999999</v>
      </c>
      <c r="G237" s="7">
        <v>25027</v>
      </c>
      <c r="H237" s="7">
        <f t="shared" si="5"/>
        <v>3.051785728367327E-3</v>
      </c>
      <c r="I237" s="7">
        <f>PRODUCT(fact_daily_prices!$F237,fact_daily_prices!$G237)</f>
        <v>31736988.969999999</v>
      </c>
      <c r="J237" s="7" t="str">
        <f>_xlfn.XLOOKUP(fact_daily_prices!$B237,dim_company[company_id],dim_company[sector_id])</f>
        <v>SEC01</v>
      </c>
      <c r="K237" s="21" t="str">
        <f>_xlfn.XLOOKUP(fact_daily_prices!$J237,dim_sector[sector_id],dim_sector[sector_name])</f>
        <v>Information Technology</v>
      </c>
      <c r="L237" t="str">
        <v>COMP002-29-05-2025</v>
      </c>
      <c r="M237" t="str">
        <f>_xlfn.CONCAT(A236," ",B236)</f>
        <v>45805 COMP002</v>
      </c>
    </row>
    <row r="238" spans="1:13" x14ac:dyDescent="0.3">
      <c r="A238" s="17">
        <v>45807</v>
      </c>
      <c r="B238" s="18" t="s">
        <v>11</v>
      </c>
      <c r="C238" s="18">
        <v>1274.04</v>
      </c>
      <c r="D238" s="18">
        <v>1289.19</v>
      </c>
      <c r="E238" s="18">
        <v>1258.8900000000001</v>
      </c>
      <c r="F238" s="18">
        <v>1269.6099999999999</v>
      </c>
      <c r="G238" s="18">
        <v>21609</v>
      </c>
      <c r="H238" s="18">
        <f t="shared" si="5"/>
        <v>1.1814651743448778E-3</v>
      </c>
      <c r="I238" s="18">
        <f>PRODUCT(fact_daily_prices!$F238,fact_daily_prices!$G238)</f>
        <v>27435002.489999998</v>
      </c>
      <c r="J238" s="18" t="str">
        <f>_xlfn.XLOOKUP(fact_daily_prices!$B238,dim_company[company_id],dim_company[sector_id])</f>
        <v>SEC01</v>
      </c>
      <c r="K238" s="19" t="str">
        <f>_xlfn.XLOOKUP(fact_daily_prices!$J238,dim_sector[sector_id],dim_sector[sector_name])</f>
        <v>Information Technology</v>
      </c>
      <c r="L238" t="str">
        <v>COMP002-30-05-2025</v>
      </c>
      <c r="M238" t="str">
        <f>_xlfn.CONCAT(A237," ",B237)</f>
        <v>45806 COMP002</v>
      </c>
    </row>
    <row r="239" spans="1:13" x14ac:dyDescent="0.3">
      <c r="A239" s="20">
        <v>45810</v>
      </c>
      <c r="B239" s="7" t="s">
        <v>11</v>
      </c>
      <c r="C239" s="7">
        <v>1248.81</v>
      </c>
      <c r="D239" s="7">
        <v>1260.17</v>
      </c>
      <c r="E239" s="7">
        <v>1237.45</v>
      </c>
      <c r="F239" s="7">
        <v>1255.99</v>
      </c>
      <c r="G239" s="7">
        <v>20250</v>
      </c>
      <c r="H239" s="7">
        <f t="shared" si="5"/>
        <v>-1.0844035382447225E-2</v>
      </c>
      <c r="I239" s="7">
        <f>PRODUCT(fact_daily_prices!$F239,fact_daily_prices!$G239)</f>
        <v>25433797.5</v>
      </c>
      <c r="J239" s="7" t="str">
        <f>_xlfn.XLOOKUP(fact_daily_prices!$B239,dim_company[company_id],dim_company[sector_id])</f>
        <v>SEC01</v>
      </c>
      <c r="K239" s="21" t="str">
        <f>_xlfn.XLOOKUP(fact_daily_prices!$J239,dim_sector[sector_id],dim_sector[sector_name])</f>
        <v>Information Technology</v>
      </c>
      <c r="L239" t="str">
        <v>COMP002-02-06-2025</v>
      </c>
      <c r="M239" t="str">
        <f>_xlfn.CONCAT(A238," ",B238)</f>
        <v>45807 COMP002</v>
      </c>
    </row>
    <row r="240" spans="1:13" x14ac:dyDescent="0.3">
      <c r="A240" s="17">
        <v>45811</v>
      </c>
      <c r="B240" s="18" t="s">
        <v>11</v>
      </c>
      <c r="C240" s="18">
        <v>1236.74</v>
      </c>
      <c r="D240" s="18">
        <v>1247.47</v>
      </c>
      <c r="E240" s="18">
        <v>1226.02</v>
      </c>
      <c r="F240" s="18">
        <v>1245.22</v>
      </c>
      <c r="G240" s="18">
        <v>25063</v>
      </c>
      <c r="H240" s="18">
        <f t="shared" si="5"/>
        <v>-8.6490740592023753E-3</v>
      </c>
      <c r="I240" s="18">
        <f>PRODUCT(fact_daily_prices!$F240,fact_daily_prices!$G240)</f>
        <v>31208948.859999999</v>
      </c>
      <c r="J240" s="18" t="str">
        <f>_xlfn.XLOOKUP(fact_daily_prices!$B240,dim_company[company_id],dim_company[sector_id])</f>
        <v>SEC01</v>
      </c>
      <c r="K240" s="19" t="str">
        <f>_xlfn.XLOOKUP(fact_daily_prices!$J240,dim_sector[sector_id],dim_sector[sector_name])</f>
        <v>Information Technology</v>
      </c>
      <c r="L240" t="str">
        <v>COMP002-03-06-2025</v>
      </c>
      <c r="M240" t="str">
        <f>_xlfn.CONCAT(A239," ",B239)</f>
        <v>45810 COMP002</v>
      </c>
    </row>
    <row r="241" spans="1:13" x14ac:dyDescent="0.3">
      <c r="A241" s="20">
        <v>45812</v>
      </c>
      <c r="B241" s="7" t="s">
        <v>11</v>
      </c>
      <c r="C241" s="7">
        <v>1229.31</v>
      </c>
      <c r="D241" s="7">
        <v>1249.4000000000001</v>
      </c>
      <c r="E241" s="7">
        <v>1209.23</v>
      </c>
      <c r="F241" s="7">
        <v>1226.93</v>
      </c>
      <c r="G241" s="7">
        <v>32463</v>
      </c>
      <c r="H241" s="7">
        <f t="shared" si="5"/>
        <v>-1.4907125915903893E-2</v>
      </c>
      <c r="I241" s="7">
        <f>PRODUCT(fact_daily_prices!$F241,fact_daily_prices!$G241)</f>
        <v>39829828.590000004</v>
      </c>
      <c r="J241" s="7" t="str">
        <f>_xlfn.XLOOKUP(fact_daily_prices!$B241,dim_company[company_id],dim_company[sector_id])</f>
        <v>SEC01</v>
      </c>
      <c r="K241" s="21" t="str">
        <f>_xlfn.XLOOKUP(fact_daily_prices!$J241,dim_sector[sector_id],dim_sector[sector_name])</f>
        <v>Information Technology</v>
      </c>
      <c r="L241" t="str">
        <v>COMP002-04-06-2025</v>
      </c>
      <c r="M241" t="str">
        <f>_xlfn.CONCAT(A240," ",B240)</f>
        <v>45811 COMP002</v>
      </c>
    </row>
    <row r="242" spans="1:13" x14ac:dyDescent="0.3">
      <c r="A242" s="17">
        <v>45813</v>
      </c>
      <c r="B242" s="18" t="s">
        <v>11</v>
      </c>
      <c r="C242" s="18">
        <v>1195.0999999999999</v>
      </c>
      <c r="D242" s="18">
        <v>1207.55</v>
      </c>
      <c r="E242" s="18">
        <v>1182.6600000000001</v>
      </c>
      <c r="F242" s="18">
        <v>1194.03</v>
      </c>
      <c r="G242" s="18">
        <v>24150</v>
      </c>
      <c r="H242" s="18">
        <f t="shared" si="5"/>
        <v>-2.7553746555781758E-2</v>
      </c>
      <c r="I242" s="18">
        <f>PRODUCT(fact_daily_prices!$F242,fact_daily_prices!$G242)</f>
        <v>28835824.5</v>
      </c>
      <c r="J242" s="18" t="str">
        <f>_xlfn.XLOOKUP(fact_daily_prices!$B242,dim_company[company_id],dim_company[sector_id])</f>
        <v>SEC01</v>
      </c>
      <c r="K242" s="19" t="str">
        <f>_xlfn.XLOOKUP(fact_daily_prices!$J242,dim_sector[sector_id],dim_sector[sector_name])</f>
        <v>Information Technology</v>
      </c>
      <c r="L242" t="str">
        <v>COMP002-05-06-2025</v>
      </c>
      <c r="M242" t="str">
        <f>_xlfn.CONCAT(A241," ",B241)</f>
        <v>45812 COMP002</v>
      </c>
    </row>
    <row r="243" spans="1:13" x14ac:dyDescent="0.3">
      <c r="A243" s="20">
        <v>45814</v>
      </c>
      <c r="B243" s="7" t="s">
        <v>11</v>
      </c>
      <c r="C243" s="7">
        <v>1198.17</v>
      </c>
      <c r="D243" s="7">
        <v>1211.1199999999999</v>
      </c>
      <c r="E243" s="7">
        <v>1185.23</v>
      </c>
      <c r="F243" s="7">
        <v>1188.44</v>
      </c>
      <c r="G243" s="7">
        <v>24863</v>
      </c>
      <c r="H243" s="7">
        <f t="shared" si="5"/>
        <v>-4.7036451146039498E-3</v>
      </c>
      <c r="I243" s="7">
        <f>PRODUCT(fact_daily_prices!$F243,fact_daily_prices!$G243)</f>
        <v>29548183.720000003</v>
      </c>
      <c r="J243" s="7" t="str">
        <f>_xlfn.XLOOKUP(fact_daily_prices!$B243,dim_company[company_id],dim_company[sector_id])</f>
        <v>SEC01</v>
      </c>
      <c r="K243" s="21" t="str">
        <f>_xlfn.XLOOKUP(fact_daily_prices!$J243,dim_sector[sector_id],dim_sector[sector_name])</f>
        <v>Information Technology</v>
      </c>
      <c r="L243" t="str">
        <v>COMP002-06-06-2025</v>
      </c>
      <c r="M243" t="str">
        <f>_xlfn.CONCAT(A242," ",B242)</f>
        <v>45813 COMP002</v>
      </c>
    </row>
    <row r="244" spans="1:13" x14ac:dyDescent="0.3">
      <c r="A244" s="17">
        <v>45817</v>
      </c>
      <c r="B244" s="18" t="s">
        <v>11</v>
      </c>
      <c r="C244" s="18">
        <v>1186.44</v>
      </c>
      <c r="D244" s="18">
        <v>1189.3599999999999</v>
      </c>
      <c r="E244" s="18">
        <v>1183.53</v>
      </c>
      <c r="F244" s="18">
        <v>1184.27</v>
      </c>
      <c r="G244" s="18">
        <v>49275</v>
      </c>
      <c r="H244" s="18">
        <f t="shared" si="5"/>
        <v>-3.5211564930295227E-3</v>
      </c>
      <c r="I244" s="18">
        <f>PRODUCT(fact_daily_prices!$F244,fact_daily_prices!$G244)</f>
        <v>58354904.25</v>
      </c>
      <c r="J244" s="18" t="str">
        <f>_xlfn.XLOOKUP(fact_daily_prices!$B244,dim_company[company_id],dim_company[sector_id])</f>
        <v>SEC01</v>
      </c>
      <c r="K244" s="19" t="str">
        <f>_xlfn.XLOOKUP(fact_daily_prices!$J244,dim_sector[sector_id],dim_sector[sector_name])</f>
        <v>Information Technology</v>
      </c>
      <c r="L244" t="str">
        <v>COMP002-09-06-2025</v>
      </c>
      <c r="M244" t="str">
        <f>_xlfn.CONCAT(A243," ",B243)</f>
        <v>45814 COMP002</v>
      </c>
    </row>
    <row r="245" spans="1:13" x14ac:dyDescent="0.3">
      <c r="A245" s="20">
        <v>45818</v>
      </c>
      <c r="B245" s="7" t="s">
        <v>11</v>
      </c>
      <c r="C245" s="7">
        <v>1209.1500000000001</v>
      </c>
      <c r="D245" s="7">
        <v>1221.3699999999999</v>
      </c>
      <c r="E245" s="7">
        <v>1196.93</v>
      </c>
      <c r="F245" s="7">
        <v>1217.42</v>
      </c>
      <c r="G245" s="7">
        <v>13112</v>
      </c>
      <c r="H245" s="7">
        <f t="shared" si="5"/>
        <v>2.7229715299568011E-2</v>
      </c>
      <c r="I245" s="7">
        <f>PRODUCT(fact_daily_prices!$F245,fact_daily_prices!$G245)</f>
        <v>15962811.040000001</v>
      </c>
      <c r="J245" s="7" t="str">
        <f>_xlfn.XLOOKUP(fact_daily_prices!$B245,dim_company[company_id],dim_company[sector_id])</f>
        <v>SEC01</v>
      </c>
      <c r="K245" s="21" t="str">
        <f>_xlfn.XLOOKUP(fact_daily_prices!$J245,dim_sector[sector_id],dim_sector[sector_name])</f>
        <v>Information Technology</v>
      </c>
      <c r="L245" t="str">
        <v>COMP002-10-06-2025</v>
      </c>
      <c r="M245" t="str">
        <f>_xlfn.CONCAT(A244," ",B244)</f>
        <v>45817 COMP002</v>
      </c>
    </row>
    <row r="246" spans="1:13" x14ac:dyDescent="0.3">
      <c r="A246" s="17">
        <v>45819</v>
      </c>
      <c r="B246" s="18" t="s">
        <v>11</v>
      </c>
      <c r="C246" s="18">
        <v>1240.68</v>
      </c>
      <c r="D246" s="18">
        <v>1254.26</v>
      </c>
      <c r="E246" s="18">
        <v>1227.0999999999999</v>
      </c>
      <c r="F246" s="18">
        <v>1241.93</v>
      </c>
      <c r="G246" s="18">
        <v>1481</v>
      </c>
      <c r="H246" s="18">
        <f t="shared" si="5"/>
        <v>1.9735411818701528E-2</v>
      </c>
      <c r="I246" s="18">
        <f>PRODUCT(fact_daily_prices!$F246,fact_daily_prices!$G246)</f>
        <v>1839298.33</v>
      </c>
      <c r="J246" s="18" t="str">
        <f>_xlfn.XLOOKUP(fact_daily_prices!$B246,dim_company[company_id],dim_company[sector_id])</f>
        <v>SEC01</v>
      </c>
      <c r="K246" s="19" t="str">
        <f>_xlfn.XLOOKUP(fact_daily_prices!$J246,dim_sector[sector_id],dim_sector[sector_name])</f>
        <v>Information Technology</v>
      </c>
      <c r="L246" t="str">
        <v>COMP002-11-06-2025</v>
      </c>
      <c r="M246" t="str">
        <f>_xlfn.CONCAT(A245," ",B245)</f>
        <v>45818 COMP002</v>
      </c>
    </row>
    <row r="247" spans="1:13" x14ac:dyDescent="0.3">
      <c r="A247" s="20">
        <v>45820</v>
      </c>
      <c r="B247" s="7" t="s">
        <v>11</v>
      </c>
      <c r="C247" s="7">
        <v>1252.82</v>
      </c>
      <c r="D247" s="7">
        <v>1266.55</v>
      </c>
      <c r="E247" s="7">
        <v>1239.0899999999999</v>
      </c>
      <c r="F247" s="7">
        <v>1250.95</v>
      </c>
      <c r="G247" s="7">
        <v>35888</v>
      </c>
      <c r="H247" s="7">
        <f t="shared" si="5"/>
        <v>7.2105200047963402E-3</v>
      </c>
      <c r="I247" s="7">
        <f>PRODUCT(fact_daily_prices!$F247,fact_daily_prices!$G247)</f>
        <v>44894093.600000001</v>
      </c>
      <c r="J247" s="7" t="str">
        <f>_xlfn.XLOOKUP(fact_daily_prices!$B247,dim_company[company_id],dim_company[sector_id])</f>
        <v>SEC01</v>
      </c>
      <c r="K247" s="21" t="str">
        <f>_xlfn.XLOOKUP(fact_daily_prices!$J247,dim_sector[sector_id],dim_sector[sector_name])</f>
        <v>Information Technology</v>
      </c>
      <c r="L247" t="str">
        <v>COMP002-12-06-2025</v>
      </c>
      <c r="M247" t="str">
        <f>_xlfn.CONCAT(A246," ",B246)</f>
        <v>45819 COMP002</v>
      </c>
    </row>
    <row r="248" spans="1:13" x14ac:dyDescent="0.3">
      <c r="A248" s="17">
        <v>45821</v>
      </c>
      <c r="B248" s="18" t="s">
        <v>11</v>
      </c>
      <c r="C248" s="18">
        <v>1276.1500000000001</v>
      </c>
      <c r="D248" s="18">
        <v>1286.47</v>
      </c>
      <c r="E248" s="18">
        <v>1265.8399999999999</v>
      </c>
      <c r="F248" s="18">
        <v>1284.54</v>
      </c>
      <c r="G248" s="18">
        <v>35008</v>
      </c>
      <c r="H248" s="18">
        <f t="shared" si="5"/>
        <v>2.6149438709576905E-2</v>
      </c>
      <c r="I248" s="18">
        <f>PRODUCT(fact_daily_prices!$F248,fact_daily_prices!$G248)</f>
        <v>44969176.32</v>
      </c>
      <c r="J248" s="18" t="str">
        <f>_xlfn.XLOOKUP(fact_daily_prices!$B248,dim_company[company_id],dim_company[sector_id])</f>
        <v>SEC01</v>
      </c>
      <c r="K248" s="19" t="str">
        <f>_xlfn.XLOOKUP(fact_daily_prices!$J248,dim_sector[sector_id],dim_sector[sector_name])</f>
        <v>Information Technology</v>
      </c>
      <c r="L248" t="str">
        <v>COMP002-13-06-2025</v>
      </c>
      <c r="M248" t="str">
        <f>_xlfn.CONCAT(A247," ",B247)</f>
        <v>45820 COMP002</v>
      </c>
    </row>
    <row r="249" spans="1:13" x14ac:dyDescent="0.3">
      <c r="A249" s="20">
        <v>45824</v>
      </c>
      <c r="B249" s="7" t="s">
        <v>11</v>
      </c>
      <c r="C249" s="7">
        <v>1308.96</v>
      </c>
      <c r="D249" s="7">
        <v>1326</v>
      </c>
      <c r="E249" s="7">
        <v>1291.92</v>
      </c>
      <c r="F249" s="7">
        <v>1307.56</v>
      </c>
      <c r="G249" s="7">
        <v>46080</v>
      </c>
      <c r="H249" s="7">
        <f t="shared" si="5"/>
        <v>1.760531065496037E-2</v>
      </c>
      <c r="I249" s="7">
        <f>PRODUCT(fact_daily_prices!$F249,fact_daily_prices!$G249)</f>
        <v>60252364.799999997</v>
      </c>
      <c r="J249" s="7" t="str">
        <f>_xlfn.XLOOKUP(fact_daily_prices!$B249,dim_company[company_id],dim_company[sector_id])</f>
        <v>SEC01</v>
      </c>
      <c r="K249" s="21" t="str">
        <f>_xlfn.XLOOKUP(fact_daily_prices!$J249,dim_sector[sector_id],dim_sector[sector_name])</f>
        <v>Information Technology</v>
      </c>
      <c r="L249" t="str">
        <v>COMP002-16-06-2025</v>
      </c>
      <c r="M249" t="str">
        <f>_xlfn.CONCAT(A248," ",B248)</f>
        <v>45821 COMP002</v>
      </c>
    </row>
    <row r="250" spans="1:13" x14ac:dyDescent="0.3">
      <c r="A250" s="17">
        <v>45825</v>
      </c>
      <c r="B250" s="18" t="s">
        <v>11</v>
      </c>
      <c r="C250" s="18">
        <v>1267.9100000000001</v>
      </c>
      <c r="D250" s="18">
        <v>1281.49</v>
      </c>
      <c r="E250" s="18">
        <v>1254.32</v>
      </c>
      <c r="F250" s="18">
        <v>1275.21</v>
      </c>
      <c r="G250" s="18">
        <v>35020</v>
      </c>
      <c r="H250" s="18">
        <f t="shared" si="5"/>
        <v>-2.5368370699727815E-2</v>
      </c>
      <c r="I250" s="18">
        <f>PRODUCT(fact_daily_prices!$F250,fact_daily_prices!$G250)</f>
        <v>44657854.200000003</v>
      </c>
      <c r="J250" s="18" t="str">
        <f>_xlfn.XLOOKUP(fact_daily_prices!$B250,dim_company[company_id],dim_company[sector_id])</f>
        <v>SEC01</v>
      </c>
      <c r="K250" s="19" t="str">
        <f>_xlfn.XLOOKUP(fact_daily_prices!$J250,dim_sector[sector_id],dim_sector[sector_name])</f>
        <v>Information Technology</v>
      </c>
      <c r="L250" t="str">
        <v>COMP002-17-06-2025</v>
      </c>
      <c r="M250" t="str">
        <f>_xlfn.CONCAT(A249," ",B249)</f>
        <v>45824 COMP002</v>
      </c>
    </row>
    <row r="251" spans="1:13" x14ac:dyDescent="0.3">
      <c r="A251" s="20">
        <v>45826</v>
      </c>
      <c r="B251" s="7" t="s">
        <v>11</v>
      </c>
      <c r="C251" s="7">
        <v>1280.3</v>
      </c>
      <c r="D251" s="7">
        <v>1292.8399999999999</v>
      </c>
      <c r="E251" s="7">
        <v>1267.76</v>
      </c>
      <c r="F251" s="7">
        <v>1292.78</v>
      </c>
      <c r="G251" s="7">
        <v>21581</v>
      </c>
      <c r="H251" s="7">
        <f t="shared" si="5"/>
        <v>1.3590866195330942E-2</v>
      </c>
      <c r="I251" s="7">
        <f>PRODUCT(fact_daily_prices!$F251,fact_daily_prices!$G251)</f>
        <v>27899485.18</v>
      </c>
      <c r="J251" s="7" t="str">
        <f>_xlfn.XLOOKUP(fact_daily_prices!$B251,dim_company[company_id],dim_company[sector_id])</f>
        <v>SEC01</v>
      </c>
      <c r="K251" s="21" t="str">
        <f>_xlfn.XLOOKUP(fact_daily_prices!$J251,dim_sector[sector_id],dim_sector[sector_name])</f>
        <v>Information Technology</v>
      </c>
      <c r="L251" t="str">
        <v>COMP002-18-06-2025</v>
      </c>
      <c r="M251" t="str">
        <f>_xlfn.CONCAT(A250," ",B250)</f>
        <v>45825 COMP002</v>
      </c>
    </row>
    <row r="252" spans="1:13" x14ac:dyDescent="0.3">
      <c r="A252" s="17">
        <v>45827</v>
      </c>
      <c r="B252" s="18" t="s">
        <v>11</v>
      </c>
      <c r="C252" s="18">
        <v>1307.72</v>
      </c>
      <c r="D252" s="18">
        <v>1320.14</v>
      </c>
      <c r="E252" s="18">
        <v>1295.31</v>
      </c>
      <c r="F252" s="18">
        <v>1304.73</v>
      </c>
      <c r="G252" s="18">
        <v>5090</v>
      </c>
      <c r="H252" s="18">
        <f t="shared" si="5"/>
        <v>9.1589830846229067E-3</v>
      </c>
      <c r="I252" s="18">
        <f>PRODUCT(fact_daily_prices!$F252,fact_daily_prices!$G252)</f>
        <v>6641075.7000000002</v>
      </c>
      <c r="J252" s="18" t="str">
        <f>_xlfn.XLOOKUP(fact_daily_prices!$B252,dim_company[company_id],dim_company[sector_id])</f>
        <v>SEC01</v>
      </c>
      <c r="K252" s="19" t="str">
        <f>_xlfn.XLOOKUP(fact_daily_prices!$J252,dim_sector[sector_id],dim_sector[sector_name])</f>
        <v>Information Technology</v>
      </c>
      <c r="L252" t="str">
        <v>COMP002-19-06-2025</v>
      </c>
      <c r="M252" t="str">
        <f>_xlfn.CONCAT(A251," ",B251)</f>
        <v>45826 COMP002</v>
      </c>
    </row>
    <row r="253" spans="1:13" x14ac:dyDescent="0.3">
      <c r="A253" s="20">
        <v>45828</v>
      </c>
      <c r="B253" s="7" t="s">
        <v>11</v>
      </c>
      <c r="C253" s="7">
        <v>1302.53</v>
      </c>
      <c r="D253" s="7">
        <v>1325.32</v>
      </c>
      <c r="E253" s="7">
        <v>1279.75</v>
      </c>
      <c r="F253" s="7">
        <v>1300.29</v>
      </c>
      <c r="G253" s="7">
        <v>37408</v>
      </c>
      <c r="H253" s="7">
        <f t="shared" si="5"/>
        <v>-3.414622891816483E-3</v>
      </c>
      <c r="I253" s="7">
        <f>PRODUCT(fact_daily_prices!$F253,fact_daily_prices!$G253)</f>
        <v>48641248.32</v>
      </c>
      <c r="J253" s="7" t="str">
        <f>_xlfn.XLOOKUP(fact_daily_prices!$B253,dim_company[company_id],dim_company[sector_id])</f>
        <v>SEC01</v>
      </c>
      <c r="K253" s="21" t="str">
        <f>_xlfn.XLOOKUP(fact_daily_prices!$J253,dim_sector[sector_id],dim_sector[sector_name])</f>
        <v>Information Technology</v>
      </c>
      <c r="L253" t="str">
        <v>COMP002-20-06-2025</v>
      </c>
      <c r="M253" t="str">
        <f>_xlfn.CONCAT(A252," ",B252)</f>
        <v>45827 COMP002</v>
      </c>
    </row>
    <row r="254" spans="1:13" x14ac:dyDescent="0.3">
      <c r="A254" s="17">
        <v>45831</v>
      </c>
      <c r="B254" s="18" t="s">
        <v>11</v>
      </c>
      <c r="C254" s="18">
        <v>1280.95</v>
      </c>
      <c r="D254" s="18">
        <v>1289.02</v>
      </c>
      <c r="E254" s="18">
        <v>1272.8900000000001</v>
      </c>
      <c r="F254" s="18">
        <v>1277.6199999999999</v>
      </c>
      <c r="G254" s="18">
        <v>2341</v>
      </c>
      <c r="H254" s="18">
        <f t="shared" si="5"/>
        <v>-1.7743930120067058E-2</v>
      </c>
      <c r="I254" s="18">
        <f>PRODUCT(fact_daily_prices!$F254,fact_daily_prices!$G254)</f>
        <v>2990908.42</v>
      </c>
      <c r="J254" s="18" t="str">
        <f>_xlfn.XLOOKUP(fact_daily_prices!$B254,dim_company[company_id],dim_company[sector_id])</f>
        <v>SEC01</v>
      </c>
      <c r="K254" s="19" t="str">
        <f>_xlfn.XLOOKUP(fact_daily_prices!$J254,dim_sector[sector_id],dim_sector[sector_name])</f>
        <v>Information Technology</v>
      </c>
      <c r="L254" t="str">
        <v>COMP002-23-06-2025</v>
      </c>
      <c r="M254" t="str">
        <f>_xlfn.CONCAT(A253," ",B253)</f>
        <v>45828 COMP002</v>
      </c>
    </row>
    <row r="255" spans="1:13" x14ac:dyDescent="0.3">
      <c r="A255" s="20">
        <v>45832</v>
      </c>
      <c r="B255" s="7" t="s">
        <v>11</v>
      </c>
      <c r="C255" s="7">
        <v>1290.1199999999999</v>
      </c>
      <c r="D255" s="7">
        <v>1312.22</v>
      </c>
      <c r="E255" s="7">
        <v>1268.02</v>
      </c>
      <c r="F255" s="7">
        <v>1287.55</v>
      </c>
      <c r="G255" s="7">
        <v>13254</v>
      </c>
      <c r="H255" s="7">
        <f t="shared" si="5"/>
        <v>7.7123218515786291E-3</v>
      </c>
      <c r="I255" s="7">
        <f>PRODUCT(fact_daily_prices!$F255,fact_daily_prices!$G255)</f>
        <v>17065187.699999999</v>
      </c>
      <c r="J255" s="7" t="str">
        <f>_xlfn.XLOOKUP(fact_daily_prices!$B255,dim_company[company_id],dim_company[sector_id])</f>
        <v>SEC01</v>
      </c>
      <c r="K255" s="21" t="str">
        <f>_xlfn.XLOOKUP(fact_daily_prices!$J255,dim_sector[sector_id],dim_sector[sector_name])</f>
        <v>Information Technology</v>
      </c>
      <c r="L255" t="str">
        <v>COMP002-24-06-2025</v>
      </c>
      <c r="M255" t="str">
        <f>_xlfn.CONCAT(A254," ",B254)</f>
        <v>45831 COMP002</v>
      </c>
    </row>
    <row r="256" spans="1:13" x14ac:dyDescent="0.3">
      <c r="A256" s="17">
        <v>45833</v>
      </c>
      <c r="B256" s="18" t="s">
        <v>11</v>
      </c>
      <c r="C256" s="18">
        <v>1256.4100000000001</v>
      </c>
      <c r="D256" s="18">
        <v>1274.79</v>
      </c>
      <c r="E256" s="18">
        <v>1238.03</v>
      </c>
      <c r="F256" s="18">
        <v>1254.56</v>
      </c>
      <c r="G256" s="18">
        <v>3421</v>
      </c>
      <c r="H256" s="18">
        <f t="shared" si="5"/>
        <v>-2.6296071929600824E-2</v>
      </c>
      <c r="I256" s="18">
        <f>PRODUCT(fact_daily_prices!$F256,fact_daily_prices!$G256)</f>
        <v>4291849.76</v>
      </c>
      <c r="J256" s="18" t="str">
        <f>_xlfn.XLOOKUP(fact_daily_prices!$B256,dim_company[company_id],dim_company[sector_id])</f>
        <v>SEC01</v>
      </c>
      <c r="K256" s="19" t="str">
        <f>_xlfn.XLOOKUP(fact_daily_prices!$J256,dim_sector[sector_id],dim_sector[sector_name])</f>
        <v>Information Technology</v>
      </c>
      <c r="L256" t="str">
        <v>COMP002-25-06-2025</v>
      </c>
      <c r="M256" t="str">
        <f>_xlfn.CONCAT(A255," ",B255)</f>
        <v>45832 COMP002</v>
      </c>
    </row>
    <row r="257" spans="1:13" x14ac:dyDescent="0.3">
      <c r="A257" s="20">
        <v>45834</v>
      </c>
      <c r="B257" s="7" t="s">
        <v>11</v>
      </c>
      <c r="C257" s="7">
        <v>1250.21</v>
      </c>
      <c r="D257" s="7">
        <v>1270.5</v>
      </c>
      <c r="E257" s="7">
        <v>1229.9100000000001</v>
      </c>
      <c r="F257" s="7">
        <v>1254.52</v>
      </c>
      <c r="G257" s="7">
        <v>12918</v>
      </c>
      <c r="H257" s="7">
        <f t="shared" si="5"/>
        <v>-3.1884704907027086E-5</v>
      </c>
      <c r="I257" s="7">
        <f>PRODUCT(fact_daily_prices!$F257,fact_daily_prices!$G257)</f>
        <v>16205889.359999999</v>
      </c>
      <c r="J257" s="7" t="str">
        <f>_xlfn.XLOOKUP(fact_daily_prices!$B257,dim_company[company_id],dim_company[sector_id])</f>
        <v>SEC01</v>
      </c>
      <c r="K257" s="21" t="str">
        <f>_xlfn.XLOOKUP(fact_daily_prices!$J257,dim_sector[sector_id],dim_sector[sector_name])</f>
        <v>Information Technology</v>
      </c>
      <c r="L257" t="str">
        <v>COMP002-26-06-2025</v>
      </c>
      <c r="M257" t="str">
        <f>_xlfn.CONCAT(A256," ",B256)</f>
        <v>45833 COMP002</v>
      </c>
    </row>
    <row r="258" spans="1:13" x14ac:dyDescent="0.3">
      <c r="A258" s="17">
        <v>45835</v>
      </c>
      <c r="B258" s="18" t="s">
        <v>11</v>
      </c>
      <c r="C258" s="18">
        <v>1253.0899999999999</v>
      </c>
      <c r="D258" s="18">
        <v>1262.3599999999999</v>
      </c>
      <c r="E258" s="18">
        <v>1243.81</v>
      </c>
      <c r="F258" s="18">
        <v>1245.0999999999999</v>
      </c>
      <c r="G258" s="18">
        <v>47617</v>
      </c>
      <c r="H258" s="18">
        <f t="shared" si="5"/>
        <v>-7.5656573769175761E-3</v>
      </c>
      <c r="I258" s="18">
        <f>PRODUCT(fact_daily_prices!$F258,fact_daily_prices!$G258)</f>
        <v>59287926.699999996</v>
      </c>
      <c r="J258" s="18" t="str">
        <f>_xlfn.XLOOKUP(fact_daily_prices!$B258,dim_company[company_id],dim_company[sector_id])</f>
        <v>SEC01</v>
      </c>
      <c r="K258" s="19" t="str">
        <f>_xlfn.XLOOKUP(fact_daily_prices!$J258,dim_sector[sector_id],dim_sector[sector_name])</f>
        <v>Information Technology</v>
      </c>
      <c r="L258" t="str">
        <v>COMP002-27-06-2025</v>
      </c>
      <c r="M258" t="str">
        <f>_xlfn.CONCAT(A257," ",B257)</f>
        <v>45834 COMP002</v>
      </c>
    </row>
    <row r="259" spans="1:13" x14ac:dyDescent="0.3">
      <c r="A259" s="20">
        <v>45838</v>
      </c>
      <c r="B259" s="7" t="s">
        <v>11</v>
      </c>
      <c r="C259" s="7">
        <v>1217.6300000000001</v>
      </c>
      <c r="D259" s="7">
        <v>1226.76</v>
      </c>
      <c r="E259" s="7">
        <v>1208.5</v>
      </c>
      <c r="F259" s="7">
        <v>1225.8</v>
      </c>
      <c r="G259" s="7">
        <v>5806</v>
      </c>
      <c r="H259" s="7">
        <f t="shared" si="5"/>
        <v>-1.5744819709577383E-2</v>
      </c>
      <c r="I259" s="7">
        <f>PRODUCT(fact_daily_prices!$F259,fact_daily_prices!$G259)</f>
        <v>7116994.7999999998</v>
      </c>
      <c r="J259" s="7" t="str">
        <f>_xlfn.XLOOKUP(fact_daily_prices!$B259,dim_company[company_id],dim_company[sector_id])</f>
        <v>SEC01</v>
      </c>
      <c r="K259" s="21" t="str">
        <f>_xlfn.XLOOKUP(fact_daily_prices!$J259,dim_sector[sector_id],dim_sector[sector_name])</f>
        <v>Information Technology</v>
      </c>
      <c r="L259" t="str">
        <v>COMP002-30-06-2025</v>
      </c>
      <c r="M259" t="str">
        <f>_xlfn.CONCAT(A258," ",B258)</f>
        <v>45835 COMP002</v>
      </c>
    </row>
    <row r="260" spans="1:13" x14ac:dyDescent="0.3">
      <c r="A260" s="17">
        <v>45658</v>
      </c>
      <c r="B260" s="18" t="s">
        <v>14</v>
      </c>
      <c r="C260" s="18">
        <v>1974.24</v>
      </c>
      <c r="D260" s="18">
        <v>1983.08</v>
      </c>
      <c r="E260" s="18">
        <v>1965.4</v>
      </c>
      <c r="F260" s="18">
        <v>1967.98</v>
      </c>
      <c r="G260" s="18">
        <v>45064</v>
      </c>
      <c r="H260" s="18">
        <v>0</v>
      </c>
      <c r="I260" s="18">
        <f>PRODUCT(fact_daily_prices!$F260,fact_daily_prices!$G260)</f>
        <v>88685050.719999999</v>
      </c>
      <c r="J260" s="18" t="str">
        <f>_xlfn.XLOOKUP(fact_daily_prices!$B260,dim_company[company_id],dim_company[sector_id])</f>
        <v>SEC02</v>
      </c>
      <c r="K260" s="19" t="str">
        <f>_xlfn.XLOOKUP(fact_daily_prices!$J260,dim_sector[sector_id],dim_sector[sector_name])</f>
        <v>Financials</v>
      </c>
      <c r="L260" t="str">
        <v>COMP003-01-01-2025</v>
      </c>
      <c r="M260" t="str">
        <f>_xlfn.CONCAT(A259," ",B259)</f>
        <v>45838 COMP002</v>
      </c>
    </row>
    <row r="261" spans="1:13" x14ac:dyDescent="0.3">
      <c r="A261" s="20">
        <v>45659</v>
      </c>
      <c r="B261" s="7" t="s">
        <v>14</v>
      </c>
      <c r="C261" s="7">
        <v>2030.8</v>
      </c>
      <c r="D261" s="7">
        <v>2047.32</v>
      </c>
      <c r="E261" s="7">
        <v>2014.27</v>
      </c>
      <c r="F261" s="7">
        <v>2034.15</v>
      </c>
      <c r="G261" s="7">
        <v>28570</v>
      </c>
      <c r="H261" s="7">
        <f t="shared" ref="H261:H323" si="6">(F261-F260)/F261</f>
        <v>3.2529557800555546E-2</v>
      </c>
      <c r="I261" s="7">
        <f>PRODUCT(fact_daily_prices!$F261,fact_daily_prices!$G261)</f>
        <v>58115665.5</v>
      </c>
      <c r="J261" s="7" t="str">
        <f>_xlfn.XLOOKUP(fact_daily_prices!$B261,dim_company[company_id],dim_company[sector_id])</f>
        <v>SEC02</v>
      </c>
      <c r="K261" s="21" t="str">
        <f>_xlfn.XLOOKUP(fact_daily_prices!$J261,dim_sector[sector_id],dim_sector[sector_name])</f>
        <v>Financials</v>
      </c>
      <c r="L261" t="str">
        <v>COMP003-02-01-2025</v>
      </c>
      <c r="M261" t="str">
        <f>_xlfn.CONCAT(A260," ",B260)</f>
        <v>45658 COMP003</v>
      </c>
    </row>
    <row r="262" spans="1:13" x14ac:dyDescent="0.3">
      <c r="A262" s="17">
        <v>45660</v>
      </c>
      <c r="B262" s="18" t="s">
        <v>14</v>
      </c>
      <c r="C262" s="18">
        <v>2021.01</v>
      </c>
      <c r="D262" s="18">
        <v>2026.12</v>
      </c>
      <c r="E262" s="18">
        <v>2015.9</v>
      </c>
      <c r="F262" s="18">
        <v>2015.94</v>
      </c>
      <c r="G262" s="18">
        <v>12745</v>
      </c>
      <c r="H262" s="18">
        <f t="shared" si="6"/>
        <v>-9.0330069347302182E-3</v>
      </c>
      <c r="I262" s="18">
        <f>PRODUCT(fact_daily_prices!$F262,fact_daily_prices!$G262)</f>
        <v>25693155.300000001</v>
      </c>
      <c r="J262" s="18" t="str">
        <f>_xlfn.XLOOKUP(fact_daily_prices!$B262,dim_company[company_id],dim_company[sector_id])</f>
        <v>SEC02</v>
      </c>
      <c r="K262" s="19" t="str">
        <f>_xlfn.XLOOKUP(fact_daily_prices!$J262,dim_sector[sector_id],dim_sector[sector_name])</f>
        <v>Financials</v>
      </c>
      <c r="L262" t="str">
        <v>COMP003-03-01-2025</v>
      </c>
      <c r="M262" t="str">
        <f>_xlfn.CONCAT(A261," ",B261)</f>
        <v>45659 COMP003</v>
      </c>
    </row>
    <row r="263" spans="1:13" x14ac:dyDescent="0.3">
      <c r="A263" s="20">
        <v>45663</v>
      </c>
      <c r="B263" s="7" t="s">
        <v>14</v>
      </c>
      <c r="C263" s="7">
        <v>1992.73</v>
      </c>
      <c r="D263" s="7">
        <v>2018.24</v>
      </c>
      <c r="E263" s="7">
        <v>1967.23</v>
      </c>
      <c r="F263" s="7">
        <v>2007.26</v>
      </c>
      <c r="G263" s="7">
        <v>15288</v>
      </c>
      <c r="H263" s="7">
        <f t="shared" si="6"/>
        <v>-4.3243027809053451E-3</v>
      </c>
      <c r="I263" s="7">
        <f>PRODUCT(fact_daily_prices!$F263,fact_daily_prices!$G263)</f>
        <v>30686990.879999999</v>
      </c>
      <c r="J263" s="7" t="str">
        <f>_xlfn.XLOOKUP(fact_daily_prices!$B263,dim_company[company_id],dim_company[sector_id])</f>
        <v>SEC02</v>
      </c>
      <c r="K263" s="21" t="str">
        <f>_xlfn.XLOOKUP(fact_daily_prices!$J263,dim_sector[sector_id],dim_sector[sector_name])</f>
        <v>Financials</v>
      </c>
      <c r="L263" t="str">
        <v>COMP003-06-01-2025</v>
      </c>
      <c r="M263" t="str">
        <f>_xlfn.CONCAT(A262," ",B262)</f>
        <v>45660 COMP003</v>
      </c>
    </row>
    <row r="264" spans="1:13" x14ac:dyDescent="0.3">
      <c r="A264" s="17">
        <v>45664</v>
      </c>
      <c r="B264" s="18" t="s">
        <v>14</v>
      </c>
      <c r="C264" s="18">
        <v>1972.17</v>
      </c>
      <c r="D264" s="18">
        <v>1991.18</v>
      </c>
      <c r="E264" s="18">
        <v>1953.17</v>
      </c>
      <c r="F264" s="18">
        <v>1987.12</v>
      </c>
      <c r="G264" s="18">
        <v>4342</v>
      </c>
      <c r="H264" s="18">
        <f t="shared" si="6"/>
        <v>-1.0135271146181459E-2</v>
      </c>
      <c r="I264" s="18">
        <f>PRODUCT(fact_daily_prices!$F264,fact_daily_prices!$G264)</f>
        <v>8628075.0399999991</v>
      </c>
      <c r="J264" s="18" t="str">
        <f>_xlfn.XLOOKUP(fact_daily_prices!$B264,dim_company[company_id],dim_company[sector_id])</f>
        <v>SEC02</v>
      </c>
      <c r="K264" s="19" t="str">
        <f>_xlfn.XLOOKUP(fact_daily_prices!$J264,dim_sector[sector_id],dim_sector[sector_name])</f>
        <v>Financials</v>
      </c>
      <c r="L264" t="str">
        <v>COMP003-07-01-2025</v>
      </c>
      <c r="M264" t="str">
        <f>_xlfn.CONCAT(A263," ",B263)</f>
        <v>45663 COMP003</v>
      </c>
    </row>
    <row r="265" spans="1:13" x14ac:dyDescent="0.3">
      <c r="A265" s="20">
        <v>45665</v>
      </c>
      <c r="B265" s="7" t="s">
        <v>14</v>
      </c>
      <c r="C265" s="7">
        <v>2005.09</v>
      </c>
      <c r="D265" s="7">
        <v>2034.91</v>
      </c>
      <c r="E265" s="7">
        <v>1975.28</v>
      </c>
      <c r="F265" s="7">
        <v>2003.07</v>
      </c>
      <c r="G265" s="7">
        <v>24411</v>
      </c>
      <c r="H265" s="7">
        <f t="shared" si="6"/>
        <v>7.962777137094583E-3</v>
      </c>
      <c r="I265" s="7">
        <f>PRODUCT(fact_daily_prices!$F265,fact_daily_prices!$G265)</f>
        <v>48896941.769999996</v>
      </c>
      <c r="J265" s="7" t="str">
        <f>_xlfn.XLOOKUP(fact_daily_prices!$B265,dim_company[company_id],dim_company[sector_id])</f>
        <v>SEC02</v>
      </c>
      <c r="K265" s="21" t="str">
        <f>_xlfn.XLOOKUP(fact_daily_prices!$J265,dim_sector[sector_id],dim_sector[sector_name])</f>
        <v>Financials</v>
      </c>
      <c r="L265" t="str">
        <v>COMP003-08-01-2025</v>
      </c>
      <c r="M265" t="str">
        <f>_xlfn.CONCAT(A264," ",B264)</f>
        <v>45664 COMP003</v>
      </c>
    </row>
    <row r="266" spans="1:13" x14ac:dyDescent="0.3">
      <c r="A266" s="17">
        <v>45666</v>
      </c>
      <c r="B266" s="18" t="s">
        <v>14</v>
      </c>
      <c r="C266" s="18">
        <v>1999.94</v>
      </c>
      <c r="D266" s="18">
        <v>2032.18</v>
      </c>
      <c r="E266" s="18">
        <v>1967.71</v>
      </c>
      <c r="F266" s="18">
        <v>1998.6</v>
      </c>
      <c r="G266" s="18">
        <v>4093</v>
      </c>
      <c r="H266" s="18">
        <f t="shared" si="6"/>
        <v>-2.2365655959171557E-3</v>
      </c>
      <c r="I266" s="18">
        <f>PRODUCT(fact_daily_prices!$F266,fact_daily_prices!$G266)</f>
        <v>8180269.7999999998</v>
      </c>
      <c r="J266" s="18" t="str">
        <f>_xlfn.XLOOKUP(fact_daily_prices!$B266,dim_company[company_id],dim_company[sector_id])</f>
        <v>SEC02</v>
      </c>
      <c r="K266" s="19" t="str">
        <f>_xlfn.XLOOKUP(fact_daily_prices!$J266,dim_sector[sector_id],dim_sector[sector_name])</f>
        <v>Financials</v>
      </c>
      <c r="L266" t="str">
        <v>COMP003-09-01-2025</v>
      </c>
      <c r="M266" t="str">
        <f>_xlfn.CONCAT(A265," ",B265)</f>
        <v>45665 COMP003</v>
      </c>
    </row>
    <row r="267" spans="1:13" x14ac:dyDescent="0.3">
      <c r="A267" s="20">
        <v>45667</v>
      </c>
      <c r="B267" s="7" t="s">
        <v>14</v>
      </c>
      <c r="C267" s="7">
        <v>1960.4</v>
      </c>
      <c r="D267" s="7">
        <v>1980.14</v>
      </c>
      <c r="E267" s="7">
        <v>1940.66</v>
      </c>
      <c r="F267" s="7">
        <v>1974.95</v>
      </c>
      <c r="G267" s="7">
        <v>45413</v>
      </c>
      <c r="H267" s="7">
        <f t="shared" si="6"/>
        <v>-1.1974986708524198E-2</v>
      </c>
      <c r="I267" s="7">
        <f>PRODUCT(fact_daily_prices!$F267,fact_daily_prices!$G267)</f>
        <v>89688404.350000009</v>
      </c>
      <c r="J267" s="7" t="str">
        <f>_xlfn.XLOOKUP(fact_daily_prices!$B267,dim_company[company_id],dim_company[sector_id])</f>
        <v>SEC02</v>
      </c>
      <c r="K267" s="21" t="str">
        <f>_xlfn.XLOOKUP(fact_daily_prices!$J267,dim_sector[sector_id],dim_sector[sector_name])</f>
        <v>Financials</v>
      </c>
      <c r="L267" t="str">
        <v>COMP003-10-01-2025</v>
      </c>
      <c r="M267" t="str">
        <f>_xlfn.CONCAT(A266," ",B266)</f>
        <v>45666 COMP003</v>
      </c>
    </row>
    <row r="268" spans="1:13" x14ac:dyDescent="0.3">
      <c r="A268" s="17">
        <v>45670</v>
      </c>
      <c r="B268" s="18" t="s">
        <v>14</v>
      </c>
      <c r="C268" s="18">
        <v>1986.24</v>
      </c>
      <c r="D268" s="18">
        <v>1997.86</v>
      </c>
      <c r="E268" s="18">
        <v>1974.62</v>
      </c>
      <c r="F268" s="18">
        <v>1991.84</v>
      </c>
      <c r="G268" s="18">
        <v>40214</v>
      </c>
      <c r="H268" s="18">
        <f t="shared" si="6"/>
        <v>8.4795967547593547E-3</v>
      </c>
      <c r="I268" s="18">
        <f>PRODUCT(fact_daily_prices!$F268,fact_daily_prices!$G268)</f>
        <v>80099853.75999999</v>
      </c>
      <c r="J268" s="18" t="str">
        <f>_xlfn.XLOOKUP(fact_daily_prices!$B268,dim_company[company_id],dim_company[sector_id])</f>
        <v>SEC02</v>
      </c>
      <c r="K268" s="19" t="str">
        <f>_xlfn.XLOOKUP(fact_daily_prices!$J268,dim_sector[sector_id],dim_sector[sector_name])</f>
        <v>Financials</v>
      </c>
      <c r="L268" t="str">
        <v>COMP003-13-01-2025</v>
      </c>
      <c r="M268" t="str">
        <f>_xlfn.CONCAT(A267," ",B267)</f>
        <v>45667 COMP003</v>
      </c>
    </row>
    <row r="269" spans="1:13" x14ac:dyDescent="0.3">
      <c r="A269" s="20">
        <v>45671</v>
      </c>
      <c r="B269" s="7" t="s">
        <v>14</v>
      </c>
      <c r="C269" s="7">
        <v>2007.88</v>
      </c>
      <c r="D269" s="7">
        <v>2029.17</v>
      </c>
      <c r="E269" s="7">
        <v>1986.58</v>
      </c>
      <c r="F269" s="7">
        <v>2012.28</v>
      </c>
      <c r="G269" s="7">
        <v>49901</v>
      </c>
      <c r="H269" s="7">
        <f t="shared" si="6"/>
        <v>1.0157632138668602E-2</v>
      </c>
      <c r="I269" s="7">
        <f>PRODUCT(fact_daily_prices!$F269,fact_daily_prices!$G269)</f>
        <v>100414784.28</v>
      </c>
      <c r="J269" s="7" t="str">
        <f>_xlfn.XLOOKUP(fact_daily_prices!$B269,dim_company[company_id],dim_company[sector_id])</f>
        <v>SEC02</v>
      </c>
      <c r="K269" s="21" t="str">
        <f>_xlfn.XLOOKUP(fact_daily_prices!$J269,dim_sector[sector_id],dim_sector[sector_name])</f>
        <v>Financials</v>
      </c>
      <c r="L269" t="str">
        <v>COMP003-14-01-2025</v>
      </c>
      <c r="M269" t="str">
        <f>_xlfn.CONCAT(A268," ",B268)</f>
        <v>45670 COMP003</v>
      </c>
    </row>
    <row r="270" spans="1:13" x14ac:dyDescent="0.3">
      <c r="A270" s="17">
        <v>45672</v>
      </c>
      <c r="B270" s="18" t="s">
        <v>14</v>
      </c>
      <c r="C270" s="18">
        <v>2017.46</v>
      </c>
      <c r="D270" s="18">
        <v>2041.64</v>
      </c>
      <c r="E270" s="18">
        <v>1993.28</v>
      </c>
      <c r="F270" s="18">
        <v>2011.07</v>
      </c>
      <c r="G270" s="18">
        <v>6626</v>
      </c>
      <c r="H270" s="18">
        <f t="shared" si="6"/>
        <v>-6.0166975789009648E-4</v>
      </c>
      <c r="I270" s="18">
        <f>PRODUCT(fact_daily_prices!$F270,fact_daily_prices!$G270)</f>
        <v>13325349.82</v>
      </c>
      <c r="J270" s="18" t="str">
        <f>_xlfn.XLOOKUP(fact_daily_prices!$B270,dim_company[company_id],dim_company[sector_id])</f>
        <v>SEC02</v>
      </c>
      <c r="K270" s="19" t="str">
        <f>_xlfn.XLOOKUP(fact_daily_prices!$J270,dim_sector[sector_id],dim_sector[sector_name])</f>
        <v>Financials</v>
      </c>
      <c r="L270" t="str">
        <v>COMP003-15-01-2025</v>
      </c>
      <c r="M270" t="str">
        <f>_xlfn.CONCAT(A269," ",B269)</f>
        <v>45671 COMP003</v>
      </c>
    </row>
    <row r="271" spans="1:13" x14ac:dyDescent="0.3">
      <c r="A271" s="20">
        <v>45673</v>
      </c>
      <c r="B271" s="7" t="s">
        <v>14</v>
      </c>
      <c r="C271" s="7">
        <v>1985.13</v>
      </c>
      <c r="D271" s="7">
        <v>2011.13</v>
      </c>
      <c r="E271" s="7">
        <v>1959.13</v>
      </c>
      <c r="F271" s="7">
        <v>1994.8</v>
      </c>
      <c r="G271" s="7">
        <v>20982</v>
      </c>
      <c r="H271" s="7">
        <f t="shared" si="6"/>
        <v>-8.1562061359534699E-3</v>
      </c>
      <c r="I271" s="7">
        <f>PRODUCT(fact_daily_prices!$F271,fact_daily_prices!$G271)</f>
        <v>41854893.600000001</v>
      </c>
      <c r="J271" s="7" t="str">
        <f>_xlfn.XLOOKUP(fact_daily_prices!$B271,dim_company[company_id],dim_company[sector_id])</f>
        <v>SEC02</v>
      </c>
      <c r="K271" s="21" t="str">
        <f>_xlfn.XLOOKUP(fact_daily_prices!$J271,dim_sector[sector_id],dim_sector[sector_name])</f>
        <v>Financials</v>
      </c>
      <c r="L271" t="str">
        <v>COMP003-16-01-2025</v>
      </c>
      <c r="M271" t="str">
        <f>_xlfn.CONCAT(A270," ",B270)</f>
        <v>45672 COMP003</v>
      </c>
    </row>
    <row r="272" spans="1:13" x14ac:dyDescent="0.3">
      <c r="A272" s="17">
        <v>45674</v>
      </c>
      <c r="B272" s="18" t="s">
        <v>14</v>
      </c>
      <c r="C272" s="18">
        <v>2062.31</v>
      </c>
      <c r="D272" s="18">
        <v>2081.71</v>
      </c>
      <c r="E272" s="18">
        <v>2042.9</v>
      </c>
      <c r="F272" s="18">
        <v>2051.12</v>
      </c>
      <c r="G272" s="18">
        <v>20440</v>
      </c>
      <c r="H272" s="18">
        <f t="shared" si="6"/>
        <v>2.7458169195366405E-2</v>
      </c>
      <c r="I272" s="18">
        <f>PRODUCT(fact_daily_prices!$F272,fact_daily_prices!$G272)</f>
        <v>41924892.799999997</v>
      </c>
      <c r="J272" s="18" t="str">
        <f>_xlfn.XLOOKUP(fact_daily_prices!$B272,dim_company[company_id],dim_company[sector_id])</f>
        <v>SEC02</v>
      </c>
      <c r="K272" s="19" t="str">
        <f>_xlfn.XLOOKUP(fact_daily_prices!$J272,dim_sector[sector_id],dim_sector[sector_name])</f>
        <v>Financials</v>
      </c>
      <c r="L272" t="str">
        <v>COMP003-17-01-2025</v>
      </c>
      <c r="M272" t="str">
        <f>_xlfn.CONCAT(A271," ",B271)</f>
        <v>45673 COMP003</v>
      </c>
    </row>
    <row r="273" spans="1:13" x14ac:dyDescent="0.3">
      <c r="A273" s="20">
        <v>45677</v>
      </c>
      <c r="B273" s="7" t="s">
        <v>14</v>
      </c>
      <c r="C273" s="7">
        <v>2066.25</v>
      </c>
      <c r="D273" s="7">
        <v>2087.27</v>
      </c>
      <c r="E273" s="7">
        <v>2045.23</v>
      </c>
      <c r="F273" s="7">
        <v>2060.42</v>
      </c>
      <c r="G273" s="7">
        <v>39158</v>
      </c>
      <c r="H273" s="7">
        <f t="shared" si="6"/>
        <v>4.5136428495162065E-3</v>
      </c>
      <c r="I273" s="7">
        <f>PRODUCT(fact_daily_prices!$F273,fact_daily_prices!$G273)</f>
        <v>80681926.359999999</v>
      </c>
      <c r="J273" s="7" t="str">
        <f>_xlfn.XLOOKUP(fact_daily_prices!$B273,dim_company[company_id],dim_company[sector_id])</f>
        <v>SEC02</v>
      </c>
      <c r="K273" s="21" t="str">
        <f>_xlfn.XLOOKUP(fact_daily_prices!$J273,dim_sector[sector_id],dim_sector[sector_name])</f>
        <v>Financials</v>
      </c>
      <c r="L273" t="str">
        <v>COMP003-20-01-2025</v>
      </c>
      <c r="M273" t="str">
        <f>_xlfn.CONCAT(A272," ",B272)</f>
        <v>45674 COMP003</v>
      </c>
    </row>
    <row r="274" spans="1:13" x14ac:dyDescent="0.3">
      <c r="A274" s="17">
        <v>45678</v>
      </c>
      <c r="B274" s="18" t="s">
        <v>14</v>
      </c>
      <c r="C274" s="18">
        <v>2026.64</v>
      </c>
      <c r="D274" s="18">
        <v>2047.22</v>
      </c>
      <c r="E274" s="18">
        <v>2006.06</v>
      </c>
      <c r="F274" s="18">
        <v>2028.09</v>
      </c>
      <c r="G274" s="18">
        <v>22563</v>
      </c>
      <c r="H274" s="18">
        <f t="shared" si="6"/>
        <v>-1.5941107150077242E-2</v>
      </c>
      <c r="I274" s="18">
        <f>PRODUCT(fact_daily_prices!$F274,fact_daily_prices!$G274)</f>
        <v>45759794.670000002</v>
      </c>
      <c r="J274" s="18" t="str">
        <f>_xlfn.XLOOKUP(fact_daily_prices!$B274,dim_company[company_id],dim_company[sector_id])</f>
        <v>SEC02</v>
      </c>
      <c r="K274" s="19" t="str">
        <f>_xlfn.XLOOKUP(fact_daily_prices!$J274,dim_sector[sector_id],dim_sector[sector_name])</f>
        <v>Financials</v>
      </c>
      <c r="L274" t="str">
        <v>COMP003-21-01-2025</v>
      </c>
      <c r="M274" t="str">
        <f>_xlfn.CONCAT(A273," ",B273)</f>
        <v>45677 COMP003</v>
      </c>
    </row>
    <row r="275" spans="1:13" x14ac:dyDescent="0.3">
      <c r="A275" s="20">
        <v>45679</v>
      </c>
      <c r="B275" s="7" t="s">
        <v>14</v>
      </c>
      <c r="C275" s="7">
        <v>2050.9299999999998</v>
      </c>
      <c r="D275" s="7">
        <v>2072.6999999999998</v>
      </c>
      <c r="E275" s="7">
        <v>2029.16</v>
      </c>
      <c r="F275" s="7">
        <v>2065.04</v>
      </c>
      <c r="G275" s="7">
        <v>4380</v>
      </c>
      <c r="H275" s="7">
        <f t="shared" si="6"/>
        <v>1.789311587184754E-2</v>
      </c>
      <c r="I275" s="7">
        <f>PRODUCT(fact_daily_prices!$F275,fact_daily_prices!$G275)</f>
        <v>9044875.1999999993</v>
      </c>
      <c r="J275" s="7" t="str">
        <f>_xlfn.XLOOKUP(fact_daily_prices!$B275,dim_company[company_id],dim_company[sector_id])</f>
        <v>SEC02</v>
      </c>
      <c r="K275" s="21" t="str">
        <f>_xlfn.XLOOKUP(fact_daily_prices!$J275,dim_sector[sector_id],dim_sector[sector_name])</f>
        <v>Financials</v>
      </c>
      <c r="L275" t="str">
        <v>COMP003-22-01-2025</v>
      </c>
      <c r="M275" t="str">
        <f>_xlfn.CONCAT(A274," ",B274)</f>
        <v>45678 COMP003</v>
      </c>
    </row>
    <row r="276" spans="1:13" x14ac:dyDescent="0.3">
      <c r="A276" s="17">
        <v>45680</v>
      </c>
      <c r="B276" s="18" t="s">
        <v>14</v>
      </c>
      <c r="C276" s="18">
        <v>2037.25</v>
      </c>
      <c r="D276" s="18">
        <v>2049.66</v>
      </c>
      <c r="E276" s="18">
        <v>2024.84</v>
      </c>
      <c r="F276" s="18">
        <v>2043.38</v>
      </c>
      <c r="G276" s="18">
        <v>21017</v>
      </c>
      <c r="H276" s="18">
        <f t="shared" si="6"/>
        <v>-1.0600084174260222E-2</v>
      </c>
      <c r="I276" s="18">
        <f>PRODUCT(fact_daily_prices!$F276,fact_daily_prices!$G276)</f>
        <v>42945717.460000001</v>
      </c>
      <c r="J276" s="18" t="str">
        <f>_xlfn.XLOOKUP(fact_daily_prices!$B276,dim_company[company_id],dim_company[sector_id])</f>
        <v>SEC02</v>
      </c>
      <c r="K276" s="19" t="str">
        <f>_xlfn.XLOOKUP(fact_daily_prices!$J276,dim_sector[sector_id],dim_sector[sector_name])</f>
        <v>Financials</v>
      </c>
      <c r="L276" t="str">
        <v>COMP003-23-01-2025</v>
      </c>
      <c r="M276" t="str">
        <f>_xlfn.CONCAT(A275," ",B275)</f>
        <v>45679 COMP003</v>
      </c>
    </row>
    <row r="277" spans="1:13" x14ac:dyDescent="0.3">
      <c r="A277" s="20">
        <v>45681</v>
      </c>
      <c r="B277" s="7" t="s">
        <v>14</v>
      </c>
      <c r="C277" s="7">
        <v>2118.5500000000002</v>
      </c>
      <c r="D277" s="7">
        <v>2147.9</v>
      </c>
      <c r="E277" s="7">
        <v>2089.1999999999998</v>
      </c>
      <c r="F277" s="7">
        <v>2115.6999999999998</v>
      </c>
      <c r="G277" s="7">
        <v>18343</v>
      </c>
      <c r="H277" s="7">
        <f t="shared" si="6"/>
        <v>3.4182540057663996E-2</v>
      </c>
      <c r="I277" s="7">
        <f>PRODUCT(fact_daily_prices!$F277,fact_daily_prices!$G277)</f>
        <v>38808285.099999994</v>
      </c>
      <c r="J277" s="7" t="str">
        <f>_xlfn.XLOOKUP(fact_daily_prices!$B277,dim_company[company_id],dim_company[sector_id])</f>
        <v>SEC02</v>
      </c>
      <c r="K277" s="21" t="str">
        <f>_xlfn.XLOOKUP(fact_daily_prices!$J277,dim_sector[sector_id],dim_sector[sector_name])</f>
        <v>Financials</v>
      </c>
      <c r="L277" t="str">
        <v>COMP003-24-01-2025</v>
      </c>
      <c r="M277" t="str">
        <f>_xlfn.CONCAT(A276," ",B276)</f>
        <v>45680 COMP003</v>
      </c>
    </row>
    <row r="278" spans="1:13" x14ac:dyDescent="0.3">
      <c r="A278" s="17">
        <v>45684</v>
      </c>
      <c r="B278" s="18" t="s">
        <v>14</v>
      </c>
      <c r="C278" s="18">
        <v>2105.25</v>
      </c>
      <c r="D278" s="18">
        <v>2130.79</v>
      </c>
      <c r="E278" s="18">
        <v>2079.6999999999998</v>
      </c>
      <c r="F278" s="18">
        <v>2118.33</v>
      </c>
      <c r="G278" s="18">
        <v>16251</v>
      </c>
      <c r="H278" s="18">
        <f t="shared" si="6"/>
        <v>1.2415440464895032E-3</v>
      </c>
      <c r="I278" s="18">
        <f>PRODUCT(fact_daily_prices!$F278,fact_daily_prices!$G278)</f>
        <v>34424980.829999998</v>
      </c>
      <c r="J278" s="18" t="str">
        <f>_xlfn.XLOOKUP(fact_daily_prices!$B278,dim_company[company_id],dim_company[sector_id])</f>
        <v>SEC02</v>
      </c>
      <c r="K278" s="19" t="str">
        <f>_xlfn.XLOOKUP(fact_daily_prices!$J278,dim_sector[sector_id],dim_sector[sector_name])</f>
        <v>Financials</v>
      </c>
      <c r="L278" t="str">
        <v>COMP003-27-01-2025</v>
      </c>
      <c r="M278" t="str">
        <f>_xlfn.CONCAT(A277," ",B277)</f>
        <v>45681 COMP003</v>
      </c>
    </row>
    <row r="279" spans="1:13" x14ac:dyDescent="0.3">
      <c r="A279" s="20">
        <v>45685</v>
      </c>
      <c r="B279" s="7" t="s">
        <v>14</v>
      </c>
      <c r="C279" s="7">
        <v>2152.8200000000002</v>
      </c>
      <c r="D279" s="7">
        <v>2180.25</v>
      </c>
      <c r="E279" s="7">
        <v>2125.39</v>
      </c>
      <c r="F279" s="7">
        <v>2146.06</v>
      </c>
      <c r="G279" s="7">
        <v>12536</v>
      </c>
      <c r="H279" s="7">
        <f t="shared" si="6"/>
        <v>1.2921353550226937E-2</v>
      </c>
      <c r="I279" s="7">
        <f>PRODUCT(fact_daily_prices!$F279,fact_daily_prices!$G279)</f>
        <v>26903008.16</v>
      </c>
      <c r="J279" s="7" t="str">
        <f>_xlfn.XLOOKUP(fact_daily_prices!$B279,dim_company[company_id],dim_company[sector_id])</f>
        <v>SEC02</v>
      </c>
      <c r="K279" s="21" t="str">
        <f>_xlfn.XLOOKUP(fact_daily_prices!$J279,dim_sector[sector_id],dim_sector[sector_name])</f>
        <v>Financials</v>
      </c>
      <c r="L279" t="str">
        <v>COMP003-28-01-2025</v>
      </c>
      <c r="M279" t="str">
        <f>_xlfn.CONCAT(A278," ",B278)</f>
        <v>45684 COMP003</v>
      </c>
    </row>
    <row r="280" spans="1:13" x14ac:dyDescent="0.3">
      <c r="A280" s="17">
        <v>45686</v>
      </c>
      <c r="B280" s="18" t="s">
        <v>14</v>
      </c>
      <c r="C280" s="18">
        <v>2098.5700000000002</v>
      </c>
      <c r="D280" s="18">
        <v>2116.4499999999998</v>
      </c>
      <c r="E280" s="18">
        <v>2080.6999999999998</v>
      </c>
      <c r="F280" s="18">
        <v>2091.0500000000002</v>
      </c>
      <c r="G280" s="18">
        <v>9712</v>
      </c>
      <c r="H280" s="18">
        <f t="shared" si="6"/>
        <v>-2.6307357547643413E-2</v>
      </c>
      <c r="I280" s="18">
        <f>PRODUCT(fact_daily_prices!$F280,fact_daily_prices!$G280)</f>
        <v>20308277.600000001</v>
      </c>
      <c r="J280" s="18" t="str">
        <f>_xlfn.XLOOKUP(fact_daily_prices!$B280,dim_company[company_id],dim_company[sector_id])</f>
        <v>SEC02</v>
      </c>
      <c r="K280" s="19" t="str">
        <f>_xlfn.XLOOKUP(fact_daily_prices!$J280,dim_sector[sector_id],dim_sector[sector_name])</f>
        <v>Financials</v>
      </c>
      <c r="L280" t="str">
        <v>COMP003-29-01-2025</v>
      </c>
      <c r="M280" t="str">
        <f>_xlfn.CONCAT(A279," ",B279)</f>
        <v>45685 COMP003</v>
      </c>
    </row>
    <row r="281" spans="1:13" x14ac:dyDescent="0.3">
      <c r="A281" s="20">
        <v>45687</v>
      </c>
      <c r="B281" s="7" t="s">
        <v>14</v>
      </c>
      <c r="C281" s="7">
        <v>2051.9899999999998</v>
      </c>
      <c r="D281" s="7">
        <v>2066.23</v>
      </c>
      <c r="E281" s="7">
        <v>2037.75</v>
      </c>
      <c r="F281" s="7">
        <v>2057.98</v>
      </c>
      <c r="G281" s="7">
        <v>6109</v>
      </c>
      <c r="H281" s="7">
        <f t="shared" si="6"/>
        <v>-1.6069155191012624E-2</v>
      </c>
      <c r="I281" s="7">
        <f>PRODUCT(fact_daily_prices!$F281,fact_daily_prices!$G281)</f>
        <v>12572199.82</v>
      </c>
      <c r="J281" s="7" t="str">
        <f>_xlfn.XLOOKUP(fact_daily_prices!$B281,dim_company[company_id],dim_company[sector_id])</f>
        <v>SEC02</v>
      </c>
      <c r="K281" s="21" t="str">
        <f>_xlfn.XLOOKUP(fact_daily_prices!$J281,dim_sector[sector_id],dim_sector[sector_name])</f>
        <v>Financials</v>
      </c>
      <c r="L281" t="str">
        <v>COMP003-30-01-2025</v>
      </c>
      <c r="M281" t="str">
        <f>_xlfn.CONCAT(A280," ",B280)</f>
        <v>45686 COMP003</v>
      </c>
    </row>
    <row r="282" spans="1:13" x14ac:dyDescent="0.3">
      <c r="A282" s="17">
        <v>45688</v>
      </c>
      <c r="B282" s="18" t="s">
        <v>14</v>
      </c>
      <c r="C282" s="18">
        <v>2087.8200000000002</v>
      </c>
      <c r="D282" s="18">
        <v>2107</v>
      </c>
      <c r="E282" s="18">
        <v>2068.64</v>
      </c>
      <c r="F282" s="18">
        <v>2093.35</v>
      </c>
      <c r="G282" s="18">
        <v>17967</v>
      </c>
      <c r="H282" s="18">
        <f t="shared" si="6"/>
        <v>1.6896362290109105E-2</v>
      </c>
      <c r="I282" s="18">
        <f>PRODUCT(fact_daily_prices!$F282,fact_daily_prices!$G282)</f>
        <v>37611219.449999996</v>
      </c>
      <c r="J282" s="18" t="str">
        <f>_xlfn.XLOOKUP(fact_daily_prices!$B282,dim_company[company_id],dim_company[sector_id])</f>
        <v>SEC02</v>
      </c>
      <c r="K282" s="19" t="str">
        <f>_xlfn.XLOOKUP(fact_daily_prices!$J282,dim_sector[sector_id],dim_sector[sector_name])</f>
        <v>Financials</v>
      </c>
      <c r="L282" t="str">
        <v>COMP003-31-01-2025</v>
      </c>
      <c r="M282" t="str">
        <f>_xlfn.CONCAT(A281," ",B281)</f>
        <v>45687 COMP003</v>
      </c>
    </row>
    <row r="283" spans="1:13" x14ac:dyDescent="0.3">
      <c r="A283" s="20">
        <v>45691</v>
      </c>
      <c r="B283" s="7" t="s">
        <v>14</v>
      </c>
      <c r="C283" s="7">
        <v>2099.21</v>
      </c>
      <c r="D283" s="7">
        <v>2115.3000000000002</v>
      </c>
      <c r="E283" s="7">
        <v>2083.11</v>
      </c>
      <c r="F283" s="7">
        <v>2102.25</v>
      </c>
      <c r="G283" s="7">
        <v>37935</v>
      </c>
      <c r="H283" s="7">
        <f t="shared" si="6"/>
        <v>4.2335592817220082E-3</v>
      </c>
      <c r="I283" s="7">
        <f>PRODUCT(fact_daily_prices!$F283,fact_daily_prices!$G283)</f>
        <v>79748853.75</v>
      </c>
      <c r="J283" s="7" t="str">
        <f>_xlfn.XLOOKUP(fact_daily_prices!$B283,dim_company[company_id],dim_company[sector_id])</f>
        <v>SEC02</v>
      </c>
      <c r="K283" s="21" t="str">
        <f>_xlfn.XLOOKUP(fact_daily_prices!$J283,dim_sector[sector_id],dim_sector[sector_name])</f>
        <v>Financials</v>
      </c>
      <c r="L283" t="str">
        <v>COMP003-03-02-2025</v>
      </c>
      <c r="M283" t="str">
        <f>_xlfn.CONCAT(A282," ",B282)</f>
        <v>45688 COMP003</v>
      </c>
    </row>
    <row r="284" spans="1:13" x14ac:dyDescent="0.3">
      <c r="A284" s="17">
        <v>45692</v>
      </c>
      <c r="B284" s="18" t="s">
        <v>14</v>
      </c>
      <c r="C284" s="18">
        <v>2152.91</v>
      </c>
      <c r="D284" s="18">
        <v>2177.61</v>
      </c>
      <c r="E284" s="18">
        <v>2128.1999999999998</v>
      </c>
      <c r="F284" s="18">
        <v>2157.56</v>
      </c>
      <c r="G284" s="18">
        <v>30009</v>
      </c>
      <c r="H284" s="18">
        <f t="shared" si="6"/>
        <v>2.5635440034112583E-2</v>
      </c>
      <c r="I284" s="18">
        <f>PRODUCT(fact_daily_prices!$F284,fact_daily_prices!$G284)</f>
        <v>64746218.039999999</v>
      </c>
      <c r="J284" s="18" t="str">
        <f>_xlfn.XLOOKUP(fact_daily_prices!$B284,dim_company[company_id],dim_company[sector_id])</f>
        <v>SEC02</v>
      </c>
      <c r="K284" s="19" t="str">
        <f>_xlfn.XLOOKUP(fact_daily_prices!$J284,dim_sector[sector_id],dim_sector[sector_name])</f>
        <v>Financials</v>
      </c>
      <c r="L284" t="str">
        <v>COMP003-04-02-2025</v>
      </c>
      <c r="M284" t="str">
        <f>_xlfn.CONCAT(A283," ",B283)</f>
        <v>45691 COMP003</v>
      </c>
    </row>
    <row r="285" spans="1:13" x14ac:dyDescent="0.3">
      <c r="A285" s="20">
        <v>45693</v>
      </c>
      <c r="B285" s="7" t="s">
        <v>14</v>
      </c>
      <c r="C285" s="7">
        <v>2168.6999999999998</v>
      </c>
      <c r="D285" s="7">
        <v>2192.15</v>
      </c>
      <c r="E285" s="7">
        <v>2145.25</v>
      </c>
      <c r="F285" s="7">
        <v>2171.31</v>
      </c>
      <c r="G285" s="7">
        <v>27143</v>
      </c>
      <c r="H285" s="7">
        <f t="shared" si="6"/>
        <v>6.3325826344464865E-3</v>
      </c>
      <c r="I285" s="7">
        <f>PRODUCT(fact_daily_prices!$F285,fact_daily_prices!$G285)</f>
        <v>58935867.329999998</v>
      </c>
      <c r="J285" s="7" t="str">
        <f>_xlfn.XLOOKUP(fact_daily_prices!$B285,dim_company[company_id],dim_company[sector_id])</f>
        <v>SEC02</v>
      </c>
      <c r="K285" s="21" t="str">
        <f>_xlfn.XLOOKUP(fact_daily_prices!$J285,dim_sector[sector_id],dim_sector[sector_name])</f>
        <v>Financials</v>
      </c>
      <c r="L285" t="str">
        <v>COMP003-05-02-2025</v>
      </c>
      <c r="M285" t="str">
        <f>_xlfn.CONCAT(A284," ",B284)</f>
        <v>45692 COMP003</v>
      </c>
    </row>
    <row r="286" spans="1:13" x14ac:dyDescent="0.3">
      <c r="A286" s="17">
        <v>45694</v>
      </c>
      <c r="B286" s="18" t="s">
        <v>14</v>
      </c>
      <c r="C286" s="18">
        <v>2173.63</v>
      </c>
      <c r="D286" s="18">
        <v>2204.4</v>
      </c>
      <c r="E286" s="18">
        <v>2142.86</v>
      </c>
      <c r="F286" s="18">
        <v>2175.81</v>
      </c>
      <c r="G286" s="18">
        <v>21581</v>
      </c>
      <c r="H286" s="18">
        <f t="shared" si="6"/>
        <v>2.0681952927875135E-3</v>
      </c>
      <c r="I286" s="18">
        <f>PRODUCT(fact_daily_prices!$F286,fact_daily_prices!$G286)</f>
        <v>46956155.609999999</v>
      </c>
      <c r="J286" s="18" t="str">
        <f>_xlfn.XLOOKUP(fact_daily_prices!$B286,dim_company[company_id],dim_company[sector_id])</f>
        <v>SEC02</v>
      </c>
      <c r="K286" s="19" t="str">
        <f>_xlfn.XLOOKUP(fact_daily_prices!$J286,dim_sector[sector_id],dim_sector[sector_name])</f>
        <v>Financials</v>
      </c>
      <c r="L286" t="str">
        <v>COMP003-06-02-2025</v>
      </c>
      <c r="M286" t="str">
        <f>_xlfn.CONCAT(A285," ",B285)</f>
        <v>45693 COMP003</v>
      </c>
    </row>
    <row r="287" spans="1:13" x14ac:dyDescent="0.3">
      <c r="A287" s="20">
        <v>45695</v>
      </c>
      <c r="B287" s="7" t="s">
        <v>14</v>
      </c>
      <c r="C287" s="7">
        <v>2227.9</v>
      </c>
      <c r="D287" s="7">
        <v>2264.1999999999998</v>
      </c>
      <c r="E287" s="7">
        <v>2191.61</v>
      </c>
      <c r="F287" s="7">
        <v>2223.8200000000002</v>
      </c>
      <c r="G287" s="7">
        <v>4762</v>
      </c>
      <c r="H287" s="7">
        <f t="shared" si="6"/>
        <v>2.1588977525159508E-2</v>
      </c>
      <c r="I287" s="7">
        <f>PRODUCT(fact_daily_prices!$F287,fact_daily_prices!$G287)</f>
        <v>10589830.84</v>
      </c>
      <c r="J287" s="7" t="str">
        <f>_xlfn.XLOOKUP(fact_daily_prices!$B287,dim_company[company_id],dim_company[sector_id])</f>
        <v>SEC02</v>
      </c>
      <c r="K287" s="21" t="str">
        <f>_xlfn.XLOOKUP(fact_daily_prices!$J287,dim_sector[sector_id],dim_sector[sector_name])</f>
        <v>Financials</v>
      </c>
      <c r="L287" t="str">
        <v>COMP003-07-02-2025</v>
      </c>
      <c r="M287" t="str">
        <f>_xlfn.CONCAT(A286," ",B286)</f>
        <v>45694 COMP003</v>
      </c>
    </row>
    <row r="288" spans="1:13" x14ac:dyDescent="0.3">
      <c r="A288" s="17">
        <v>45698</v>
      </c>
      <c r="B288" s="18" t="s">
        <v>14</v>
      </c>
      <c r="C288" s="18">
        <v>2249.75</v>
      </c>
      <c r="D288" s="18">
        <v>2257.5700000000002</v>
      </c>
      <c r="E288" s="18">
        <v>2241.9299999999998</v>
      </c>
      <c r="F288" s="18">
        <v>2252.84</v>
      </c>
      <c r="G288" s="18">
        <v>39559</v>
      </c>
      <c r="H288" s="18">
        <f t="shared" si="6"/>
        <v>1.2881518438948162E-2</v>
      </c>
      <c r="I288" s="18">
        <f>PRODUCT(fact_daily_prices!$F288,fact_daily_prices!$G288)</f>
        <v>89120097.560000002</v>
      </c>
      <c r="J288" s="18" t="str">
        <f>_xlfn.XLOOKUP(fact_daily_prices!$B288,dim_company[company_id],dim_company[sector_id])</f>
        <v>SEC02</v>
      </c>
      <c r="K288" s="19" t="str">
        <f>_xlfn.XLOOKUP(fact_daily_prices!$J288,dim_sector[sector_id],dim_sector[sector_name])</f>
        <v>Financials</v>
      </c>
      <c r="L288" t="str">
        <v>COMP003-10-02-2025</v>
      </c>
      <c r="M288" t="str">
        <f>_xlfn.CONCAT(A287," ",B287)</f>
        <v>45695 COMP003</v>
      </c>
    </row>
    <row r="289" spans="1:13" x14ac:dyDescent="0.3">
      <c r="A289" s="20">
        <v>45699</v>
      </c>
      <c r="B289" s="7" t="s">
        <v>14</v>
      </c>
      <c r="C289" s="7">
        <v>2237.38</v>
      </c>
      <c r="D289" s="7">
        <v>2248.64</v>
      </c>
      <c r="E289" s="7">
        <v>2226.13</v>
      </c>
      <c r="F289" s="7">
        <v>2247.81</v>
      </c>
      <c r="G289" s="7">
        <v>31811</v>
      </c>
      <c r="H289" s="7">
        <f t="shared" si="6"/>
        <v>-2.2377336162754859E-3</v>
      </c>
      <c r="I289" s="7">
        <f>PRODUCT(fact_daily_prices!$F289,fact_daily_prices!$G289)</f>
        <v>71505083.909999996</v>
      </c>
      <c r="J289" s="7" t="str">
        <f>_xlfn.XLOOKUP(fact_daily_prices!$B289,dim_company[company_id],dim_company[sector_id])</f>
        <v>SEC02</v>
      </c>
      <c r="K289" s="21" t="str">
        <f>_xlfn.XLOOKUP(fact_daily_prices!$J289,dim_sector[sector_id],dim_sector[sector_name])</f>
        <v>Financials</v>
      </c>
      <c r="L289" t="str">
        <v>COMP003-11-02-2025</v>
      </c>
      <c r="M289" t="str">
        <f>_xlfn.CONCAT(A288," ",B288)</f>
        <v>45698 COMP003</v>
      </c>
    </row>
    <row r="290" spans="1:13" x14ac:dyDescent="0.3">
      <c r="A290" s="17">
        <v>45700</v>
      </c>
      <c r="B290" s="18" t="s">
        <v>14</v>
      </c>
      <c r="C290" s="18">
        <v>2220.73</v>
      </c>
      <c r="D290" s="18">
        <v>2248.7199999999998</v>
      </c>
      <c r="E290" s="18">
        <v>2192.7399999999998</v>
      </c>
      <c r="F290" s="18">
        <v>2217.5700000000002</v>
      </c>
      <c r="G290" s="18">
        <v>23431</v>
      </c>
      <c r="H290" s="18">
        <f t="shared" si="6"/>
        <v>-1.3636548113475462E-2</v>
      </c>
      <c r="I290" s="18">
        <f>PRODUCT(fact_daily_prices!$F290,fact_daily_prices!$G290)</f>
        <v>51959882.670000002</v>
      </c>
      <c r="J290" s="18" t="str">
        <f>_xlfn.XLOOKUP(fact_daily_prices!$B290,dim_company[company_id],dim_company[sector_id])</f>
        <v>SEC02</v>
      </c>
      <c r="K290" s="19" t="str">
        <f>_xlfn.XLOOKUP(fact_daily_prices!$J290,dim_sector[sector_id],dim_sector[sector_name])</f>
        <v>Financials</v>
      </c>
      <c r="L290" t="str">
        <v>COMP003-12-02-2025</v>
      </c>
      <c r="M290" t="str">
        <f>_xlfn.CONCAT(A289," ",B289)</f>
        <v>45699 COMP003</v>
      </c>
    </row>
    <row r="291" spans="1:13" x14ac:dyDescent="0.3">
      <c r="A291" s="20">
        <v>45701</v>
      </c>
      <c r="B291" s="7" t="s">
        <v>14</v>
      </c>
      <c r="C291" s="7">
        <v>2171.5</v>
      </c>
      <c r="D291" s="7">
        <v>2193.3200000000002</v>
      </c>
      <c r="E291" s="7">
        <v>2149.6799999999998</v>
      </c>
      <c r="F291" s="7">
        <v>2152.8000000000002</v>
      </c>
      <c r="G291" s="7">
        <v>7368</v>
      </c>
      <c r="H291" s="7">
        <f t="shared" si="6"/>
        <v>-3.0086399108138227E-2</v>
      </c>
      <c r="I291" s="7">
        <f>PRODUCT(fact_daily_prices!$F291,fact_daily_prices!$G291)</f>
        <v>15861830.400000002</v>
      </c>
      <c r="J291" s="7" t="str">
        <f>_xlfn.XLOOKUP(fact_daily_prices!$B291,dim_company[company_id],dim_company[sector_id])</f>
        <v>SEC02</v>
      </c>
      <c r="K291" s="21" t="str">
        <f>_xlfn.XLOOKUP(fact_daily_prices!$J291,dim_sector[sector_id],dim_sector[sector_name])</f>
        <v>Financials</v>
      </c>
      <c r="L291" t="str">
        <v>COMP003-13-02-2025</v>
      </c>
      <c r="M291" t="str">
        <f>_xlfn.CONCAT(A290," ",B290)</f>
        <v>45700 COMP003</v>
      </c>
    </row>
    <row r="292" spans="1:13" x14ac:dyDescent="0.3">
      <c r="A292" s="17">
        <v>45702</v>
      </c>
      <c r="B292" s="18" t="s">
        <v>14</v>
      </c>
      <c r="C292" s="18">
        <v>2135.84</v>
      </c>
      <c r="D292" s="18">
        <v>2145.23</v>
      </c>
      <c r="E292" s="18">
        <v>2126.4499999999998</v>
      </c>
      <c r="F292" s="18">
        <v>2141.4699999999998</v>
      </c>
      <c r="G292" s="18">
        <v>24116</v>
      </c>
      <c r="H292" s="18">
        <f t="shared" si="6"/>
        <v>-5.2907582174862985E-3</v>
      </c>
      <c r="I292" s="18">
        <f>PRODUCT(fact_daily_prices!$F292,fact_daily_prices!$G292)</f>
        <v>51643690.519999996</v>
      </c>
      <c r="J292" s="18" t="str">
        <f>_xlfn.XLOOKUP(fact_daily_prices!$B292,dim_company[company_id],dim_company[sector_id])</f>
        <v>SEC02</v>
      </c>
      <c r="K292" s="19" t="str">
        <f>_xlfn.XLOOKUP(fact_daily_prices!$J292,dim_sector[sector_id],dim_sector[sector_name])</f>
        <v>Financials</v>
      </c>
      <c r="L292" t="str">
        <v>COMP003-14-02-2025</v>
      </c>
      <c r="M292" t="str">
        <f>_xlfn.CONCAT(A291," ",B291)</f>
        <v>45701 COMP003</v>
      </c>
    </row>
    <row r="293" spans="1:13" x14ac:dyDescent="0.3">
      <c r="A293" s="20">
        <v>45705</v>
      </c>
      <c r="B293" s="7" t="s">
        <v>14</v>
      </c>
      <c r="C293" s="7">
        <v>2103.4899999999998</v>
      </c>
      <c r="D293" s="7">
        <v>2113.52</v>
      </c>
      <c r="E293" s="7">
        <v>2093.4499999999998</v>
      </c>
      <c r="F293" s="7">
        <v>2110.1999999999998</v>
      </c>
      <c r="G293" s="7">
        <v>44201</v>
      </c>
      <c r="H293" s="7">
        <f t="shared" si="6"/>
        <v>-1.4818500616055342E-2</v>
      </c>
      <c r="I293" s="7">
        <f>PRODUCT(fact_daily_prices!$F293,fact_daily_prices!$G293)</f>
        <v>93272950.199999988</v>
      </c>
      <c r="J293" s="7" t="str">
        <f>_xlfn.XLOOKUP(fact_daily_prices!$B293,dim_company[company_id],dim_company[sector_id])</f>
        <v>SEC02</v>
      </c>
      <c r="K293" s="21" t="str">
        <f>_xlfn.XLOOKUP(fact_daily_prices!$J293,dim_sector[sector_id],dim_sector[sector_name])</f>
        <v>Financials</v>
      </c>
      <c r="L293" t="str">
        <v>COMP003-17-02-2025</v>
      </c>
      <c r="M293" t="str">
        <f>_xlfn.CONCAT(A292," ",B292)</f>
        <v>45702 COMP003</v>
      </c>
    </row>
    <row r="294" spans="1:13" x14ac:dyDescent="0.3">
      <c r="A294" s="17">
        <v>45706</v>
      </c>
      <c r="B294" s="18" t="s">
        <v>14</v>
      </c>
      <c r="C294" s="18">
        <v>2197.87</v>
      </c>
      <c r="D294" s="18">
        <v>2223.56</v>
      </c>
      <c r="E294" s="18">
        <v>2172.17</v>
      </c>
      <c r="F294" s="18">
        <v>2180.9299999999998</v>
      </c>
      <c r="G294" s="18">
        <v>11361</v>
      </c>
      <c r="H294" s="18">
        <f t="shared" si="6"/>
        <v>3.2431118834625607E-2</v>
      </c>
      <c r="I294" s="18">
        <f>PRODUCT(fact_daily_prices!$F294,fact_daily_prices!$G294)</f>
        <v>24777545.729999997</v>
      </c>
      <c r="J294" s="18" t="str">
        <f>_xlfn.XLOOKUP(fact_daily_prices!$B294,dim_company[company_id],dim_company[sector_id])</f>
        <v>SEC02</v>
      </c>
      <c r="K294" s="19" t="str">
        <f>_xlfn.XLOOKUP(fact_daily_prices!$J294,dim_sector[sector_id],dim_sector[sector_name])</f>
        <v>Financials</v>
      </c>
      <c r="L294" t="str">
        <v>COMP003-18-02-2025</v>
      </c>
      <c r="M294" t="str">
        <f>_xlfn.CONCAT(A293," ",B293)</f>
        <v>45705 COMP003</v>
      </c>
    </row>
    <row r="295" spans="1:13" x14ac:dyDescent="0.3">
      <c r="A295" s="20">
        <v>45707</v>
      </c>
      <c r="B295" s="7" t="s">
        <v>14</v>
      </c>
      <c r="C295" s="7">
        <v>2176.64</v>
      </c>
      <c r="D295" s="7">
        <v>2198.29</v>
      </c>
      <c r="E295" s="7">
        <v>2154.98</v>
      </c>
      <c r="F295" s="7">
        <v>2163.65</v>
      </c>
      <c r="G295" s="7">
        <v>10078</v>
      </c>
      <c r="H295" s="7">
        <f t="shared" si="6"/>
        <v>-7.9865042867375714E-3</v>
      </c>
      <c r="I295" s="7">
        <f>PRODUCT(fact_daily_prices!$F295,fact_daily_prices!$G295)</f>
        <v>21805264.699999999</v>
      </c>
      <c r="J295" s="7" t="str">
        <f>_xlfn.XLOOKUP(fact_daily_prices!$B295,dim_company[company_id],dim_company[sector_id])</f>
        <v>SEC02</v>
      </c>
      <c r="K295" s="21" t="str">
        <f>_xlfn.XLOOKUP(fact_daily_prices!$J295,dim_sector[sector_id],dim_sector[sector_name])</f>
        <v>Financials</v>
      </c>
      <c r="L295" t="str">
        <v>COMP003-19-02-2025</v>
      </c>
      <c r="M295" t="str">
        <f>_xlfn.CONCAT(A294," ",B294)</f>
        <v>45706 COMP003</v>
      </c>
    </row>
    <row r="296" spans="1:13" x14ac:dyDescent="0.3">
      <c r="A296" s="17">
        <v>45708</v>
      </c>
      <c r="B296" s="18" t="s">
        <v>14</v>
      </c>
      <c r="C296" s="18">
        <v>2139.73</v>
      </c>
      <c r="D296" s="18">
        <v>2174.5300000000002</v>
      </c>
      <c r="E296" s="18">
        <v>2104.9299999999998</v>
      </c>
      <c r="F296" s="18">
        <v>2145.7600000000002</v>
      </c>
      <c r="G296" s="18">
        <v>39850</v>
      </c>
      <c r="H296" s="18">
        <f t="shared" si="6"/>
        <v>-8.3373723063156508E-3</v>
      </c>
      <c r="I296" s="18">
        <f>PRODUCT(fact_daily_prices!$F296,fact_daily_prices!$G296)</f>
        <v>85508536.000000015</v>
      </c>
      <c r="J296" s="18" t="str">
        <f>_xlfn.XLOOKUP(fact_daily_prices!$B296,dim_company[company_id],dim_company[sector_id])</f>
        <v>SEC02</v>
      </c>
      <c r="K296" s="19" t="str">
        <f>_xlfn.XLOOKUP(fact_daily_prices!$J296,dim_sector[sector_id],dim_sector[sector_name])</f>
        <v>Financials</v>
      </c>
      <c r="L296" t="str">
        <v>COMP003-20-02-2025</v>
      </c>
      <c r="M296" t="str">
        <f>_xlfn.CONCAT(A295," ",B295)</f>
        <v>45707 COMP003</v>
      </c>
    </row>
    <row r="297" spans="1:13" x14ac:dyDescent="0.3">
      <c r="A297" s="20">
        <v>45709</v>
      </c>
      <c r="B297" s="7" t="s">
        <v>14</v>
      </c>
      <c r="C297" s="7">
        <v>2111.88</v>
      </c>
      <c r="D297" s="7">
        <v>2143.27</v>
      </c>
      <c r="E297" s="7">
        <v>2080.48</v>
      </c>
      <c r="F297" s="7">
        <v>2105.5300000000002</v>
      </c>
      <c r="G297" s="7">
        <v>27015</v>
      </c>
      <c r="H297" s="7">
        <f t="shared" si="6"/>
        <v>-1.9106828209524449E-2</v>
      </c>
      <c r="I297" s="7">
        <f>PRODUCT(fact_daily_prices!$F297,fact_daily_prices!$G297)</f>
        <v>56880892.950000003</v>
      </c>
      <c r="J297" s="7" t="str">
        <f>_xlfn.XLOOKUP(fact_daily_prices!$B297,dim_company[company_id],dim_company[sector_id])</f>
        <v>SEC02</v>
      </c>
      <c r="K297" s="21" t="str">
        <f>_xlfn.XLOOKUP(fact_daily_prices!$J297,dim_sector[sector_id],dim_sector[sector_name])</f>
        <v>Financials</v>
      </c>
      <c r="L297" t="str">
        <v>COMP003-21-02-2025</v>
      </c>
      <c r="M297" t="str">
        <f>_xlfn.CONCAT(A296," ",B296)</f>
        <v>45708 COMP003</v>
      </c>
    </row>
    <row r="298" spans="1:13" x14ac:dyDescent="0.3">
      <c r="A298" s="17">
        <v>45712</v>
      </c>
      <c r="B298" s="18" t="s">
        <v>14</v>
      </c>
      <c r="C298" s="18">
        <v>2085.62</v>
      </c>
      <c r="D298" s="18">
        <v>2111.52</v>
      </c>
      <c r="E298" s="18">
        <v>2059.7199999999998</v>
      </c>
      <c r="F298" s="18">
        <v>2098.98</v>
      </c>
      <c r="G298" s="18">
        <v>37679</v>
      </c>
      <c r="H298" s="18">
        <f t="shared" si="6"/>
        <v>-3.120563321232304E-3</v>
      </c>
      <c r="I298" s="18">
        <f>PRODUCT(fact_daily_prices!$F298,fact_daily_prices!$G298)</f>
        <v>79087467.420000002</v>
      </c>
      <c r="J298" s="18" t="str">
        <f>_xlfn.XLOOKUP(fact_daily_prices!$B298,dim_company[company_id],dim_company[sector_id])</f>
        <v>SEC02</v>
      </c>
      <c r="K298" s="19" t="str">
        <f>_xlfn.XLOOKUP(fact_daily_prices!$J298,dim_sector[sector_id],dim_sector[sector_name])</f>
        <v>Financials</v>
      </c>
      <c r="L298" t="str">
        <v>COMP003-24-02-2025</v>
      </c>
      <c r="M298" t="str">
        <f>_xlfn.CONCAT(A297," ",B297)</f>
        <v>45709 COMP003</v>
      </c>
    </row>
    <row r="299" spans="1:13" x14ac:dyDescent="0.3">
      <c r="A299" s="20">
        <v>45713</v>
      </c>
      <c r="B299" s="7" t="s">
        <v>14</v>
      </c>
      <c r="C299" s="7">
        <v>2080.15</v>
      </c>
      <c r="D299" s="7">
        <v>2111.71</v>
      </c>
      <c r="E299" s="7">
        <v>2048.59</v>
      </c>
      <c r="F299" s="7">
        <v>2081.9699999999998</v>
      </c>
      <c r="G299" s="7">
        <v>14629</v>
      </c>
      <c r="H299" s="7">
        <f t="shared" si="6"/>
        <v>-8.1701465438984329E-3</v>
      </c>
      <c r="I299" s="7">
        <f>PRODUCT(fact_daily_prices!$F299,fact_daily_prices!$G299)</f>
        <v>30457139.129999995</v>
      </c>
      <c r="J299" s="7" t="str">
        <f>_xlfn.XLOOKUP(fact_daily_prices!$B299,dim_company[company_id],dim_company[sector_id])</f>
        <v>SEC02</v>
      </c>
      <c r="K299" s="21" t="str">
        <f>_xlfn.XLOOKUP(fact_daily_prices!$J299,dim_sector[sector_id],dim_sector[sector_name])</f>
        <v>Financials</v>
      </c>
      <c r="L299" t="str">
        <v>COMP003-25-02-2025</v>
      </c>
      <c r="M299" t="str">
        <f>_xlfn.CONCAT(A298," ",B298)</f>
        <v>45712 COMP003</v>
      </c>
    </row>
    <row r="300" spans="1:13" x14ac:dyDescent="0.3">
      <c r="A300" s="17">
        <v>45714</v>
      </c>
      <c r="B300" s="18" t="s">
        <v>14</v>
      </c>
      <c r="C300" s="18">
        <v>2131.2800000000002</v>
      </c>
      <c r="D300" s="18">
        <v>2154.63</v>
      </c>
      <c r="E300" s="18">
        <v>2107.94</v>
      </c>
      <c r="F300" s="18">
        <v>2128.56</v>
      </c>
      <c r="G300" s="18">
        <v>34226</v>
      </c>
      <c r="H300" s="18">
        <f t="shared" si="6"/>
        <v>2.1888036982748969E-2</v>
      </c>
      <c r="I300" s="18">
        <f>PRODUCT(fact_daily_prices!$F300,fact_daily_prices!$G300)</f>
        <v>72852094.560000002</v>
      </c>
      <c r="J300" s="18" t="str">
        <f>_xlfn.XLOOKUP(fact_daily_prices!$B300,dim_company[company_id],dim_company[sector_id])</f>
        <v>SEC02</v>
      </c>
      <c r="K300" s="19" t="str">
        <f>_xlfn.XLOOKUP(fact_daily_prices!$J300,dim_sector[sector_id],dim_sector[sector_name])</f>
        <v>Financials</v>
      </c>
      <c r="L300" t="str">
        <v>COMP003-26-02-2025</v>
      </c>
      <c r="M300" t="str">
        <f>_xlfn.CONCAT(A299," ",B299)</f>
        <v>45713 COMP003</v>
      </c>
    </row>
    <row r="301" spans="1:13" x14ac:dyDescent="0.3">
      <c r="A301" s="20">
        <v>45715</v>
      </c>
      <c r="B301" s="7" t="s">
        <v>14</v>
      </c>
      <c r="C301" s="7">
        <v>2141</v>
      </c>
      <c r="D301" s="7">
        <v>2171.7800000000002</v>
      </c>
      <c r="E301" s="7">
        <v>2110.23</v>
      </c>
      <c r="F301" s="7">
        <v>2133.59</v>
      </c>
      <c r="G301" s="7">
        <v>28961</v>
      </c>
      <c r="H301" s="7">
        <f t="shared" si="6"/>
        <v>2.3575288598091477E-3</v>
      </c>
      <c r="I301" s="7">
        <f>PRODUCT(fact_daily_prices!$F301,fact_daily_prices!$G301)</f>
        <v>61790899.990000002</v>
      </c>
      <c r="J301" s="7" t="str">
        <f>_xlfn.XLOOKUP(fact_daily_prices!$B301,dim_company[company_id],dim_company[sector_id])</f>
        <v>SEC02</v>
      </c>
      <c r="K301" s="21" t="str">
        <f>_xlfn.XLOOKUP(fact_daily_prices!$J301,dim_sector[sector_id],dim_sector[sector_name])</f>
        <v>Financials</v>
      </c>
      <c r="L301" t="str">
        <v>COMP003-27-02-2025</v>
      </c>
      <c r="M301" t="str">
        <f>_xlfn.CONCAT(A300," ",B300)</f>
        <v>45714 COMP003</v>
      </c>
    </row>
    <row r="302" spans="1:13" x14ac:dyDescent="0.3">
      <c r="A302" s="17">
        <v>45716</v>
      </c>
      <c r="B302" s="18" t="s">
        <v>14</v>
      </c>
      <c r="C302" s="18">
        <v>2140.33</v>
      </c>
      <c r="D302" s="18">
        <v>2167.31</v>
      </c>
      <c r="E302" s="18">
        <v>2113.34</v>
      </c>
      <c r="F302" s="18">
        <v>2133.86</v>
      </c>
      <c r="G302" s="18">
        <v>22288</v>
      </c>
      <c r="H302" s="18">
        <f t="shared" si="6"/>
        <v>1.2653126259453844E-4</v>
      </c>
      <c r="I302" s="18">
        <f>PRODUCT(fact_daily_prices!$F302,fact_daily_prices!$G302)</f>
        <v>47559471.68</v>
      </c>
      <c r="J302" s="18" t="str">
        <f>_xlfn.XLOOKUP(fact_daily_prices!$B302,dim_company[company_id],dim_company[sector_id])</f>
        <v>SEC02</v>
      </c>
      <c r="K302" s="19" t="str">
        <f>_xlfn.XLOOKUP(fact_daily_prices!$J302,dim_sector[sector_id],dim_sector[sector_name])</f>
        <v>Financials</v>
      </c>
      <c r="L302" t="str">
        <v>COMP003-28-02-2025</v>
      </c>
      <c r="M302" t="str">
        <f>_xlfn.CONCAT(A301," ",B301)</f>
        <v>45715 COMP003</v>
      </c>
    </row>
    <row r="303" spans="1:13" x14ac:dyDescent="0.3">
      <c r="A303" s="20">
        <v>45719</v>
      </c>
      <c r="B303" s="7" t="s">
        <v>14</v>
      </c>
      <c r="C303" s="7">
        <v>2124.9</v>
      </c>
      <c r="D303" s="7">
        <v>2137.7399999999998</v>
      </c>
      <c r="E303" s="7">
        <v>2112.06</v>
      </c>
      <c r="F303" s="7">
        <v>2130.75</v>
      </c>
      <c r="G303" s="7">
        <v>16313</v>
      </c>
      <c r="H303" s="7">
        <f t="shared" si="6"/>
        <v>-1.459579960108003E-3</v>
      </c>
      <c r="I303" s="7">
        <f>PRODUCT(fact_daily_prices!$F303,fact_daily_prices!$G303)</f>
        <v>34758924.75</v>
      </c>
      <c r="J303" s="7" t="str">
        <f>_xlfn.XLOOKUP(fact_daily_prices!$B303,dim_company[company_id],dim_company[sector_id])</f>
        <v>SEC02</v>
      </c>
      <c r="K303" s="21" t="str">
        <f>_xlfn.XLOOKUP(fact_daily_prices!$J303,dim_sector[sector_id],dim_sector[sector_name])</f>
        <v>Financials</v>
      </c>
      <c r="L303" t="str">
        <v>COMP003-03-03-2025</v>
      </c>
      <c r="M303" t="str">
        <f>_xlfn.CONCAT(A302," ",B302)</f>
        <v>45716 COMP003</v>
      </c>
    </row>
    <row r="304" spans="1:13" x14ac:dyDescent="0.3">
      <c r="A304" s="17">
        <v>45720</v>
      </c>
      <c r="B304" s="18" t="s">
        <v>14</v>
      </c>
      <c r="C304" s="18">
        <v>2148.4499999999998</v>
      </c>
      <c r="D304" s="18">
        <v>2155.0700000000002</v>
      </c>
      <c r="E304" s="18">
        <v>2141.84</v>
      </c>
      <c r="F304" s="18">
        <v>2152.4699999999998</v>
      </c>
      <c r="G304" s="18">
        <v>2560</v>
      </c>
      <c r="H304" s="18">
        <f t="shared" si="6"/>
        <v>1.0090732971888018E-2</v>
      </c>
      <c r="I304" s="18">
        <f>PRODUCT(fact_daily_prices!$F304,fact_daily_prices!$G304)</f>
        <v>5510323.1999999993</v>
      </c>
      <c r="J304" s="18" t="str">
        <f>_xlfn.XLOOKUP(fact_daily_prices!$B304,dim_company[company_id],dim_company[sector_id])</f>
        <v>SEC02</v>
      </c>
      <c r="K304" s="19" t="str">
        <f>_xlfn.XLOOKUP(fact_daily_prices!$J304,dim_sector[sector_id],dim_sector[sector_name])</f>
        <v>Financials</v>
      </c>
      <c r="L304" t="str">
        <v>COMP003-04-03-2025</v>
      </c>
      <c r="M304" t="str">
        <f>_xlfn.CONCAT(A303," ",B303)</f>
        <v>45719 COMP003</v>
      </c>
    </row>
    <row r="305" spans="1:13" x14ac:dyDescent="0.3">
      <c r="A305" s="20">
        <v>45721</v>
      </c>
      <c r="B305" s="7" t="s">
        <v>14</v>
      </c>
      <c r="C305" s="7">
        <v>2154.7199999999998</v>
      </c>
      <c r="D305" s="7">
        <v>2178.08</v>
      </c>
      <c r="E305" s="7">
        <v>2131.37</v>
      </c>
      <c r="F305" s="7">
        <v>2140.75</v>
      </c>
      <c r="G305" s="7">
        <v>21022</v>
      </c>
      <c r="H305" s="7">
        <f t="shared" si="6"/>
        <v>-5.4747168048580172E-3</v>
      </c>
      <c r="I305" s="7">
        <f>PRODUCT(fact_daily_prices!$F305,fact_daily_prices!$G305)</f>
        <v>45002846.5</v>
      </c>
      <c r="J305" s="7" t="str">
        <f>_xlfn.XLOOKUP(fact_daily_prices!$B305,dim_company[company_id],dim_company[sector_id])</f>
        <v>SEC02</v>
      </c>
      <c r="K305" s="21" t="str">
        <f>_xlfn.XLOOKUP(fact_daily_prices!$J305,dim_sector[sector_id],dim_sector[sector_name])</f>
        <v>Financials</v>
      </c>
      <c r="L305" t="str">
        <v>COMP003-05-03-2025</v>
      </c>
      <c r="M305" t="str">
        <f>_xlfn.CONCAT(A304," ",B304)</f>
        <v>45720 COMP003</v>
      </c>
    </row>
    <row r="306" spans="1:13" x14ac:dyDescent="0.3">
      <c r="A306" s="17">
        <v>45722</v>
      </c>
      <c r="B306" s="18" t="s">
        <v>14</v>
      </c>
      <c r="C306" s="18">
        <v>2153.42</v>
      </c>
      <c r="D306" s="18">
        <v>2179.64</v>
      </c>
      <c r="E306" s="18">
        <v>2127.19</v>
      </c>
      <c r="F306" s="18">
        <v>2159.34</v>
      </c>
      <c r="G306" s="18">
        <v>29380</v>
      </c>
      <c r="H306" s="18">
        <f t="shared" si="6"/>
        <v>8.6091120434948383E-3</v>
      </c>
      <c r="I306" s="18">
        <f>PRODUCT(fact_daily_prices!$F306,fact_daily_prices!$G306)</f>
        <v>63441409.200000003</v>
      </c>
      <c r="J306" s="18" t="str">
        <f>_xlfn.XLOOKUP(fact_daily_prices!$B306,dim_company[company_id],dim_company[sector_id])</f>
        <v>SEC02</v>
      </c>
      <c r="K306" s="19" t="str">
        <f>_xlfn.XLOOKUP(fact_daily_prices!$J306,dim_sector[sector_id],dim_sector[sector_name])</f>
        <v>Financials</v>
      </c>
      <c r="L306" t="str">
        <v>COMP003-06-03-2025</v>
      </c>
      <c r="M306" t="str">
        <f>_xlfn.CONCAT(A305," ",B305)</f>
        <v>45721 COMP003</v>
      </c>
    </row>
    <row r="307" spans="1:13" x14ac:dyDescent="0.3">
      <c r="A307" s="20">
        <v>45723</v>
      </c>
      <c r="B307" s="7" t="s">
        <v>14</v>
      </c>
      <c r="C307" s="7">
        <v>2207.11</v>
      </c>
      <c r="D307" s="7">
        <v>2239.0300000000002</v>
      </c>
      <c r="E307" s="7">
        <v>2175.1799999999998</v>
      </c>
      <c r="F307" s="7">
        <v>2204.2199999999998</v>
      </c>
      <c r="G307" s="7">
        <v>25363</v>
      </c>
      <c r="H307" s="7">
        <f t="shared" si="6"/>
        <v>2.0360944007403826E-2</v>
      </c>
      <c r="I307" s="7">
        <f>PRODUCT(fact_daily_prices!$F307,fact_daily_prices!$G307)</f>
        <v>55905631.859999992</v>
      </c>
      <c r="J307" s="7" t="str">
        <f>_xlfn.XLOOKUP(fact_daily_prices!$B307,dim_company[company_id],dim_company[sector_id])</f>
        <v>SEC02</v>
      </c>
      <c r="K307" s="21" t="str">
        <f>_xlfn.XLOOKUP(fact_daily_prices!$J307,dim_sector[sector_id],dim_sector[sector_name])</f>
        <v>Financials</v>
      </c>
      <c r="L307" t="str">
        <v>COMP003-07-03-2025</v>
      </c>
      <c r="M307" t="str">
        <f>_xlfn.CONCAT(A306," ",B306)</f>
        <v>45722 COMP003</v>
      </c>
    </row>
    <row r="308" spans="1:13" x14ac:dyDescent="0.3">
      <c r="A308" s="17">
        <v>45726</v>
      </c>
      <c r="B308" s="18" t="s">
        <v>14</v>
      </c>
      <c r="C308" s="18">
        <v>2213.9299999999998</v>
      </c>
      <c r="D308" s="18">
        <v>2242.19</v>
      </c>
      <c r="E308" s="18">
        <v>2185.66</v>
      </c>
      <c r="F308" s="18">
        <v>2217.56</v>
      </c>
      <c r="G308" s="18">
        <v>1661</v>
      </c>
      <c r="H308" s="18">
        <f t="shared" si="6"/>
        <v>6.01562077238052E-3</v>
      </c>
      <c r="I308" s="18">
        <f>PRODUCT(fact_daily_prices!$F308,fact_daily_prices!$G308)</f>
        <v>3683367.1599999997</v>
      </c>
      <c r="J308" s="18" t="str">
        <f>_xlfn.XLOOKUP(fact_daily_prices!$B308,dim_company[company_id],dim_company[sector_id])</f>
        <v>SEC02</v>
      </c>
      <c r="K308" s="19" t="str">
        <f>_xlfn.XLOOKUP(fact_daily_prices!$J308,dim_sector[sector_id],dim_sector[sector_name])</f>
        <v>Financials</v>
      </c>
      <c r="L308" t="str">
        <v>COMP003-10-03-2025</v>
      </c>
      <c r="M308" t="str">
        <f>_xlfn.CONCAT(A307," ",B307)</f>
        <v>45723 COMP003</v>
      </c>
    </row>
    <row r="309" spans="1:13" x14ac:dyDescent="0.3">
      <c r="A309" s="20">
        <v>45727</v>
      </c>
      <c r="B309" s="7" t="s">
        <v>14</v>
      </c>
      <c r="C309" s="7">
        <v>2206.4699999999998</v>
      </c>
      <c r="D309" s="7">
        <v>2225.8200000000002</v>
      </c>
      <c r="E309" s="7">
        <v>2187.13</v>
      </c>
      <c r="F309" s="7">
        <v>2211.12</v>
      </c>
      <c r="G309" s="7">
        <v>26658</v>
      </c>
      <c r="H309" s="7">
        <f t="shared" si="6"/>
        <v>-2.9125511053222147E-3</v>
      </c>
      <c r="I309" s="7">
        <f>PRODUCT(fact_daily_prices!$F309,fact_daily_prices!$G309)</f>
        <v>58944036.959999993</v>
      </c>
      <c r="J309" s="7" t="str">
        <f>_xlfn.XLOOKUP(fact_daily_prices!$B309,dim_company[company_id],dim_company[sector_id])</f>
        <v>SEC02</v>
      </c>
      <c r="K309" s="21" t="str">
        <f>_xlfn.XLOOKUP(fact_daily_prices!$J309,dim_sector[sector_id],dim_sector[sector_name])</f>
        <v>Financials</v>
      </c>
      <c r="L309" t="str">
        <v>COMP003-11-03-2025</v>
      </c>
      <c r="M309" t="str">
        <f>_xlfn.CONCAT(A308," ",B308)</f>
        <v>45726 COMP003</v>
      </c>
    </row>
    <row r="310" spans="1:13" x14ac:dyDescent="0.3">
      <c r="A310" s="17">
        <v>45728</v>
      </c>
      <c r="B310" s="18" t="s">
        <v>14</v>
      </c>
      <c r="C310" s="18">
        <v>2195.09</v>
      </c>
      <c r="D310" s="18">
        <v>2213.66</v>
      </c>
      <c r="E310" s="18">
        <v>2176.52</v>
      </c>
      <c r="F310" s="18">
        <v>2185.2399999999998</v>
      </c>
      <c r="G310" s="18">
        <v>29706</v>
      </c>
      <c r="H310" s="18">
        <f t="shared" si="6"/>
        <v>-1.184309274953786E-2</v>
      </c>
      <c r="I310" s="18">
        <f>PRODUCT(fact_daily_prices!$F310,fact_daily_prices!$G310)</f>
        <v>64914739.43999999</v>
      </c>
      <c r="J310" s="18" t="str">
        <f>_xlfn.XLOOKUP(fact_daily_prices!$B310,dim_company[company_id],dim_company[sector_id])</f>
        <v>SEC02</v>
      </c>
      <c r="K310" s="19" t="str">
        <f>_xlfn.XLOOKUP(fact_daily_prices!$J310,dim_sector[sector_id],dim_sector[sector_name])</f>
        <v>Financials</v>
      </c>
      <c r="L310" t="str">
        <v>COMP003-12-03-2025</v>
      </c>
      <c r="M310" t="str">
        <f>_xlfn.CONCAT(A309," ",B309)</f>
        <v>45727 COMP003</v>
      </c>
    </row>
    <row r="311" spans="1:13" x14ac:dyDescent="0.3">
      <c r="A311" s="20">
        <v>45729</v>
      </c>
      <c r="B311" s="7" t="s">
        <v>14</v>
      </c>
      <c r="C311" s="7">
        <v>2173.89</v>
      </c>
      <c r="D311" s="7">
        <v>2187.81</v>
      </c>
      <c r="E311" s="7">
        <v>2159.9699999999998</v>
      </c>
      <c r="F311" s="7">
        <v>2178.1999999999998</v>
      </c>
      <c r="G311" s="7">
        <v>47286</v>
      </c>
      <c r="H311" s="7">
        <f t="shared" si="6"/>
        <v>-3.2320264438527061E-3</v>
      </c>
      <c r="I311" s="7">
        <f>PRODUCT(fact_daily_prices!$F311,fact_daily_prices!$G311)</f>
        <v>102998365.19999999</v>
      </c>
      <c r="J311" s="7" t="str">
        <f>_xlfn.XLOOKUP(fact_daily_prices!$B311,dim_company[company_id],dim_company[sector_id])</f>
        <v>SEC02</v>
      </c>
      <c r="K311" s="21" t="str">
        <f>_xlfn.XLOOKUP(fact_daily_prices!$J311,dim_sector[sector_id],dim_sector[sector_name])</f>
        <v>Financials</v>
      </c>
      <c r="L311" t="str">
        <v>COMP003-13-03-2025</v>
      </c>
      <c r="M311" t="str">
        <f>_xlfn.CONCAT(A310," ",B310)</f>
        <v>45728 COMP003</v>
      </c>
    </row>
    <row r="312" spans="1:13" x14ac:dyDescent="0.3">
      <c r="A312" s="17">
        <v>45730</v>
      </c>
      <c r="B312" s="18" t="s">
        <v>14</v>
      </c>
      <c r="C312" s="18">
        <v>2189.73</v>
      </c>
      <c r="D312" s="18">
        <v>2205.5300000000002</v>
      </c>
      <c r="E312" s="18">
        <v>2173.92</v>
      </c>
      <c r="F312" s="18">
        <v>2194.23</v>
      </c>
      <c r="G312" s="18">
        <v>8005</v>
      </c>
      <c r="H312" s="18">
        <f t="shared" si="6"/>
        <v>7.3055240334879206E-3</v>
      </c>
      <c r="I312" s="18">
        <f>PRODUCT(fact_daily_prices!$F312,fact_daily_prices!$G312)</f>
        <v>17564811.149999999</v>
      </c>
      <c r="J312" s="18" t="str">
        <f>_xlfn.XLOOKUP(fact_daily_prices!$B312,dim_company[company_id],dim_company[sector_id])</f>
        <v>SEC02</v>
      </c>
      <c r="K312" s="19" t="str">
        <f>_xlfn.XLOOKUP(fact_daily_prices!$J312,dim_sector[sector_id],dim_sector[sector_name])</f>
        <v>Financials</v>
      </c>
      <c r="L312" t="str">
        <v>COMP003-14-03-2025</v>
      </c>
      <c r="M312" t="str">
        <f>_xlfn.CONCAT(A311," ",B311)</f>
        <v>45729 COMP003</v>
      </c>
    </row>
    <row r="313" spans="1:13" x14ac:dyDescent="0.3">
      <c r="A313" s="20">
        <v>45733</v>
      </c>
      <c r="B313" s="7" t="s">
        <v>14</v>
      </c>
      <c r="C313" s="7">
        <v>2164.5100000000002</v>
      </c>
      <c r="D313" s="7">
        <v>2194.15</v>
      </c>
      <c r="E313" s="7">
        <v>2134.87</v>
      </c>
      <c r="F313" s="7">
        <v>2152.7800000000002</v>
      </c>
      <c r="G313" s="7">
        <v>35839</v>
      </c>
      <c r="H313" s="7">
        <f t="shared" si="6"/>
        <v>-1.9254173673110962E-2</v>
      </c>
      <c r="I313" s="7">
        <f>PRODUCT(fact_daily_prices!$F313,fact_daily_prices!$G313)</f>
        <v>77153482.420000002</v>
      </c>
      <c r="J313" s="7" t="str">
        <f>_xlfn.XLOOKUP(fact_daily_prices!$B313,dim_company[company_id],dim_company[sector_id])</f>
        <v>SEC02</v>
      </c>
      <c r="K313" s="21" t="str">
        <f>_xlfn.XLOOKUP(fact_daily_prices!$J313,dim_sector[sector_id],dim_sector[sector_name])</f>
        <v>Financials</v>
      </c>
      <c r="L313" t="str">
        <v>COMP003-17-03-2025</v>
      </c>
      <c r="M313" t="str">
        <f>_xlfn.CONCAT(A312," ",B312)</f>
        <v>45730 COMP003</v>
      </c>
    </row>
    <row r="314" spans="1:13" x14ac:dyDescent="0.3">
      <c r="A314" s="17">
        <v>45734</v>
      </c>
      <c r="B314" s="18" t="s">
        <v>14</v>
      </c>
      <c r="C314" s="18">
        <v>2177.6999999999998</v>
      </c>
      <c r="D314" s="18">
        <v>2194.4899999999998</v>
      </c>
      <c r="E314" s="18">
        <v>2160.91</v>
      </c>
      <c r="F314" s="18">
        <v>2175.9699999999998</v>
      </c>
      <c r="G314" s="18">
        <v>26963</v>
      </c>
      <c r="H314" s="18">
        <f t="shared" si="6"/>
        <v>1.0657316047555619E-2</v>
      </c>
      <c r="I314" s="18">
        <f>PRODUCT(fact_daily_prices!$F314,fact_daily_prices!$G314)</f>
        <v>58670679.109999992</v>
      </c>
      <c r="J314" s="18" t="str">
        <f>_xlfn.XLOOKUP(fact_daily_prices!$B314,dim_company[company_id],dim_company[sector_id])</f>
        <v>SEC02</v>
      </c>
      <c r="K314" s="19" t="str">
        <f>_xlfn.XLOOKUP(fact_daily_prices!$J314,dim_sector[sector_id],dim_sector[sector_name])</f>
        <v>Financials</v>
      </c>
      <c r="L314" t="str">
        <v>COMP003-18-03-2025</v>
      </c>
      <c r="M314" t="str">
        <f>_xlfn.CONCAT(A313," ",B313)</f>
        <v>45733 COMP003</v>
      </c>
    </row>
    <row r="315" spans="1:13" x14ac:dyDescent="0.3">
      <c r="A315" s="20">
        <v>45735</v>
      </c>
      <c r="B315" s="7" t="s">
        <v>14</v>
      </c>
      <c r="C315" s="7">
        <v>2187.92</v>
      </c>
      <c r="D315" s="7">
        <v>2215.69</v>
      </c>
      <c r="E315" s="7">
        <v>2160.15</v>
      </c>
      <c r="F315" s="7">
        <v>2182.19</v>
      </c>
      <c r="G315" s="7">
        <v>49689</v>
      </c>
      <c r="H315" s="7">
        <f t="shared" si="6"/>
        <v>2.8503475865989006E-3</v>
      </c>
      <c r="I315" s="7">
        <f>PRODUCT(fact_daily_prices!$F315,fact_daily_prices!$G315)</f>
        <v>108430838.91</v>
      </c>
      <c r="J315" s="7" t="str">
        <f>_xlfn.XLOOKUP(fact_daily_prices!$B315,dim_company[company_id],dim_company[sector_id])</f>
        <v>SEC02</v>
      </c>
      <c r="K315" s="21" t="str">
        <f>_xlfn.XLOOKUP(fact_daily_prices!$J315,dim_sector[sector_id],dim_sector[sector_name])</f>
        <v>Financials</v>
      </c>
      <c r="L315" t="str">
        <v>COMP003-19-03-2025</v>
      </c>
      <c r="M315" t="str">
        <f>_xlfn.CONCAT(A314," ",B314)</f>
        <v>45734 COMP003</v>
      </c>
    </row>
    <row r="316" spans="1:13" x14ac:dyDescent="0.3">
      <c r="A316" s="17">
        <v>45736</v>
      </c>
      <c r="B316" s="18" t="s">
        <v>14</v>
      </c>
      <c r="C316" s="18">
        <v>2184.89</v>
      </c>
      <c r="D316" s="18">
        <v>2216.39</v>
      </c>
      <c r="E316" s="18">
        <v>2153.39</v>
      </c>
      <c r="F316" s="18">
        <v>2178.61</v>
      </c>
      <c r="G316" s="18">
        <v>7563</v>
      </c>
      <c r="H316" s="18">
        <f t="shared" si="6"/>
        <v>-1.643249594925171E-3</v>
      </c>
      <c r="I316" s="18">
        <f>PRODUCT(fact_daily_prices!$F316,fact_daily_prices!$G316)</f>
        <v>16476827.430000002</v>
      </c>
      <c r="J316" s="18" t="str">
        <f>_xlfn.XLOOKUP(fact_daily_prices!$B316,dim_company[company_id],dim_company[sector_id])</f>
        <v>SEC02</v>
      </c>
      <c r="K316" s="19" t="str">
        <f>_xlfn.XLOOKUP(fact_daily_prices!$J316,dim_sector[sector_id],dim_sector[sector_name])</f>
        <v>Financials</v>
      </c>
      <c r="L316" t="str">
        <v>COMP003-20-03-2025</v>
      </c>
      <c r="M316" t="str">
        <f>_xlfn.CONCAT(A315," ",B315)</f>
        <v>45735 COMP003</v>
      </c>
    </row>
    <row r="317" spans="1:13" x14ac:dyDescent="0.3">
      <c r="A317" s="20">
        <v>45737</v>
      </c>
      <c r="B317" s="7" t="s">
        <v>14</v>
      </c>
      <c r="C317" s="7">
        <v>2153.19</v>
      </c>
      <c r="D317" s="7">
        <v>2162.37</v>
      </c>
      <c r="E317" s="7">
        <v>2144</v>
      </c>
      <c r="F317" s="7">
        <v>2161.1</v>
      </c>
      <c r="G317" s="7">
        <v>13003</v>
      </c>
      <c r="H317" s="7">
        <f t="shared" si="6"/>
        <v>-8.1023552820323995E-3</v>
      </c>
      <c r="I317" s="7">
        <f>PRODUCT(fact_daily_prices!$F317,fact_daily_prices!$G317)</f>
        <v>28100783.299999997</v>
      </c>
      <c r="J317" s="7" t="str">
        <f>_xlfn.XLOOKUP(fact_daily_prices!$B317,dim_company[company_id],dim_company[sector_id])</f>
        <v>SEC02</v>
      </c>
      <c r="K317" s="21" t="str">
        <f>_xlfn.XLOOKUP(fact_daily_prices!$J317,dim_sector[sector_id],dim_sector[sector_name])</f>
        <v>Financials</v>
      </c>
      <c r="L317" t="str">
        <v>COMP003-21-03-2025</v>
      </c>
      <c r="M317" t="str">
        <f>_xlfn.CONCAT(A316," ",B316)</f>
        <v>45736 COMP003</v>
      </c>
    </row>
    <row r="318" spans="1:13" x14ac:dyDescent="0.3">
      <c r="A318" s="17">
        <v>45740</v>
      </c>
      <c r="B318" s="18" t="s">
        <v>14</v>
      </c>
      <c r="C318" s="18">
        <v>2148.09</v>
      </c>
      <c r="D318" s="18">
        <v>2186.21</v>
      </c>
      <c r="E318" s="18">
        <v>2109.9699999999998</v>
      </c>
      <c r="F318" s="18">
        <v>2148.6799999999998</v>
      </c>
      <c r="G318" s="18">
        <v>46350</v>
      </c>
      <c r="H318" s="18">
        <f t="shared" si="6"/>
        <v>-5.7802930171082121E-3</v>
      </c>
      <c r="I318" s="18">
        <f>PRODUCT(fact_daily_prices!$F318,fact_daily_prices!$G318)</f>
        <v>99591317.999999985</v>
      </c>
      <c r="J318" s="18" t="str">
        <f>_xlfn.XLOOKUP(fact_daily_prices!$B318,dim_company[company_id],dim_company[sector_id])</f>
        <v>SEC02</v>
      </c>
      <c r="K318" s="19" t="str">
        <f>_xlfn.XLOOKUP(fact_daily_prices!$J318,dim_sector[sector_id],dim_sector[sector_name])</f>
        <v>Financials</v>
      </c>
      <c r="L318" t="str">
        <v>COMP003-24-03-2025</v>
      </c>
      <c r="M318" t="str">
        <f>_xlfn.CONCAT(A317," ",B317)</f>
        <v>45737 COMP003</v>
      </c>
    </row>
    <row r="319" spans="1:13" x14ac:dyDescent="0.3">
      <c r="A319" s="20">
        <v>45741</v>
      </c>
      <c r="B319" s="7" t="s">
        <v>14</v>
      </c>
      <c r="C319" s="7">
        <v>2158.59</v>
      </c>
      <c r="D319" s="7">
        <v>2177.41</v>
      </c>
      <c r="E319" s="7">
        <v>2139.77</v>
      </c>
      <c r="F319" s="7">
        <v>2165.42</v>
      </c>
      <c r="G319" s="7">
        <v>43229</v>
      </c>
      <c r="H319" s="7">
        <f t="shared" si="6"/>
        <v>7.7306019155638332E-3</v>
      </c>
      <c r="I319" s="7">
        <f>PRODUCT(fact_daily_prices!$F319,fact_daily_prices!$G319)</f>
        <v>93608941.180000007</v>
      </c>
      <c r="J319" s="7" t="str">
        <f>_xlfn.XLOOKUP(fact_daily_prices!$B319,dim_company[company_id],dim_company[sector_id])</f>
        <v>SEC02</v>
      </c>
      <c r="K319" s="21" t="str">
        <f>_xlfn.XLOOKUP(fact_daily_prices!$J319,dim_sector[sector_id],dim_sector[sector_name])</f>
        <v>Financials</v>
      </c>
      <c r="L319" t="str">
        <v>COMP003-25-03-2025</v>
      </c>
      <c r="M319" t="str">
        <f>_xlfn.CONCAT(A318," ",B318)</f>
        <v>45740 COMP003</v>
      </c>
    </row>
    <row r="320" spans="1:13" x14ac:dyDescent="0.3">
      <c r="A320" s="17">
        <v>45742</v>
      </c>
      <c r="B320" s="18" t="s">
        <v>14</v>
      </c>
      <c r="C320" s="18">
        <v>2161.91</v>
      </c>
      <c r="D320" s="18">
        <v>2177.98</v>
      </c>
      <c r="E320" s="18">
        <v>2145.84</v>
      </c>
      <c r="F320" s="18">
        <v>2162.44</v>
      </c>
      <c r="G320" s="18">
        <v>34297</v>
      </c>
      <c r="H320" s="18">
        <f t="shared" si="6"/>
        <v>-1.3780729176300929E-3</v>
      </c>
      <c r="I320" s="18">
        <f>PRODUCT(fact_daily_prices!$F320,fact_daily_prices!$G320)</f>
        <v>74165204.680000007</v>
      </c>
      <c r="J320" s="18" t="str">
        <f>_xlfn.XLOOKUP(fact_daily_prices!$B320,dim_company[company_id],dim_company[sector_id])</f>
        <v>SEC02</v>
      </c>
      <c r="K320" s="19" t="str">
        <f>_xlfn.XLOOKUP(fact_daily_prices!$J320,dim_sector[sector_id],dim_sector[sector_name])</f>
        <v>Financials</v>
      </c>
      <c r="L320" t="str">
        <v>COMP003-26-03-2025</v>
      </c>
      <c r="M320" t="str">
        <f>_xlfn.CONCAT(A319," ",B319)</f>
        <v>45741 COMP003</v>
      </c>
    </row>
    <row r="321" spans="1:13" x14ac:dyDescent="0.3">
      <c r="A321" s="20">
        <v>45743</v>
      </c>
      <c r="B321" s="7" t="s">
        <v>14</v>
      </c>
      <c r="C321" s="7">
        <v>2147.16</v>
      </c>
      <c r="D321" s="7">
        <v>2176.4899999999998</v>
      </c>
      <c r="E321" s="7">
        <v>2117.83</v>
      </c>
      <c r="F321" s="7">
        <v>2149.35</v>
      </c>
      <c r="G321" s="7">
        <v>28490</v>
      </c>
      <c r="H321" s="7">
        <f t="shared" si="6"/>
        <v>-6.0902133203062066E-3</v>
      </c>
      <c r="I321" s="7">
        <f>PRODUCT(fact_daily_prices!$F321,fact_daily_prices!$G321)</f>
        <v>61234981.5</v>
      </c>
      <c r="J321" s="7" t="str">
        <f>_xlfn.XLOOKUP(fact_daily_prices!$B321,dim_company[company_id],dim_company[sector_id])</f>
        <v>SEC02</v>
      </c>
      <c r="K321" s="21" t="str">
        <f>_xlfn.XLOOKUP(fact_daily_prices!$J321,dim_sector[sector_id],dim_sector[sector_name])</f>
        <v>Financials</v>
      </c>
      <c r="L321" t="str">
        <v>COMP003-27-03-2025</v>
      </c>
      <c r="M321" t="str">
        <f>_xlfn.CONCAT(A320," ",B320)</f>
        <v>45742 COMP003</v>
      </c>
    </row>
    <row r="322" spans="1:13" x14ac:dyDescent="0.3">
      <c r="A322" s="17">
        <v>45744</v>
      </c>
      <c r="B322" s="18" t="s">
        <v>14</v>
      </c>
      <c r="C322" s="18">
        <v>2170.6</v>
      </c>
      <c r="D322" s="18">
        <v>2196.15</v>
      </c>
      <c r="E322" s="18">
        <v>2145.06</v>
      </c>
      <c r="F322" s="18">
        <v>2162.59</v>
      </c>
      <c r="G322" s="18">
        <v>13765</v>
      </c>
      <c r="H322" s="18">
        <f t="shared" si="6"/>
        <v>6.1222885521528521E-3</v>
      </c>
      <c r="I322" s="18">
        <f>PRODUCT(fact_daily_prices!$F322,fact_daily_prices!$G322)</f>
        <v>29768051.350000001</v>
      </c>
      <c r="J322" s="18" t="str">
        <f>_xlfn.XLOOKUP(fact_daily_prices!$B322,dim_company[company_id],dim_company[sector_id])</f>
        <v>SEC02</v>
      </c>
      <c r="K322" s="19" t="str">
        <f>_xlfn.XLOOKUP(fact_daily_prices!$J322,dim_sector[sector_id],dim_sector[sector_name])</f>
        <v>Financials</v>
      </c>
      <c r="L322" t="str">
        <v>COMP003-28-03-2025</v>
      </c>
      <c r="M322" t="str">
        <f>_xlfn.CONCAT(A321," ",B321)</f>
        <v>45743 COMP003</v>
      </c>
    </row>
    <row r="323" spans="1:13" x14ac:dyDescent="0.3">
      <c r="A323" s="20">
        <v>45747</v>
      </c>
      <c r="B323" s="7" t="s">
        <v>14</v>
      </c>
      <c r="C323" s="7">
        <v>2175.7399999999998</v>
      </c>
      <c r="D323" s="7">
        <v>2184.8200000000002</v>
      </c>
      <c r="E323" s="7">
        <v>2166.65</v>
      </c>
      <c r="F323" s="7">
        <v>2177</v>
      </c>
      <c r="G323" s="7">
        <v>23861</v>
      </c>
      <c r="H323" s="7">
        <f t="shared" si="6"/>
        <v>6.619200734956295E-3</v>
      </c>
      <c r="I323" s="7">
        <f>PRODUCT(fact_daily_prices!$F323,fact_daily_prices!$G323)</f>
        <v>51945397</v>
      </c>
      <c r="J323" s="7" t="str">
        <f>_xlfn.XLOOKUP(fact_daily_prices!$B323,dim_company[company_id],dim_company[sector_id])</f>
        <v>SEC02</v>
      </c>
      <c r="K323" s="21" t="str">
        <f>_xlfn.XLOOKUP(fact_daily_prices!$J323,dim_sector[sector_id],dim_sector[sector_name])</f>
        <v>Financials</v>
      </c>
      <c r="L323" t="str">
        <v>COMP003-31-03-2025</v>
      </c>
      <c r="M323" t="str">
        <f>_xlfn.CONCAT(A322," ",B322)</f>
        <v>45744 COMP003</v>
      </c>
    </row>
    <row r="324" spans="1:13" x14ac:dyDescent="0.3">
      <c r="A324" s="17">
        <v>45748</v>
      </c>
      <c r="B324" s="18" t="s">
        <v>14</v>
      </c>
      <c r="C324" s="18">
        <v>2145.65</v>
      </c>
      <c r="D324" s="18">
        <v>2165.4899999999998</v>
      </c>
      <c r="E324" s="18">
        <v>2125.81</v>
      </c>
      <c r="F324" s="18">
        <v>2143.5100000000002</v>
      </c>
      <c r="G324" s="18">
        <v>45965</v>
      </c>
      <c r="H324" s="18">
        <f t="shared" ref="H324:H387" si="7">(F324-F323)/F324</f>
        <v>-1.562390658312757E-2</v>
      </c>
      <c r="I324" s="18">
        <f>PRODUCT(fact_daily_prices!$F324,fact_daily_prices!$G324)</f>
        <v>98526437.150000006</v>
      </c>
      <c r="J324" s="18" t="str">
        <f>_xlfn.XLOOKUP(fact_daily_prices!$B324,dim_company[company_id],dim_company[sector_id])</f>
        <v>SEC02</v>
      </c>
      <c r="K324" s="19" t="str">
        <f>_xlfn.XLOOKUP(fact_daily_prices!$J324,dim_sector[sector_id],dim_sector[sector_name])</f>
        <v>Financials</v>
      </c>
      <c r="L324" t="str">
        <v>COMP003-01-04-2025</v>
      </c>
      <c r="M324" t="str">
        <f>_xlfn.CONCAT(A323," ",B323)</f>
        <v>45747 COMP003</v>
      </c>
    </row>
    <row r="325" spans="1:13" x14ac:dyDescent="0.3">
      <c r="A325" s="20">
        <v>45749</v>
      </c>
      <c r="B325" s="7" t="s">
        <v>14</v>
      </c>
      <c r="C325" s="7">
        <v>2164.81</v>
      </c>
      <c r="D325" s="7">
        <v>2180.7800000000002</v>
      </c>
      <c r="E325" s="7">
        <v>2148.84</v>
      </c>
      <c r="F325" s="7">
        <v>2159.52</v>
      </c>
      <c r="G325" s="7">
        <v>31523</v>
      </c>
      <c r="H325" s="7">
        <f t="shared" si="7"/>
        <v>7.4136845224863687E-3</v>
      </c>
      <c r="I325" s="7">
        <f>PRODUCT(fact_daily_prices!$F325,fact_daily_prices!$G325)</f>
        <v>68074548.959999993</v>
      </c>
      <c r="J325" s="7" t="str">
        <f>_xlfn.XLOOKUP(fact_daily_prices!$B325,dim_company[company_id],dim_company[sector_id])</f>
        <v>SEC02</v>
      </c>
      <c r="K325" s="21" t="str">
        <f>_xlfn.XLOOKUP(fact_daily_prices!$J325,dim_sector[sector_id],dim_sector[sector_name])</f>
        <v>Financials</v>
      </c>
      <c r="L325" t="str">
        <v>COMP003-02-04-2025</v>
      </c>
      <c r="M325" t="str">
        <f>_xlfn.CONCAT(A324," ",B324)</f>
        <v>45748 COMP003</v>
      </c>
    </row>
    <row r="326" spans="1:13" x14ac:dyDescent="0.3">
      <c r="A326" s="17">
        <v>45750</v>
      </c>
      <c r="B326" s="18" t="s">
        <v>14</v>
      </c>
      <c r="C326" s="18">
        <v>2225.0100000000002</v>
      </c>
      <c r="D326" s="18">
        <v>2247.25</v>
      </c>
      <c r="E326" s="18">
        <v>2202.7600000000002</v>
      </c>
      <c r="F326" s="18">
        <v>2229.19</v>
      </c>
      <c r="G326" s="18">
        <v>36046</v>
      </c>
      <c r="H326" s="18">
        <f t="shared" si="7"/>
        <v>3.1253504636213188E-2</v>
      </c>
      <c r="I326" s="18">
        <f>PRODUCT(fact_daily_prices!$F326,fact_daily_prices!$G326)</f>
        <v>80353382.739999995</v>
      </c>
      <c r="J326" s="18" t="str">
        <f>_xlfn.XLOOKUP(fact_daily_prices!$B326,dim_company[company_id],dim_company[sector_id])</f>
        <v>SEC02</v>
      </c>
      <c r="K326" s="19" t="str">
        <f>_xlfn.XLOOKUP(fact_daily_prices!$J326,dim_sector[sector_id],dim_sector[sector_name])</f>
        <v>Financials</v>
      </c>
      <c r="L326" t="str">
        <v>COMP003-03-04-2025</v>
      </c>
      <c r="M326" t="str">
        <f>_xlfn.CONCAT(A325," ",B325)</f>
        <v>45749 COMP003</v>
      </c>
    </row>
    <row r="327" spans="1:13" x14ac:dyDescent="0.3">
      <c r="A327" s="20">
        <v>45751</v>
      </c>
      <c r="B327" s="7" t="s">
        <v>14</v>
      </c>
      <c r="C327" s="7">
        <v>2237.71</v>
      </c>
      <c r="D327" s="7">
        <v>2259.0700000000002</v>
      </c>
      <c r="E327" s="7">
        <v>2216.36</v>
      </c>
      <c r="F327" s="7">
        <v>2242.96</v>
      </c>
      <c r="G327" s="7">
        <v>46893</v>
      </c>
      <c r="H327" s="7">
        <f t="shared" si="7"/>
        <v>6.13920890252166E-3</v>
      </c>
      <c r="I327" s="7">
        <f>PRODUCT(fact_daily_prices!$F327,fact_daily_prices!$G327)</f>
        <v>105179123.28</v>
      </c>
      <c r="J327" s="7" t="str">
        <f>_xlfn.XLOOKUP(fact_daily_prices!$B327,dim_company[company_id],dim_company[sector_id])</f>
        <v>SEC02</v>
      </c>
      <c r="K327" s="21" t="str">
        <f>_xlfn.XLOOKUP(fact_daily_prices!$J327,dim_sector[sector_id],dim_sector[sector_name])</f>
        <v>Financials</v>
      </c>
      <c r="L327" t="str">
        <v>COMP003-04-04-2025</v>
      </c>
      <c r="M327" t="str">
        <f>_xlfn.CONCAT(A326," ",B326)</f>
        <v>45750 COMP003</v>
      </c>
    </row>
    <row r="328" spans="1:13" x14ac:dyDescent="0.3">
      <c r="A328" s="17">
        <v>45754</v>
      </c>
      <c r="B328" s="18" t="s">
        <v>14</v>
      </c>
      <c r="C328" s="18">
        <v>2203.44</v>
      </c>
      <c r="D328" s="18">
        <v>2224.62</v>
      </c>
      <c r="E328" s="18">
        <v>2182.27</v>
      </c>
      <c r="F328" s="18">
        <v>2195.98</v>
      </c>
      <c r="G328" s="18">
        <v>3113</v>
      </c>
      <c r="H328" s="18">
        <f t="shared" si="7"/>
        <v>-2.1393637464822091E-2</v>
      </c>
      <c r="I328" s="18">
        <f>PRODUCT(fact_daily_prices!$F328,fact_daily_prices!$G328)</f>
        <v>6836085.7400000002</v>
      </c>
      <c r="J328" s="18" t="str">
        <f>_xlfn.XLOOKUP(fact_daily_prices!$B328,dim_company[company_id],dim_company[sector_id])</f>
        <v>SEC02</v>
      </c>
      <c r="K328" s="19" t="str">
        <f>_xlfn.XLOOKUP(fact_daily_prices!$J328,dim_sector[sector_id],dim_sector[sector_name])</f>
        <v>Financials</v>
      </c>
      <c r="L328" t="str">
        <v>COMP003-07-04-2025</v>
      </c>
      <c r="M328" t="str">
        <f>_xlfn.CONCAT(A327," ",B327)</f>
        <v>45751 COMP003</v>
      </c>
    </row>
    <row r="329" spans="1:13" x14ac:dyDescent="0.3">
      <c r="A329" s="20">
        <v>45755</v>
      </c>
      <c r="B329" s="7" t="s">
        <v>14</v>
      </c>
      <c r="C329" s="7">
        <v>2220.1</v>
      </c>
      <c r="D329" s="7">
        <v>2239.19</v>
      </c>
      <c r="E329" s="7">
        <v>2201.02</v>
      </c>
      <c r="F329" s="7">
        <v>2201.42</v>
      </c>
      <c r="G329" s="7">
        <v>14760</v>
      </c>
      <c r="H329" s="7">
        <f t="shared" si="7"/>
        <v>2.4711322691717413E-3</v>
      </c>
      <c r="I329" s="7">
        <f>PRODUCT(fact_daily_prices!$F329,fact_daily_prices!$G329)</f>
        <v>32492959.199999999</v>
      </c>
      <c r="J329" s="7" t="str">
        <f>_xlfn.XLOOKUP(fact_daily_prices!$B329,dim_company[company_id],dim_company[sector_id])</f>
        <v>SEC02</v>
      </c>
      <c r="K329" s="21" t="str">
        <f>_xlfn.XLOOKUP(fact_daily_prices!$J329,dim_sector[sector_id],dim_sector[sector_name])</f>
        <v>Financials</v>
      </c>
      <c r="L329" t="str">
        <v>COMP003-08-04-2025</v>
      </c>
      <c r="M329" t="str">
        <f>_xlfn.CONCAT(A328," ",B328)</f>
        <v>45754 COMP003</v>
      </c>
    </row>
    <row r="330" spans="1:13" x14ac:dyDescent="0.3">
      <c r="A330" s="17">
        <v>45756</v>
      </c>
      <c r="B330" s="18" t="s">
        <v>14</v>
      </c>
      <c r="C330" s="18">
        <v>2165.56</v>
      </c>
      <c r="D330" s="18">
        <v>2185.02</v>
      </c>
      <c r="E330" s="18">
        <v>2146.1</v>
      </c>
      <c r="F330" s="18">
        <v>2151.73</v>
      </c>
      <c r="G330" s="18">
        <v>13588</v>
      </c>
      <c r="H330" s="18">
        <f t="shared" si="7"/>
        <v>-2.309304606061172E-2</v>
      </c>
      <c r="I330" s="18">
        <f>PRODUCT(fact_daily_prices!$F330,fact_daily_prices!$G330)</f>
        <v>29237707.240000002</v>
      </c>
      <c r="J330" s="18" t="str">
        <f>_xlfn.XLOOKUP(fact_daily_prices!$B330,dim_company[company_id],dim_company[sector_id])</f>
        <v>SEC02</v>
      </c>
      <c r="K330" s="19" t="str">
        <f>_xlfn.XLOOKUP(fact_daily_prices!$J330,dim_sector[sector_id],dim_sector[sector_name])</f>
        <v>Financials</v>
      </c>
      <c r="L330" t="str">
        <v>COMP003-09-04-2025</v>
      </c>
      <c r="M330" t="str">
        <f>_xlfn.CONCAT(A329," ",B329)</f>
        <v>45755 COMP003</v>
      </c>
    </row>
    <row r="331" spans="1:13" x14ac:dyDescent="0.3">
      <c r="A331" s="20">
        <v>45757</v>
      </c>
      <c r="B331" s="7" t="s">
        <v>14</v>
      </c>
      <c r="C331" s="7">
        <v>2239.92</v>
      </c>
      <c r="D331" s="7">
        <v>2250.48</v>
      </c>
      <c r="E331" s="7">
        <v>2229.35</v>
      </c>
      <c r="F331" s="7">
        <v>2239.87</v>
      </c>
      <c r="G331" s="7">
        <v>45738</v>
      </c>
      <c r="H331" s="7">
        <f t="shared" si="7"/>
        <v>3.9350498019974318E-2</v>
      </c>
      <c r="I331" s="7">
        <f>PRODUCT(fact_daily_prices!$F331,fact_daily_prices!$G331)</f>
        <v>102447174.06</v>
      </c>
      <c r="J331" s="7" t="str">
        <f>_xlfn.XLOOKUP(fact_daily_prices!$B331,dim_company[company_id],dim_company[sector_id])</f>
        <v>SEC02</v>
      </c>
      <c r="K331" s="21" t="str">
        <f>_xlfn.XLOOKUP(fact_daily_prices!$J331,dim_sector[sector_id],dim_sector[sector_name])</f>
        <v>Financials</v>
      </c>
      <c r="L331" t="str">
        <v>COMP003-10-04-2025</v>
      </c>
      <c r="M331" t="str">
        <f>_xlfn.CONCAT(A330," ",B330)</f>
        <v>45756 COMP003</v>
      </c>
    </row>
    <row r="332" spans="1:13" x14ac:dyDescent="0.3">
      <c r="A332" s="17">
        <v>45758</v>
      </c>
      <c r="B332" s="18" t="s">
        <v>14</v>
      </c>
      <c r="C332" s="18">
        <v>2306.96</v>
      </c>
      <c r="D332" s="18">
        <v>2324.77</v>
      </c>
      <c r="E332" s="18">
        <v>2289.15</v>
      </c>
      <c r="F332" s="18">
        <v>2304.4</v>
      </c>
      <c r="G332" s="18">
        <v>6724</v>
      </c>
      <c r="H332" s="18">
        <f t="shared" si="7"/>
        <v>2.8002950876584012E-2</v>
      </c>
      <c r="I332" s="18">
        <f>PRODUCT(fact_daily_prices!$F332,fact_daily_prices!$G332)</f>
        <v>15494785.600000001</v>
      </c>
      <c r="J332" s="18" t="str">
        <f>_xlfn.XLOOKUP(fact_daily_prices!$B332,dim_company[company_id],dim_company[sector_id])</f>
        <v>SEC02</v>
      </c>
      <c r="K332" s="19" t="str">
        <f>_xlfn.XLOOKUP(fact_daily_prices!$J332,dim_sector[sector_id],dim_sector[sector_name])</f>
        <v>Financials</v>
      </c>
      <c r="L332" t="str">
        <v>COMP003-11-04-2025</v>
      </c>
      <c r="M332" t="str">
        <f>_xlfn.CONCAT(A331," ",B331)</f>
        <v>45757 COMP003</v>
      </c>
    </row>
    <row r="333" spans="1:13" x14ac:dyDescent="0.3">
      <c r="A333" s="20">
        <v>45761</v>
      </c>
      <c r="B333" s="7" t="s">
        <v>14</v>
      </c>
      <c r="C333" s="7">
        <v>2274.4499999999998</v>
      </c>
      <c r="D333" s="7">
        <v>2301.1</v>
      </c>
      <c r="E333" s="7">
        <v>2247.8000000000002</v>
      </c>
      <c r="F333" s="7">
        <v>2285.69</v>
      </c>
      <c r="G333" s="7">
        <v>43240</v>
      </c>
      <c r="H333" s="7">
        <f t="shared" si="7"/>
        <v>-8.1857119731897302E-3</v>
      </c>
      <c r="I333" s="7">
        <f>PRODUCT(fact_daily_prices!$F333,fact_daily_prices!$G333)</f>
        <v>98833235.600000009</v>
      </c>
      <c r="J333" s="7" t="str">
        <f>_xlfn.XLOOKUP(fact_daily_prices!$B333,dim_company[company_id],dim_company[sector_id])</f>
        <v>SEC02</v>
      </c>
      <c r="K333" s="21" t="str">
        <f>_xlfn.XLOOKUP(fact_daily_prices!$J333,dim_sector[sector_id],dim_sector[sector_name])</f>
        <v>Financials</v>
      </c>
      <c r="L333" t="str">
        <v>COMP003-14-04-2025</v>
      </c>
      <c r="M333" t="str">
        <f>_xlfn.CONCAT(A332," ",B332)</f>
        <v>45758 COMP003</v>
      </c>
    </row>
    <row r="334" spans="1:13" x14ac:dyDescent="0.3">
      <c r="A334" s="17">
        <v>45762</v>
      </c>
      <c r="B334" s="18" t="s">
        <v>14</v>
      </c>
      <c r="C334" s="18">
        <v>2219.38</v>
      </c>
      <c r="D334" s="18">
        <v>2242.44</v>
      </c>
      <c r="E334" s="18">
        <v>2196.33</v>
      </c>
      <c r="F334" s="18">
        <v>2222.46</v>
      </c>
      <c r="G334" s="18">
        <v>24499</v>
      </c>
      <c r="H334" s="18">
        <f t="shared" si="7"/>
        <v>-2.8450455801229277E-2</v>
      </c>
      <c r="I334" s="18">
        <f>PRODUCT(fact_daily_prices!$F334,fact_daily_prices!$G334)</f>
        <v>54448047.539999999</v>
      </c>
      <c r="J334" s="18" t="str">
        <f>_xlfn.XLOOKUP(fact_daily_prices!$B334,dim_company[company_id],dim_company[sector_id])</f>
        <v>SEC02</v>
      </c>
      <c r="K334" s="19" t="str">
        <f>_xlfn.XLOOKUP(fact_daily_prices!$J334,dim_sector[sector_id],dim_sector[sector_name])</f>
        <v>Financials</v>
      </c>
      <c r="L334" t="str">
        <v>COMP003-15-04-2025</v>
      </c>
      <c r="M334" t="str">
        <f>_xlfn.CONCAT(A333," ",B333)</f>
        <v>45761 COMP003</v>
      </c>
    </row>
    <row r="335" spans="1:13" x14ac:dyDescent="0.3">
      <c r="A335" s="20">
        <v>45763</v>
      </c>
      <c r="B335" s="7" t="s">
        <v>14</v>
      </c>
      <c r="C335" s="7">
        <v>2210.39</v>
      </c>
      <c r="D335" s="7">
        <v>2229.6</v>
      </c>
      <c r="E335" s="7">
        <v>2191.1799999999998</v>
      </c>
      <c r="F335" s="7">
        <v>2198.52</v>
      </c>
      <c r="G335" s="7">
        <v>7099</v>
      </c>
      <c r="H335" s="7">
        <f t="shared" si="7"/>
        <v>-1.0889143605698403E-2</v>
      </c>
      <c r="I335" s="7">
        <f>PRODUCT(fact_daily_prices!$F335,fact_daily_prices!$G335)</f>
        <v>15607293.48</v>
      </c>
      <c r="J335" s="7" t="str">
        <f>_xlfn.XLOOKUP(fact_daily_prices!$B335,dim_company[company_id],dim_company[sector_id])</f>
        <v>SEC02</v>
      </c>
      <c r="K335" s="21" t="str">
        <f>_xlfn.XLOOKUP(fact_daily_prices!$J335,dim_sector[sector_id],dim_sector[sector_name])</f>
        <v>Financials</v>
      </c>
      <c r="L335" t="str">
        <v>COMP003-16-04-2025</v>
      </c>
      <c r="M335" t="str">
        <f>_xlfn.CONCAT(A334," ",B334)</f>
        <v>45762 COMP003</v>
      </c>
    </row>
    <row r="336" spans="1:13" x14ac:dyDescent="0.3">
      <c r="A336" s="17">
        <v>45764</v>
      </c>
      <c r="B336" s="18" t="s">
        <v>14</v>
      </c>
      <c r="C336" s="18">
        <v>2189.08</v>
      </c>
      <c r="D336" s="18">
        <v>2210.6799999999998</v>
      </c>
      <c r="E336" s="18">
        <v>2167.4699999999998</v>
      </c>
      <c r="F336" s="18">
        <v>2194.04</v>
      </c>
      <c r="G336" s="18">
        <v>7116</v>
      </c>
      <c r="H336" s="18">
        <f t="shared" si="7"/>
        <v>-2.0418953164026265E-3</v>
      </c>
      <c r="I336" s="18">
        <f>PRODUCT(fact_daily_prices!$F336,fact_daily_prices!$G336)</f>
        <v>15612788.640000001</v>
      </c>
      <c r="J336" s="18" t="str">
        <f>_xlfn.XLOOKUP(fact_daily_prices!$B336,dim_company[company_id],dim_company[sector_id])</f>
        <v>SEC02</v>
      </c>
      <c r="K336" s="19" t="str">
        <f>_xlfn.XLOOKUP(fact_daily_prices!$J336,dim_sector[sector_id],dim_sector[sector_name])</f>
        <v>Financials</v>
      </c>
      <c r="L336" t="str">
        <v>COMP003-17-04-2025</v>
      </c>
      <c r="M336" t="str">
        <f>_xlfn.CONCAT(A335," ",B335)</f>
        <v>45763 COMP003</v>
      </c>
    </row>
    <row r="337" spans="1:13" x14ac:dyDescent="0.3">
      <c r="A337" s="20">
        <v>45765</v>
      </c>
      <c r="B337" s="7" t="s">
        <v>14</v>
      </c>
      <c r="C337" s="7">
        <v>2141.0500000000002</v>
      </c>
      <c r="D337" s="7">
        <v>2169.29</v>
      </c>
      <c r="E337" s="7">
        <v>2112.8200000000002</v>
      </c>
      <c r="F337" s="7">
        <v>2146.38</v>
      </c>
      <c r="G337" s="7">
        <v>10847</v>
      </c>
      <c r="H337" s="7">
        <f t="shared" si="7"/>
        <v>-2.2204828595122881E-2</v>
      </c>
      <c r="I337" s="7">
        <f>PRODUCT(fact_daily_prices!$F337,fact_daily_prices!$G337)</f>
        <v>23281783.859999999</v>
      </c>
      <c r="J337" s="7" t="str">
        <f>_xlfn.XLOOKUP(fact_daily_prices!$B337,dim_company[company_id],dim_company[sector_id])</f>
        <v>SEC02</v>
      </c>
      <c r="K337" s="21" t="str">
        <f>_xlfn.XLOOKUP(fact_daily_prices!$J337,dim_sector[sector_id],dim_sector[sector_name])</f>
        <v>Financials</v>
      </c>
      <c r="L337" t="str">
        <v>COMP003-18-04-2025</v>
      </c>
      <c r="M337" t="str">
        <f>_xlfn.CONCAT(A336," ",B336)</f>
        <v>45764 COMP003</v>
      </c>
    </row>
    <row r="338" spans="1:13" x14ac:dyDescent="0.3">
      <c r="A338" s="17">
        <v>45768</v>
      </c>
      <c r="B338" s="18" t="s">
        <v>14</v>
      </c>
      <c r="C338" s="18">
        <v>2149.75</v>
      </c>
      <c r="D338" s="18">
        <v>2179.59</v>
      </c>
      <c r="E338" s="18">
        <v>2119.92</v>
      </c>
      <c r="F338" s="18">
        <v>2145.0300000000002</v>
      </c>
      <c r="G338" s="18">
        <v>2742</v>
      </c>
      <c r="H338" s="18">
        <f t="shared" si="7"/>
        <v>-6.2936182710727074E-4</v>
      </c>
      <c r="I338" s="18">
        <f>PRODUCT(fact_daily_prices!$F338,fact_daily_prices!$G338)</f>
        <v>5881672.2600000007</v>
      </c>
      <c r="J338" s="18" t="str">
        <f>_xlfn.XLOOKUP(fact_daily_prices!$B338,dim_company[company_id],dim_company[sector_id])</f>
        <v>SEC02</v>
      </c>
      <c r="K338" s="19" t="str">
        <f>_xlfn.XLOOKUP(fact_daily_prices!$J338,dim_sector[sector_id],dim_sector[sector_name])</f>
        <v>Financials</v>
      </c>
      <c r="L338" t="str">
        <v>COMP003-21-04-2025</v>
      </c>
      <c r="M338" t="str">
        <f>_xlfn.CONCAT(A337," ",B337)</f>
        <v>45765 COMP003</v>
      </c>
    </row>
    <row r="339" spans="1:13" x14ac:dyDescent="0.3">
      <c r="A339" s="20">
        <v>45769</v>
      </c>
      <c r="B339" s="7" t="s">
        <v>14</v>
      </c>
      <c r="C339" s="7">
        <v>2140.86</v>
      </c>
      <c r="D339" s="7">
        <v>2164.37</v>
      </c>
      <c r="E339" s="7">
        <v>2117.36</v>
      </c>
      <c r="F339" s="7">
        <v>2140.4699999999998</v>
      </c>
      <c r="G339" s="7">
        <v>35707</v>
      </c>
      <c r="H339" s="7">
        <f t="shared" si="7"/>
        <v>-2.1303732357848514E-3</v>
      </c>
      <c r="I339" s="7">
        <f>PRODUCT(fact_daily_prices!$F339,fact_daily_prices!$G339)</f>
        <v>76429762.289999992</v>
      </c>
      <c r="J339" s="7" t="str">
        <f>_xlfn.XLOOKUP(fact_daily_prices!$B339,dim_company[company_id],dim_company[sector_id])</f>
        <v>SEC02</v>
      </c>
      <c r="K339" s="21" t="str">
        <f>_xlfn.XLOOKUP(fact_daily_prices!$J339,dim_sector[sector_id],dim_sector[sector_name])</f>
        <v>Financials</v>
      </c>
      <c r="L339" t="str">
        <v>COMP003-22-04-2025</v>
      </c>
      <c r="M339" t="str">
        <f>_xlfn.CONCAT(A338," ",B338)</f>
        <v>45768 COMP003</v>
      </c>
    </row>
    <row r="340" spans="1:13" x14ac:dyDescent="0.3">
      <c r="A340" s="17">
        <v>45770</v>
      </c>
      <c r="B340" s="18" t="s">
        <v>14</v>
      </c>
      <c r="C340" s="18">
        <v>2148.92</v>
      </c>
      <c r="D340" s="18">
        <v>2155.9299999999998</v>
      </c>
      <c r="E340" s="18">
        <v>2141.91</v>
      </c>
      <c r="F340" s="18">
        <v>2144.36</v>
      </c>
      <c r="G340" s="18">
        <v>48614</v>
      </c>
      <c r="H340" s="18">
        <f t="shared" si="7"/>
        <v>1.8140610718351056E-3</v>
      </c>
      <c r="I340" s="18">
        <f>PRODUCT(fact_daily_prices!$F340,fact_daily_prices!$G340)</f>
        <v>104245917.04000001</v>
      </c>
      <c r="J340" s="18" t="str">
        <f>_xlfn.XLOOKUP(fact_daily_prices!$B340,dim_company[company_id],dim_company[sector_id])</f>
        <v>SEC02</v>
      </c>
      <c r="K340" s="19" t="str">
        <f>_xlfn.XLOOKUP(fact_daily_prices!$J340,dim_sector[sector_id],dim_sector[sector_name])</f>
        <v>Financials</v>
      </c>
      <c r="L340" t="str">
        <v>COMP003-23-04-2025</v>
      </c>
      <c r="M340" t="str">
        <f>_xlfn.CONCAT(A339," ",B339)</f>
        <v>45769 COMP003</v>
      </c>
    </row>
    <row r="341" spans="1:13" x14ac:dyDescent="0.3">
      <c r="A341" s="20">
        <v>45771</v>
      </c>
      <c r="B341" s="7" t="s">
        <v>14</v>
      </c>
      <c r="C341" s="7">
        <v>2154.9499999999998</v>
      </c>
      <c r="D341" s="7">
        <v>2161.0300000000002</v>
      </c>
      <c r="E341" s="7">
        <v>2148.86</v>
      </c>
      <c r="F341" s="7">
        <v>2151.09</v>
      </c>
      <c r="G341" s="7">
        <v>16360</v>
      </c>
      <c r="H341" s="7">
        <f t="shared" si="7"/>
        <v>3.1286464071703267E-3</v>
      </c>
      <c r="I341" s="7">
        <f>PRODUCT(fact_daily_prices!$F341,fact_daily_prices!$G341)</f>
        <v>35191832.400000006</v>
      </c>
      <c r="J341" s="7" t="str">
        <f>_xlfn.XLOOKUP(fact_daily_prices!$B341,dim_company[company_id],dim_company[sector_id])</f>
        <v>SEC02</v>
      </c>
      <c r="K341" s="21" t="str">
        <f>_xlfn.XLOOKUP(fact_daily_prices!$J341,dim_sector[sector_id],dim_sector[sector_name])</f>
        <v>Financials</v>
      </c>
      <c r="L341" t="str">
        <v>COMP003-24-04-2025</v>
      </c>
      <c r="M341" t="str">
        <f>_xlfn.CONCAT(A340," ",B340)</f>
        <v>45770 COMP003</v>
      </c>
    </row>
    <row r="342" spans="1:13" x14ac:dyDescent="0.3">
      <c r="A342" s="17">
        <v>45772</v>
      </c>
      <c r="B342" s="18" t="s">
        <v>14</v>
      </c>
      <c r="C342" s="18">
        <v>2118.5700000000002</v>
      </c>
      <c r="D342" s="18">
        <v>2130.77</v>
      </c>
      <c r="E342" s="18">
        <v>2106.36</v>
      </c>
      <c r="F342" s="18">
        <v>2125.58</v>
      </c>
      <c r="G342" s="18">
        <v>29404</v>
      </c>
      <c r="H342" s="18">
        <f t="shared" si="7"/>
        <v>-1.2001430197875506E-2</v>
      </c>
      <c r="I342" s="18">
        <f>PRODUCT(fact_daily_prices!$F342,fact_daily_prices!$G342)</f>
        <v>62500554.32</v>
      </c>
      <c r="J342" s="18" t="str">
        <f>_xlfn.XLOOKUP(fact_daily_prices!$B342,dim_company[company_id],dim_company[sector_id])</f>
        <v>SEC02</v>
      </c>
      <c r="K342" s="19" t="str">
        <f>_xlfn.XLOOKUP(fact_daily_prices!$J342,dim_sector[sector_id],dim_sector[sector_name])</f>
        <v>Financials</v>
      </c>
      <c r="L342" t="str">
        <v>COMP003-25-04-2025</v>
      </c>
      <c r="M342" t="str">
        <f>_xlfn.CONCAT(A341," ",B341)</f>
        <v>45771 COMP003</v>
      </c>
    </row>
    <row r="343" spans="1:13" x14ac:dyDescent="0.3">
      <c r="A343" s="20">
        <v>45775</v>
      </c>
      <c r="B343" s="7" t="s">
        <v>14</v>
      </c>
      <c r="C343" s="7">
        <v>2103.04</v>
      </c>
      <c r="D343" s="7">
        <v>2107.08</v>
      </c>
      <c r="E343" s="7">
        <v>2099.0100000000002</v>
      </c>
      <c r="F343" s="7">
        <v>2103.35</v>
      </c>
      <c r="G343" s="7">
        <v>34997</v>
      </c>
      <c r="H343" s="7">
        <f t="shared" si="7"/>
        <v>-1.0568854446478246E-2</v>
      </c>
      <c r="I343" s="7">
        <f>PRODUCT(fact_daily_prices!$F343,fact_daily_prices!$G343)</f>
        <v>73610939.950000003</v>
      </c>
      <c r="J343" s="7" t="str">
        <f>_xlfn.XLOOKUP(fact_daily_prices!$B343,dim_company[company_id],dim_company[sector_id])</f>
        <v>SEC02</v>
      </c>
      <c r="K343" s="21" t="str">
        <f>_xlfn.XLOOKUP(fact_daily_prices!$J343,dim_sector[sector_id],dim_sector[sector_name])</f>
        <v>Financials</v>
      </c>
      <c r="L343" t="str">
        <v>COMP003-28-04-2025</v>
      </c>
      <c r="M343" t="str">
        <f>_xlfn.CONCAT(A342," ",B342)</f>
        <v>45772 COMP003</v>
      </c>
    </row>
    <row r="344" spans="1:13" x14ac:dyDescent="0.3">
      <c r="A344" s="17">
        <v>45776</v>
      </c>
      <c r="B344" s="18" t="s">
        <v>14</v>
      </c>
      <c r="C344" s="18">
        <v>2111.1799999999998</v>
      </c>
      <c r="D344" s="18">
        <v>2134.04</v>
      </c>
      <c r="E344" s="18">
        <v>2088.33</v>
      </c>
      <c r="F344" s="18">
        <v>2105.06</v>
      </c>
      <c r="G344" s="18">
        <v>36057</v>
      </c>
      <c r="H344" s="18">
        <f t="shared" si="7"/>
        <v>8.1232838968962233E-4</v>
      </c>
      <c r="I344" s="18">
        <f>PRODUCT(fact_daily_prices!$F344,fact_daily_prices!$G344)</f>
        <v>75902148.420000002</v>
      </c>
      <c r="J344" s="18" t="str">
        <f>_xlfn.XLOOKUP(fact_daily_prices!$B344,dim_company[company_id],dim_company[sector_id])</f>
        <v>SEC02</v>
      </c>
      <c r="K344" s="19" t="str">
        <f>_xlfn.XLOOKUP(fact_daily_prices!$J344,dim_sector[sector_id],dim_sector[sector_name])</f>
        <v>Financials</v>
      </c>
      <c r="L344" t="str">
        <v>COMP003-29-04-2025</v>
      </c>
      <c r="M344" t="str">
        <f>_xlfn.CONCAT(A343," ",B343)</f>
        <v>45775 COMP003</v>
      </c>
    </row>
    <row r="345" spans="1:13" x14ac:dyDescent="0.3">
      <c r="A345" s="20">
        <v>45777</v>
      </c>
      <c r="B345" s="7" t="s">
        <v>14</v>
      </c>
      <c r="C345" s="7">
        <v>2108.9499999999998</v>
      </c>
      <c r="D345" s="7">
        <v>2129.21</v>
      </c>
      <c r="E345" s="7">
        <v>2088.6799999999998</v>
      </c>
      <c r="F345" s="7">
        <v>2088.89</v>
      </c>
      <c r="G345" s="7">
        <v>46272</v>
      </c>
      <c r="H345" s="7">
        <f t="shared" si="7"/>
        <v>-7.7409533292801796E-3</v>
      </c>
      <c r="I345" s="7">
        <f>PRODUCT(fact_daily_prices!$F345,fact_daily_prices!$G345)</f>
        <v>96657118.079999998</v>
      </c>
      <c r="J345" s="7" t="str">
        <f>_xlfn.XLOOKUP(fact_daily_prices!$B345,dim_company[company_id],dim_company[sector_id])</f>
        <v>SEC02</v>
      </c>
      <c r="K345" s="21" t="str">
        <f>_xlfn.XLOOKUP(fact_daily_prices!$J345,dim_sector[sector_id],dim_sector[sector_name])</f>
        <v>Financials</v>
      </c>
      <c r="L345" t="str">
        <v>COMP003-30-04-2025</v>
      </c>
      <c r="M345" t="str">
        <f>_xlfn.CONCAT(A344," ",B344)</f>
        <v>45776 COMP003</v>
      </c>
    </row>
    <row r="346" spans="1:13" x14ac:dyDescent="0.3">
      <c r="A346" s="17">
        <v>45778</v>
      </c>
      <c r="B346" s="18" t="s">
        <v>14</v>
      </c>
      <c r="C346" s="18">
        <v>2108.58</v>
      </c>
      <c r="D346" s="18">
        <v>2140.4299999999998</v>
      </c>
      <c r="E346" s="18">
        <v>2076.73</v>
      </c>
      <c r="F346" s="18">
        <v>2113.41</v>
      </c>
      <c r="G346" s="18">
        <v>7638</v>
      </c>
      <c r="H346" s="18">
        <f t="shared" si="7"/>
        <v>1.1602102762833516E-2</v>
      </c>
      <c r="I346" s="18">
        <f>PRODUCT(fact_daily_prices!$F346,fact_daily_prices!$G346)</f>
        <v>16142225.579999998</v>
      </c>
      <c r="J346" s="18" t="str">
        <f>_xlfn.XLOOKUP(fact_daily_prices!$B346,dim_company[company_id],dim_company[sector_id])</f>
        <v>SEC02</v>
      </c>
      <c r="K346" s="19" t="str">
        <f>_xlfn.XLOOKUP(fact_daily_prices!$J346,dim_sector[sector_id],dim_sector[sector_name])</f>
        <v>Financials</v>
      </c>
      <c r="L346" t="str">
        <v>COMP003-01-05-2025</v>
      </c>
      <c r="M346" t="str">
        <f>_xlfn.CONCAT(A345," ",B345)</f>
        <v>45777 COMP003</v>
      </c>
    </row>
    <row r="347" spans="1:13" x14ac:dyDescent="0.3">
      <c r="A347" s="20">
        <v>45779</v>
      </c>
      <c r="B347" s="7" t="s">
        <v>14</v>
      </c>
      <c r="C347" s="7">
        <v>2118.66</v>
      </c>
      <c r="D347" s="7">
        <v>2136.94</v>
      </c>
      <c r="E347" s="7">
        <v>2100.38</v>
      </c>
      <c r="F347" s="7">
        <v>2114.87</v>
      </c>
      <c r="G347" s="7">
        <v>14605</v>
      </c>
      <c r="H347" s="7">
        <f t="shared" si="7"/>
        <v>6.9034976145107574E-4</v>
      </c>
      <c r="I347" s="7">
        <f>PRODUCT(fact_daily_prices!$F347,fact_daily_prices!$G347)</f>
        <v>30887676.349999998</v>
      </c>
      <c r="J347" s="7" t="str">
        <f>_xlfn.XLOOKUP(fact_daily_prices!$B347,dim_company[company_id],dim_company[sector_id])</f>
        <v>SEC02</v>
      </c>
      <c r="K347" s="21" t="str">
        <f>_xlfn.XLOOKUP(fact_daily_prices!$J347,dim_sector[sector_id],dim_sector[sector_name])</f>
        <v>Financials</v>
      </c>
      <c r="L347" t="str">
        <v>COMP003-02-05-2025</v>
      </c>
      <c r="M347" t="str">
        <f>_xlfn.CONCAT(A346," ",B346)</f>
        <v>45778 COMP003</v>
      </c>
    </row>
    <row r="348" spans="1:13" x14ac:dyDescent="0.3">
      <c r="A348" s="17">
        <v>45782</v>
      </c>
      <c r="B348" s="18" t="s">
        <v>14</v>
      </c>
      <c r="C348" s="18">
        <v>2168.0500000000002</v>
      </c>
      <c r="D348" s="18">
        <v>2171.7199999999998</v>
      </c>
      <c r="E348" s="18">
        <v>2164.37</v>
      </c>
      <c r="F348" s="18">
        <v>2165.67</v>
      </c>
      <c r="G348" s="18">
        <v>33556</v>
      </c>
      <c r="H348" s="18">
        <f t="shared" si="7"/>
        <v>2.3456944040412517E-2</v>
      </c>
      <c r="I348" s="18">
        <f>PRODUCT(fact_daily_prices!$F348,fact_daily_prices!$G348)</f>
        <v>72671222.519999996</v>
      </c>
      <c r="J348" s="18" t="str">
        <f>_xlfn.XLOOKUP(fact_daily_prices!$B348,dim_company[company_id],dim_company[sector_id])</f>
        <v>SEC02</v>
      </c>
      <c r="K348" s="19" t="str">
        <f>_xlfn.XLOOKUP(fact_daily_prices!$J348,dim_sector[sector_id],dim_sector[sector_name])</f>
        <v>Financials</v>
      </c>
      <c r="L348" t="str">
        <v>COMP003-05-05-2025</v>
      </c>
      <c r="M348" t="str">
        <f>_xlfn.CONCAT(A347," ",B347)</f>
        <v>45779 COMP003</v>
      </c>
    </row>
    <row r="349" spans="1:13" x14ac:dyDescent="0.3">
      <c r="A349" s="20">
        <v>45783</v>
      </c>
      <c r="B349" s="7" t="s">
        <v>14</v>
      </c>
      <c r="C349" s="7">
        <v>2171.27</v>
      </c>
      <c r="D349" s="7">
        <v>2194.98</v>
      </c>
      <c r="E349" s="7">
        <v>2147.5500000000002</v>
      </c>
      <c r="F349" s="7">
        <v>2188.69</v>
      </c>
      <c r="G349" s="7">
        <v>18275</v>
      </c>
      <c r="H349" s="7">
        <f t="shared" si="7"/>
        <v>1.0517706938853826E-2</v>
      </c>
      <c r="I349" s="7">
        <f>PRODUCT(fact_daily_prices!$F349,fact_daily_prices!$G349)</f>
        <v>39998309.75</v>
      </c>
      <c r="J349" s="7" t="str">
        <f>_xlfn.XLOOKUP(fact_daily_prices!$B349,dim_company[company_id],dim_company[sector_id])</f>
        <v>SEC02</v>
      </c>
      <c r="K349" s="21" t="str">
        <f>_xlfn.XLOOKUP(fact_daily_prices!$J349,dim_sector[sector_id],dim_sector[sector_name])</f>
        <v>Financials</v>
      </c>
      <c r="L349" t="str">
        <v>COMP003-06-05-2025</v>
      </c>
      <c r="M349" t="str">
        <f>_xlfn.CONCAT(A348," ",B348)</f>
        <v>45782 COMP003</v>
      </c>
    </row>
    <row r="350" spans="1:13" x14ac:dyDescent="0.3">
      <c r="A350" s="17">
        <v>45784</v>
      </c>
      <c r="B350" s="18" t="s">
        <v>14</v>
      </c>
      <c r="C350" s="18">
        <v>2213.29</v>
      </c>
      <c r="D350" s="18">
        <v>2249.77</v>
      </c>
      <c r="E350" s="18">
        <v>2176.81</v>
      </c>
      <c r="F350" s="18">
        <v>2219.87</v>
      </c>
      <c r="G350" s="18">
        <v>42974</v>
      </c>
      <c r="H350" s="18">
        <f t="shared" si="7"/>
        <v>1.4045867550802451E-2</v>
      </c>
      <c r="I350" s="18">
        <f>PRODUCT(fact_daily_prices!$F350,fact_daily_prices!$G350)</f>
        <v>95396693.379999995</v>
      </c>
      <c r="J350" s="18" t="str">
        <f>_xlfn.XLOOKUP(fact_daily_prices!$B350,dim_company[company_id],dim_company[sector_id])</f>
        <v>SEC02</v>
      </c>
      <c r="K350" s="19" t="str">
        <f>_xlfn.XLOOKUP(fact_daily_prices!$J350,dim_sector[sector_id],dim_sector[sector_name])</f>
        <v>Financials</v>
      </c>
      <c r="L350" t="str">
        <v>COMP003-07-05-2025</v>
      </c>
      <c r="M350" t="str">
        <f>_xlfn.CONCAT(A349," ",B349)</f>
        <v>45783 COMP003</v>
      </c>
    </row>
    <row r="351" spans="1:13" x14ac:dyDescent="0.3">
      <c r="A351" s="20">
        <v>45785</v>
      </c>
      <c r="B351" s="7" t="s">
        <v>14</v>
      </c>
      <c r="C351" s="7">
        <v>2229.1999999999998</v>
      </c>
      <c r="D351" s="7">
        <v>2254.0300000000002</v>
      </c>
      <c r="E351" s="7">
        <v>2204.37</v>
      </c>
      <c r="F351" s="7">
        <v>2224.11</v>
      </c>
      <c r="G351" s="7">
        <v>38380</v>
      </c>
      <c r="H351" s="7">
        <f t="shared" si="7"/>
        <v>1.9063805297400921E-3</v>
      </c>
      <c r="I351" s="7">
        <f>PRODUCT(fact_daily_prices!$F351,fact_daily_prices!$G351)</f>
        <v>85361341.800000012</v>
      </c>
      <c r="J351" s="7" t="str">
        <f>_xlfn.XLOOKUP(fact_daily_prices!$B351,dim_company[company_id],dim_company[sector_id])</f>
        <v>SEC02</v>
      </c>
      <c r="K351" s="21" t="str">
        <f>_xlfn.XLOOKUP(fact_daily_prices!$J351,dim_sector[sector_id],dim_sector[sector_name])</f>
        <v>Financials</v>
      </c>
      <c r="L351" t="str">
        <v>COMP003-08-05-2025</v>
      </c>
      <c r="M351" t="str">
        <f>_xlfn.CONCAT(A350," ",B350)</f>
        <v>45784 COMP003</v>
      </c>
    </row>
    <row r="352" spans="1:13" x14ac:dyDescent="0.3">
      <c r="A352" s="17">
        <v>45786</v>
      </c>
      <c r="B352" s="18" t="s">
        <v>14</v>
      </c>
      <c r="C352" s="18">
        <v>2244.84</v>
      </c>
      <c r="D352" s="18">
        <v>2272</v>
      </c>
      <c r="E352" s="18">
        <v>2217.67</v>
      </c>
      <c r="F352" s="18">
        <v>2229.0500000000002</v>
      </c>
      <c r="G352" s="18">
        <v>49320</v>
      </c>
      <c r="H352" s="18">
        <f t="shared" si="7"/>
        <v>2.2161907539086402E-3</v>
      </c>
      <c r="I352" s="18">
        <f>PRODUCT(fact_daily_prices!$F352,fact_daily_prices!$G352)</f>
        <v>109936746.00000001</v>
      </c>
      <c r="J352" s="18" t="str">
        <f>_xlfn.XLOOKUP(fact_daily_prices!$B352,dim_company[company_id],dim_company[sector_id])</f>
        <v>SEC02</v>
      </c>
      <c r="K352" s="19" t="str">
        <f>_xlfn.XLOOKUP(fact_daily_prices!$J352,dim_sector[sector_id],dim_sector[sector_name])</f>
        <v>Financials</v>
      </c>
      <c r="L352" t="str">
        <v>COMP003-09-05-2025</v>
      </c>
      <c r="M352" t="str">
        <f>_xlfn.CONCAT(A351," ",B351)</f>
        <v>45785 COMP003</v>
      </c>
    </row>
    <row r="353" spans="1:13" x14ac:dyDescent="0.3">
      <c r="A353" s="20">
        <v>45789</v>
      </c>
      <c r="B353" s="7" t="s">
        <v>14</v>
      </c>
      <c r="C353" s="7">
        <v>2276.33</v>
      </c>
      <c r="D353" s="7">
        <v>2316.9499999999998</v>
      </c>
      <c r="E353" s="7">
        <v>2235.6999999999998</v>
      </c>
      <c r="F353" s="7">
        <v>2278.75</v>
      </c>
      <c r="G353" s="7">
        <v>23473</v>
      </c>
      <c r="H353" s="7">
        <f t="shared" si="7"/>
        <v>2.1810202962150221E-2</v>
      </c>
      <c r="I353" s="7">
        <f>PRODUCT(fact_daily_prices!$F353,fact_daily_prices!$G353)</f>
        <v>53489098.75</v>
      </c>
      <c r="J353" s="7" t="str">
        <f>_xlfn.XLOOKUP(fact_daily_prices!$B353,dim_company[company_id],dim_company[sector_id])</f>
        <v>SEC02</v>
      </c>
      <c r="K353" s="21" t="str">
        <f>_xlfn.XLOOKUP(fact_daily_prices!$J353,dim_sector[sector_id],dim_sector[sector_name])</f>
        <v>Financials</v>
      </c>
      <c r="L353" t="str">
        <v>COMP003-12-05-2025</v>
      </c>
      <c r="M353" t="str">
        <f>_xlfn.CONCAT(A352," ",B352)</f>
        <v>45786 COMP003</v>
      </c>
    </row>
    <row r="354" spans="1:13" x14ac:dyDescent="0.3">
      <c r="A354" s="17">
        <v>45790</v>
      </c>
      <c r="B354" s="18" t="s">
        <v>14</v>
      </c>
      <c r="C354" s="18">
        <v>2263.3200000000002</v>
      </c>
      <c r="D354" s="18">
        <v>2269.25</v>
      </c>
      <c r="E354" s="18">
        <v>2257.38</v>
      </c>
      <c r="F354" s="18">
        <v>2268.46</v>
      </c>
      <c r="G354" s="18">
        <v>25089</v>
      </c>
      <c r="H354" s="18">
        <f t="shared" si="7"/>
        <v>-4.5361170133041634E-3</v>
      </c>
      <c r="I354" s="18">
        <f>PRODUCT(fact_daily_prices!$F354,fact_daily_prices!$G354)</f>
        <v>56913392.939999998</v>
      </c>
      <c r="J354" s="18" t="str">
        <f>_xlfn.XLOOKUP(fact_daily_prices!$B354,dim_company[company_id],dim_company[sector_id])</f>
        <v>SEC02</v>
      </c>
      <c r="K354" s="19" t="str">
        <f>_xlfn.XLOOKUP(fact_daily_prices!$J354,dim_sector[sector_id],dim_sector[sector_name])</f>
        <v>Financials</v>
      </c>
      <c r="L354" t="str">
        <v>COMP003-13-05-2025</v>
      </c>
      <c r="M354" t="str">
        <f>_xlfn.CONCAT(A353," ",B353)</f>
        <v>45789 COMP003</v>
      </c>
    </row>
    <row r="355" spans="1:13" x14ac:dyDescent="0.3">
      <c r="A355" s="20">
        <v>45791</v>
      </c>
      <c r="B355" s="7" t="s">
        <v>14</v>
      </c>
      <c r="C355" s="7">
        <v>2291.5</v>
      </c>
      <c r="D355" s="7">
        <v>2324.39</v>
      </c>
      <c r="E355" s="7">
        <v>2258.61</v>
      </c>
      <c r="F355" s="7">
        <v>2284.6799999999998</v>
      </c>
      <c r="G355" s="7">
        <v>30259</v>
      </c>
      <c r="H355" s="7">
        <f t="shared" si="7"/>
        <v>7.0994625067842326E-3</v>
      </c>
      <c r="I355" s="7">
        <f>PRODUCT(fact_daily_prices!$F355,fact_daily_prices!$G355)</f>
        <v>69132132.11999999</v>
      </c>
      <c r="J355" s="7" t="str">
        <f>_xlfn.XLOOKUP(fact_daily_prices!$B355,dim_company[company_id],dim_company[sector_id])</f>
        <v>SEC02</v>
      </c>
      <c r="K355" s="21" t="str">
        <f>_xlfn.XLOOKUP(fact_daily_prices!$J355,dim_sector[sector_id],dim_sector[sector_name])</f>
        <v>Financials</v>
      </c>
      <c r="L355" t="str">
        <v>COMP003-14-05-2025</v>
      </c>
      <c r="M355" t="str">
        <f>_xlfn.CONCAT(A354," ",B354)</f>
        <v>45790 COMP003</v>
      </c>
    </row>
    <row r="356" spans="1:13" x14ac:dyDescent="0.3">
      <c r="A356" s="17">
        <v>45792</v>
      </c>
      <c r="B356" s="18" t="s">
        <v>14</v>
      </c>
      <c r="C356" s="18">
        <v>2262.0300000000002</v>
      </c>
      <c r="D356" s="18">
        <v>2282.73</v>
      </c>
      <c r="E356" s="18">
        <v>2241.34</v>
      </c>
      <c r="F356" s="18">
        <v>2277.5700000000002</v>
      </c>
      <c r="G356" s="18">
        <v>31659</v>
      </c>
      <c r="H356" s="18">
        <f t="shared" si="7"/>
        <v>-3.1217481789800848E-3</v>
      </c>
      <c r="I356" s="18">
        <f>PRODUCT(fact_daily_prices!$F356,fact_daily_prices!$G356)</f>
        <v>72105588.63000001</v>
      </c>
      <c r="J356" s="18" t="str">
        <f>_xlfn.XLOOKUP(fact_daily_prices!$B356,dim_company[company_id],dim_company[sector_id])</f>
        <v>SEC02</v>
      </c>
      <c r="K356" s="19" t="str">
        <f>_xlfn.XLOOKUP(fact_daily_prices!$J356,dim_sector[sector_id],dim_sector[sector_name])</f>
        <v>Financials</v>
      </c>
      <c r="L356" t="str">
        <v>COMP003-15-05-2025</v>
      </c>
      <c r="M356" t="str">
        <f>_xlfn.CONCAT(A355," ",B355)</f>
        <v>45791 COMP003</v>
      </c>
    </row>
    <row r="357" spans="1:13" x14ac:dyDescent="0.3">
      <c r="A357" s="20">
        <v>45793</v>
      </c>
      <c r="B357" s="7" t="s">
        <v>14</v>
      </c>
      <c r="C357" s="7">
        <v>2280.88</v>
      </c>
      <c r="D357" s="7">
        <v>2301.14</v>
      </c>
      <c r="E357" s="7">
        <v>2260.63</v>
      </c>
      <c r="F357" s="7">
        <v>2270.42</v>
      </c>
      <c r="G357" s="7">
        <v>48055</v>
      </c>
      <c r="H357" s="7">
        <f t="shared" si="7"/>
        <v>-3.1491970648602863E-3</v>
      </c>
      <c r="I357" s="7">
        <f>PRODUCT(fact_daily_prices!$F357,fact_daily_prices!$G357)</f>
        <v>109105033.10000001</v>
      </c>
      <c r="J357" s="7" t="str">
        <f>_xlfn.XLOOKUP(fact_daily_prices!$B357,dim_company[company_id],dim_company[sector_id])</f>
        <v>SEC02</v>
      </c>
      <c r="K357" s="21" t="str">
        <f>_xlfn.XLOOKUP(fact_daily_prices!$J357,dim_sector[sector_id],dim_sector[sector_name])</f>
        <v>Financials</v>
      </c>
      <c r="L357" t="str">
        <v>COMP003-16-05-2025</v>
      </c>
      <c r="M357" t="str">
        <f>_xlfn.CONCAT(A356," ",B356)</f>
        <v>45792 COMP003</v>
      </c>
    </row>
    <row r="358" spans="1:13" x14ac:dyDescent="0.3">
      <c r="A358" s="17">
        <v>45796</v>
      </c>
      <c r="B358" s="18" t="s">
        <v>14</v>
      </c>
      <c r="C358" s="18">
        <v>2241.34</v>
      </c>
      <c r="D358" s="18">
        <v>2274.77</v>
      </c>
      <c r="E358" s="18">
        <v>2207.91</v>
      </c>
      <c r="F358" s="18">
        <v>2237.7600000000002</v>
      </c>
      <c r="G358" s="18">
        <v>27984</v>
      </c>
      <c r="H358" s="18">
        <f t="shared" si="7"/>
        <v>-1.4594952094952028E-2</v>
      </c>
      <c r="I358" s="18">
        <f>PRODUCT(fact_daily_prices!$F358,fact_daily_prices!$G358)</f>
        <v>62621475.840000004</v>
      </c>
      <c r="J358" s="18" t="str">
        <f>_xlfn.XLOOKUP(fact_daily_prices!$B358,dim_company[company_id],dim_company[sector_id])</f>
        <v>SEC02</v>
      </c>
      <c r="K358" s="19" t="str">
        <f>_xlfn.XLOOKUP(fact_daily_prices!$J358,dim_sector[sector_id],dim_sector[sector_name])</f>
        <v>Financials</v>
      </c>
      <c r="L358" t="str">
        <v>COMP003-19-05-2025</v>
      </c>
      <c r="M358" t="str">
        <f>_xlfn.CONCAT(A357," ",B357)</f>
        <v>45793 COMP003</v>
      </c>
    </row>
    <row r="359" spans="1:13" x14ac:dyDescent="0.3">
      <c r="A359" s="20">
        <v>45797</v>
      </c>
      <c r="B359" s="7" t="s">
        <v>14</v>
      </c>
      <c r="C359" s="7">
        <v>2205.23</v>
      </c>
      <c r="D359" s="7">
        <v>2222.1799999999998</v>
      </c>
      <c r="E359" s="7">
        <v>2188.2800000000002</v>
      </c>
      <c r="F359" s="7">
        <v>2217.4499999999998</v>
      </c>
      <c r="G359" s="7">
        <v>38873</v>
      </c>
      <c r="H359" s="7">
        <f t="shared" si="7"/>
        <v>-9.1591693161065194E-3</v>
      </c>
      <c r="I359" s="7">
        <f>PRODUCT(fact_daily_prices!$F359,fact_daily_prices!$G359)</f>
        <v>86198933.849999994</v>
      </c>
      <c r="J359" s="7" t="str">
        <f>_xlfn.XLOOKUP(fact_daily_prices!$B359,dim_company[company_id],dim_company[sector_id])</f>
        <v>SEC02</v>
      </c>
      <c r="K359" s="21" t="str">
        <f>_xlfn.XLOOKUP(fact_daily_prices!$J359,dim_sector[sector_id],dim_sector[sector_name])</f>
        <v>Financials</v>
      </c>
      <c r="L359" t="str">
        <v>COMP003-20-05-2025</v>
      </c>
      <c r="M359" t="str">
        <f>_xlfn.CONCAT(A358," ",B358)</f>
        <v>45796 COMP003</v>
      </c>
    </row>
    <row r="360" spans="1:13" x14ac:dyDescent="0.3">
      <c r="A360" s="17">
        <v>45798</v>
      </c>
      <c r="B360" s="18" t="s">
        <v>14</v>
      </c>
      <c r="C360" s="18">
        <v>2198.48</v>
      </c>
      <c r="D360" s="18">
        <v>2218.7199999999998</v>
      </c>
      <c r="E360" s="18">
        <v>2178.25</v>
      </c>
      <c r="F360" s="18">
        <v>2192.19</v>
      </c>
      <c r="G360" s="18">
        <v>8848</v>
      </c>
      <c r="H360" s="18">
        <f t="shared" si="7"/>
        <v>-1.1522723851490866E-2</v>
      </c>
      <c r="I360" s="18">
        <f>PRODUCT(fact_daily_prices!$F360,fact_daily_prices!$G360)</f>
        <v>19396497.120000001</v>
      </c>
      <c r="J360" s="18" t="str">
        <f>_xlfn.XLOOKUP(fact_daily_prices!$B360,dim_company[company_id],dim_company[sector_id])</f>
        <v>SEC02</v>
      </c>
      <c r="K360" s="19" t="str">
        <f>_xlfn.XLOOKUP(fact_daily_prices!$J360,dim_sector[sector_id],dim_sector[sector_name])</f>
        <v>Financials</v>
      </c>
      <c r="L360" t="str">
        <v>COMP003-21-05-2025</v>
      </c>
      <c r="M360" t="str">
        <f>_xlfn.CONCAT(A359," ",B359)</f>
        <v>45797 COMP003</v>
      </c>
    </row>
    <row r="361" spans="1:13" x14ac:dyDescent="0.3">
      <c r="A361" s="20">
        <v>45799</v>
      </c>
      <c r="B361" s="7" t="s">
        <v>14</v>
      </c>
      <c r="C361" s="7">
        <v>2214.52</v>
      </c>
      <c r="D361" s="7">
        <v>2253.09</v>
      </c>
      <c r="E361" s="7">
        <v>2175.9499999999998</v>
      </c>
      <c r="F361" s="7">
        <v>2209.1999999999998</v>
      </c>
      <c r="G361" s="7">
        <v>20614</v>
      </c>
      <c r="H361" s="7">
        <f t="shared" si="7"/>
        <v>7.6996197718630114E-3</v>
      </c>
      <c r="I361" s="7">
        <f>PRODUCT(fact_daily_prices!$F361,fact_daily_prices!$G361)</f>
        <v>45540448.799999997</v>
      </c>
      <c r="J361" s="7" t="str">
        <f>_xlfn.XLOOKUP(fact_daily_prices!$B361,dim_company[company_id],dim_company[sector_id])</f>
        <v>SEC02</v>
      </c>
      <c r="K361" s="21" t="str">
        <f>_xlfn.XLOOKUP(fact_daily_prices!$J361,dim_sector[sector_id],dim_sector[sector_name])</f>
        <v>Financials</v>
      </c>
      <c r="L361" t="str">
        <v>COMP003-22-05-2025</v>
      </c>
      <c r="M361" t="str">
        <f>_xlfn.CONCAT(A360," ",B360)</f>
        <v>45798 COMP003</v>
      </c>
    </row>
    <row r="362" spans="1:13" x14ac:dyDescent="0.3">
      <c r="A362" s="17">
        <v>45800</v>
      </c>
      <c r="B362" s="18" t="s">
        <v>14</v>
      </c>
      <c r="C362" s="18">
        <v>2235.7399999999998</v>
      </c>
      <c r="D362" s="18">
        <v>2271.94</v>
      </c>
      <c r="E362" s="18">
        <v>2199.5300000000002</v>
      </c>
      <c r="F362" s="18">
        <v>2238.87</v>
      </c>
      <c r="G362" s="18">
        <v>49508</v>
      </c>
      <c r="H362" s="18">
        <f t="shared" si="7"/>
        <v>1.325222098647982E-2</v>
      </c>
      <c r="I362" s="18">
        <f>PRODUCT(fact_daily_prices!$F362,fact_daily_prices!$G362)</f>
        <v>110841975.95999999</v>
      </c>
      <c r="J362" s="18" t="str">
        <f>_xlfn.XLOOKUP(fact_daily_prices!$B362,dim_company[company_id],dim_company[sector_id])</f>
        <v>SEC02</v>
      </c>
      <c r="K362" s="19" t="str">
        <f>_xlfn.XLOOKUP(fact_daily_prices!$J362,dim_sector[sector_id],dim_sector[sector_name])</f>
        <v>Financials</v>
      </c>
      <c r="L362" t="str">
        <v>COMP003-23-05-2025</v>
      </c>
      <c r="M362" t="str">
        <f>_xlfn.CONCAT(A361," ",B361)</f>
        <v>45799 COMP003</v>
      </c>
    </row>
    <row r="363" spans="1:13" x14ac:dyDescent="0.3">
      <c r="A363" s="20">
        <v>45803</v>
      </c>
      <c r="B363" s="7" t="s">
        <v>14</v>
      </c>
      <c r="C363" s="7">
        <v>2233.14</v>
      </c>
      <c r="D363" s="7">
        <v>2270.96</v>
      </c>
      <c r="E363" s="7">
        <v>2195.3200000000002</v>
      </c>
      <c r="F363" s="7">
        <v>2236.73</v>
      </c>
      <c r="G363" s="7">
        <v>5114</v>
      </c>
      <c r="H363" s="7">
        <f t="shared" si="7"/>
        <v>-9.5675383260378883E-4</v>
      </c>
      <c r="I363" s="7">
        <f>PRODUCT(fact_daily_prices!$F363,fact_daily_prices!$G363)</f>
        <v>11438637.220000001</v>
      </c>
      <c r="J363" s="7" t="str">
        <f>_xlfn.XLOOKUP(fact_daily_prices!$B363,dim_company[company_id],dim_company[sector_id])</f>
        <v>SEC02</v>
      </c>
      <c r="K363" s="21" t="str">
        <f>_xlfn.XLOOKUP(fact_daily_prices!$J363,dim_sector[sector_id],dim_sector[sector_name])</f>
        <v>Financials</v>
      </c>
      <c r="L363" t="str">
        <v>COMP003-26-05-2025</v>
      </c>
      <c r="M363" t="str">
        <f>_xlfn.CONCAT(A362," ",B362)</f>
        <v>45800 COMP003</v>
      </c>
    </row>
    <row r="364" spans="1:13" x14ac:dyDescent="0.3">
      <c r="A364" s="17">
        <v>45804</v>
      </c>
      <c r="B364" s="18" t="s">
        <v>14</v>
      </c>
      <c r="C364" s="18">
        <v>2244.77</v>
      </c>
      <c r="D364" s="18">
        <v>2280</v>
      </c>
      <c r="E364" s="18">
        <v>2209.54</v>
      </c>
      <c r="F364" s="18">
        <v>2243.75</v>
      </c>
      <c r="G364" s="18">
        <v>34768</v>
      </c>
      <c r="H364" s="18">
        <f t="shared" si="7"/>
        <v>3.1286908077994349E-3</v>
      </c>
      <c r="I364" s="18">
        <f>PRODUCT(fact_daily_prices!$F364,fact_daily_prices!$G364)</f>
        <v>78010700</v>
      </c>
      <c r="J364" s="18" t="str">
        <f>_xlfn.XLOOKUP(fact_daily_prices!$B364,dim_company[company_id],dim_company[sector_id])</f>
        <v>SEC02</v>
      </c>
      <c r="K364" s="19" t="str">
        <f>_xlfn.XLOOKUP(fact_daily_prices!$J364,dim_sector[sector_id],dim_sector[sector_name])</f>
        <v>Financials</v>
      </c>
      <c r="L364" t="str">
        <v>COMP003-27-05-2025</v>
      </c>
      <c r="M364" t="str">
        <f>_xlfn.CONCAT(A363," ",B363)</f>
        <v>45803 COMP003</v>
      </c>
    </row>
    <row r="365" spans="1:13" x14ac:dyDescent="0.3">
      <c r="A365" s="20">
        <v>45805</v>
      </c>
      <c r="B365" s="7" t="s">
        <v>14</v>
      </c>
      <c r="C365" s="7">
        <v>2227.62</v>
      </c>
      <c r="D365" s="7">
        <v>2254.19</v>
      </c>
      <c r="E365" s="7">
        <v>2201.0500000000002</v>
      </c>
      <c r="F365" s="7">
        <v>2239.98</v>
      </c>
      <c r="G365" s="7">
        <v>4712</v>
      </c>
      <c r="H365" s="7">
        <f t="shared" si="7"/>
        <v>-1.6830507415244698E-3</v>
      </c>
      <c r="I365" s="7">
        <f>PRODUCT(fact_daily_prices!$F365,fact_daily_prices!$G365)</f>
        <v>10554785.76</v>
      </c>
      <c r="J365" s="7" t="str">
        <f>_xlfn.XLOOKUP(fact_daily_prices!$B365,dim_company[company_id],dim_company[sector_id])</f>
        <v>SEC02</v>
      </c>
      <c r="K365" s="21" t="str">
        <f>_xlfn.XLOOKUP(fact_daily_prices!$J365,dim_sector[sector_id],dim_sector[sector_name])</f>
        <v>Financials</v>
      </c>
      <c r="L365" t="str">
        <v>COMP003-28-05-2025</v>
      </c>
      <c r="M365" t="str">
        <f>_xlfn.CONCAT(A364," ",B364)</f>
        <v>45804 COMP003</v>
      </c>
    </row>
    <row r="366" spans="1:13" x14ac:dyDescent="0.3">
      <c r="A366" s="17">
        <v>45806</v>
      </c>
      <c r="B366" s="18" t="s">
        <v>14</v>
      </c>
      <c r="C366" s="18">
        <v>2208.33</v>
      </c>
      <c r="D366" s="18">
        <v>2223.0700000000002</v>
      </c>
      <c r="E366" s="18">
        <v>2193.59</v>
      </c>
      <c r="F366" s="18">
        <v>2217.7399999999998</v>
      </c>
      <c r="G366" s="18">
        <v>27200</v>
      </c>
      <c r="H366" s="18">
        <f t="shared" si="7"/>
        <v>-1.0028226933725432E-2</v>
      </c>
      <c r="I366" s="18">
        <f>PRODUCT(fact_daily_prices!$F366,fact_daily_prices!$G366)</f>
        <v>60322527.999999993</v>
      </c>
      <c r="J366" s="18" t="str">
        <f>_xlfn.XLOOKUP(fact_daily_prices!$B366,dim_company[company_id],dim_company[sector_id])</f>
        <v>SEC02</v>
      </c>
      <c r="K366" s="19" t="str">
        <f>_xlfn.XLOOKUP(fact_daily_prices!$J366,dim_sector[sector_id],dim_sector[sector_name])</f>
        <v>Financials</v>
      </c>
      <c r="L366" t="str">
        <v>COMP003-29-05-2025</v>
      </c>
      <c r="M366" t="str">
        <f>_xlfn.CONCAT(A365," ",B365)</f>
        <v>45805 COMP003</v>
      </c>
    </row>
    <row r="367" spans="1:13" x14ac:dyDescent="0.3">
      <c r="A367" s="20">
        <v>45807</v>
      </c>
      <c r="B367" s="7" t="s">
        <v>14</v>
      </c>
      <c r="C367" s="7">
        <v>2235.73</v>
      </c>
      <c r="D367" s="7">
        <v>2257.2199999999998</v>
      </c>
      <c r="E367" s="7">
        <v>2214.23</v>
      </c>
      <c r="F367" s="7">
        <v>2242.5</v>
      </c>
      <c r="G367" s="7">
        <v>38574</v>
      </c>
      <c r="H367" s="7">
        <f t="shared" si="7"/>
        <v>1.1041248606466094E-2</v>
      </c>
      <c r="I367" s="7">
        <f>PRODUCT(fact_daily_prices!$F367,fact_daily_prices!$G367)</f>
        <v>86502195</v>
      </c>
      <c r="J367" s="7" t="str">
        <f>_xlfn.XLOOKUP(fact_daily_prices!$B367,dim_company[company_id],dim_company[sector_id])</f>
        <v>SEC02</v>
      </c>
      <c r="K367" s="21" t="str">
        <f>_xlfn.XLOOKUP(fact_daily_prices!$J367,dim_sector[sector_id],dim_sector[sector_name])</f>
        <v>Financials</v>
      </c>
      <c r="L367" t="str">
        <v>COMP003-30-05-2025</v>
      </c>
      <c r="M367" t="str">
        <f>_xlfn.CONCAT(A366," ",B366)</f>
        <v>45806 COMP003</v>
      </c>
    </row>
    <row r="368" spans="1:13" x14ac:dyDescent="0.3">
      <c r="A368" s="17">
        <v>45810</v>
      </c>
      <c r="B368" s="18" t="s">
        <v>14</v>
      </c>
      <c r="C368" s="18">
        <v>2265.69</v>
      </c>
      <c r="D368" s="18">
        <v>2287.0300000000002</v>
      </c>
      <c r="E368" s="18">
        <v>2244.34</v>
      </c>
      <c r="F368" s="18">
        <v>2261.5500000000002</v>
      </c>
      <c r="G368" s="18">
        <v>32324</v>
      </c>
      <c r="H368" s="18">
        <f t="shared" si="7"/>
        <v>8.4234264110898197E-3</v>
      </c>
      <c r="I368" s="18">
        <f>PRODUCT(fact_daily_prices!$F368,fact_daily_prices!$G368)</f>
        <v>73102342.200000003</v>
      </c>
      <c r="J368" s="18" t="str">
        <f>_xlfn.XLOOKUP(fact_daily_prices!$B368,dim_company[company_id],dim_company[sector_id])</f>
        <v>SEC02</v>
      </c>
      <c r="K368" s="19" t="str">
        <f>_xlfn.XLOOKUP(fact_daily_prices!$J368,dim_sector[sector_id],dim_sector[sector_name])</f>
        <v>Financials</v>
      </c>
      <c r="L368" t="str">
        <v>COMP003-02-06-2025</v>
      </c>
      <c r="M368" t="str">
        <f>_xlfn.CONCAT(A367," ",B367)</f>
        <v>45807 COMP003</v>
      </c>
    </row>
    <row r="369" spans="1:13" x14ac:dyDescent="0.3">
      <c r="A369" s="20">
        <v>45811</v>
      </c>
      <c r="B369" s="7" t="s">
        <v>14</v>
      </c>
      <c r="C369" s="7">
        <v>2213.4499999999998</v>
      </c>
      <c r="D369" s="7">
        <v>2228.61</v>
      </c>
      <c r="E369" s="7">
        <v>2198.29</v>
      </c>
      <c r="F369" s="7">
        <v>2208.79</v>
      </c>
      <c r="G369" s="7">
        <v>29144</v>
      </c>
      <c r="H369" s="7">
        <f t="shared" si="7"/>
        <v>-2.3886381231353011E-2</v>
      </c>
      <c r="I369" s="7">
        <f>PRODUCT(fact_daily_prices!$F369,fact_daily_prices!$G369)</f>
        <v>64372975.759999998</v>
      </c>
      <c r="J369" s="7" t="str">
        <f>_xlfn.XLOOKUP(fact_daily_prices!$B369,dim_company[company_id],dim_company[sector_id])</f>
        <v>SEC02</v>
      </c>
      <c r="K369" s="21" t="str">
        <f>_xlfn.XLOOKUP(fact_daily_prices!$J369,dim_sector[sector_id],dim_sector[sector_name])</f>
        <v>Financials</v>
      </c>
      <c r="L369" t="str">
        <v>COMP003-03-06-2025</v>
      </c>
      <c r="M369" t="str">
        <f>_xlfn.CONCAT(A368," ",B368)</f>
        <v>45810 COMP003</v>
      </c>
    </row>
    <row r="370" spans="1:13" x14ac:dyDescent="0.3">
      <c r="A370" s="17">
        <v>45812</v>
      </c>
      <c r="B370" s="18" t="s">
        <v>14</v>
      </c>
      <c r="C370" s="18">
        <v>2210.91</v>
      </c>
      <c r="D370" s="18">
        <v>2221.0100000000002</v>
      </c>
      <c r="E370" s="18">
        <v>2200.8000000000002</v>
      </c>
      <c r="F370" s="18">
        <v>2201.4499999999998</v>
      </c>
      <c r="G370" s="18">
        <v>45298</v>
      </c>
      <c r="H370" s="18">
        <f t="shared" si="7"/>
        <v>-3.3341661177860712E-3</v>
      </c>
      <c r="I370" s="18">
        <f>PRODUCT(fact_daily_prices!$F370,fact_daily_prices!$G370)</f>
        <v>99721282.099999994</v>
      </c>
      <c r="J370" s="18" t="str">
        <f>_xlfn.XLOOKUP(fact_daily_prices!$B370,dim_company[company_id],dim_company[sector_id])</f>
        <v>SEC02</v>
      </c>
      <c r="K370" s="19" t="str">
        <f>_xlfn.XLOOKUP(fact_daily_prices!$J370,dim_sector[sector_id],dim_sector[sector_name])</f>
        <v>Financials</v>
      </c>
      <c r="L370" t="str">
        <v>COMP003-04-06-2025</v>
      </c>
      <c r="M370" t="str">
        <f>_xlfn.CONCAT(A369," ",B369)</f>
        <v>45811 COMP003</v>
      </c>
    </row>
    <row r="371" spans="1:13" x14ac:dyDescent="0.3">
      <c r="A371" s="20">
        <v>45813</v>
      </c>
      <c r="B371" s="7" t="s">
        <v>14</v>
      </c>
      <c r="C371" s="7">
        <v>2176.23</v>
      </c>
      <c r="D371" s="7">
        <v>2203.92</v>
      </c>
      <c r="E371" s="7">
        <v>2148.5300000000002</v>
      </c>
      <c r="F371" s="7">
        <v>2177.64</v>
      </c>
      <c r="G371" s="7">
        <v>26537</v>
      </c>
      <c r="H371" s="7">
        <f t="shared" si="7"/>
        <v>-1.0933854998989707E-2</v>
      </c>
      <c r="I371" s="7">
        <f>PRODUCT(fact_daily_prices!$F371,fact_daily_prices!$G371)</f>
        <v>57788032.68</v>
      </c>
      <c r="J371" s="7" t="str">
        <f>_xlfn.XLOOKUP(fact_daily_prices!$B371,dim_company[company_id],dim_company[sector_id])</f>
        <v>SEC02</v>
      </c>
      <c r="K371" s="21" t="str">
        <f>_xlfn.XLOOKUP(fact_daily_prices!$J371,dim_sector[sector_id],dim_sector[sector_name])</f>
        <v>Financials</v>
      </c>
      <c r="L371" t="str">
        <v>COMP003-05-06-2025</v>
      </c>
      <c r="M371" t="str">
        <f>_xlfn.CONCAT(A370," ",B370)</f>
        <v>45812 COMP003</v>
      </c>
    </row>
    <row r="372" spans="1:13" x14ac:dyDescent="0.3">
      <c r="A372" s="17">
        <v>45814</v>
      </c>
      <c r="B372" s="18" t="s">
        <v>14</v>
      </c>
      <c r="C372" s="18">
        <v>2169.27</v>
      </c>
      <c r="D372" s="18">
        <v>2187.5500000000002</v>
      </c>
      <c r="E372" s="18">
        <v>2150.9899999999998</v>
      </c>
      <c r="F372" s="18">
        <v>2167.4499999999998</v>
      </c>
      <c r="G372" s="18">
        <v>29441</v>
      </c>
      <c r="H372" s="18">
        <f t="shared" si="7"/>
        <v>-4.701377194398974E-3</v>
      </c>
      <c r="I372" s="18">
        <f>PRODUCT(fact_daily_prices!$F372,fact_daily_prices!$G372)</f>
        <v>63811895.449999996</v>
      </c>
      <c r="J372" s="18" t="str">
        <f>_xlfn.XLOOKUP(fact_daily_prices!$B372,dim_company[company_id],dim_company[sector_id])</f>
        <v>SEC02</v>
      </c>
      <c r="K372" s="19" t="str">
        <f>_xlfn.XLOOKUP(fact_daily_prices!$J372,dim_sector[sector_id],dim_sector[sector_name])</f>
        <v>Financials</v>
      </c>
      <c r="L372" t="str">
        <v>COMP003-06-06-2025</v>
      </c>
      <c r="M372" t="str">
        <f>_xlfn.CONCAT(A371," ",B371)</f>
        <v>45813 COMP003</v>
      </c>
    </row>
    <row r="373" spans="1:13" x14ac:dyDescent="0.3">
      <c r="A373" s="20">
        <v>45817</v>
      </c>
      <c r="B373" s="7" t="s">
        <v>14</v>
      </c>
      <c r="C373" s="7">
        <v>2151.98</v>
      </c>
      <c r="D373" s="7">
        <v>2190.64</v>
      </c>
      <c r="E373" s="7">
        <v>2113.31</v>
      </c>
      <c r="F373" s="7">
        <v>2149.73</v>
      </c>
      <c r="G373" s="7">
        <v>27523</v>
      </c>
      <c r="H373" s="7">
        <f t="shared" si="7"/>
        <v>-8.2428956194497919E-3</v>
      </c>
      <c r="I373" s="7">
        <f>PRODUCT(fact_daily_prices!$F373,fact_daily_prices!$G373)</f>
        <v>59167018.789999999</v>
      </c>
      <c r="J373" s="7" t="str">
        <f>_xlfn.XLOOKUP(fact_daily_prices!$B373,dim_company[company_id],dim_company[sector_id])</f>
        <v>SEC02</v>
      </c>
      <c r="K373" s="21" t="str">
        <f>_xlfn.XLOOKUP(fact_daily_prices!$J373,dim_sector[sector_id],dim_sector[sector_name])</f>
        <v>Financials</v>
      </c>
      <c r="L373" t="str">
        <v>COMP003-09-06-2025</v>
      </c>
      <c r="M373" t="str">
        <f>_xlfn.CONCAT(A372," ",B372)</f>
        <v>45814 COMP003</v>
      </c>
    </row>
    <row r="374" spans="1:13" x14ac:dyDescent="0.3">
      <c r="A374" s="17">
        <v>45818</v>
      </c>
      <c r="B374" s="18" t="s">
        <v>14</v>
      </c>
      <c r="C374" s="18">
        <v>2142.21</v>
      </c>
      <c r="D374" s="18">
        <v>2150.09</v>
      </c>
      <c r="E374" s="18">
        <v>2134.3200000000002</v>
      </c>
      <c r="F374" s="18">
        <v>2148.9899999999998</v>
      </c>
      <c r="G374" s="18">
        <v>33779</v>
      </c>
      <c r="H374" s="18">
        <f t="shared" si="7"/>
        <v>-3.4434780990150562E-4</v>
      </c>
      <c r="I374" s="18">
        <f>PRODUCT(fact_daily_prices!$F374,fact_daily_prices!$G374)</f>
        <v>72590733.209999993</v>
      </c>
      <c r="J374" s="18" t="str">
        <f>_xlfn.XLOOKUP(fact_daily_prices!$B374,dim_company[company_id],dim_company[sector_id])</f>
        <v>SEC02</v>
      </c>
      <c r="K374" s="19" t="str">
        <f>_xlfn.XLOOKUP(fact_daily_prices!$J374,dim_sector[sector_id],dim_sector[sector_name])</f>
        <v>Financials</v>
      </c>
      <c r="L374" t="str">
        <v>COMP003-10-06-2025</v>
      </c>
      <c r="M374" t="str">
        <f>_xlfn.CONCAT(A373," ",B373)</f>
        <v>45817 COMP003</v>
      </c>
    </row>
    <row r="375" spans="1:13" x14ac:dyDescent="0.3">
      <c r="A375" s="20">
        <v>45819</v>
      </c>
      <c r="B375" s="7" t="s">
        <v>14</v>
      </c>
      <c r="C375" s="7">
        <v>2132.5</v>
      </c>
      <c r="D375" s="7">
        <v>2146.96</v>
      </c>
      <c r="E375" s="7">
        <v>2118.04</v>
      </c>
      <c r="F375" s="7">
        <v>2140.58</v>
      </c>
      <c r="G375" s="7">
        <v>28598</v>
      </c>
      <c r="H375" s="7">
        <f t="shared" si="7"/>
        <v>-3.9288417157965858E-3</v>
      </c>
      <c r="I375" s="7">
        <f>PRODUCT(fact_daily_prices!$F375,fact_daily_prices!$G375)</f>
        <v>61216306.839999996</v>
      </c>
      <c r="J375" s="7" t="str">
        <f>_xlfn.XLOOKUP(fact_daily_prices!$B375,dim_company[company_id],dim_company[sector_id])</f>
        <v>SEC02</v>
      </c>
      <c r="K375" s="21" t="str">
        <f>_xlfn.XLOOKUP(fact_daily_prices!$J375,dim_sector[sector_id],dim_sector[sector_name])</f>
        <v>Financials</v>
      </c>
      <c r="L375" t="str">
        <v>COMP003-11-06-2025</v>
      </c>
      <c r="M375" t="str">
        <f>_xlfn.CONCAT(A374," ",B374)</f>
        <v>45818 COMP003</v>
      </c>
    </row>
    <row r="376" spans="1:13" x14ac:dyDescent="0.3">
      <c r="A376" s="17">
        <v>45820</v>
      </c>
      <c r="B376" s="18" t="s">
        <v>14</v>
      </c>
      <c r="C376" s="18">
        <v>2130.06</v>
      </c>
      <c r="D376" s="18">
        <v>2154.39</v>
      </c>
      <c r="E376" s="18">
        <v>2105.73</v>
      </c>
      <c r="F376" s="18">
        <v>2131.64</v>
      </c>
      <c r="G376" s="18">
        <v>26519</v>
      </c>
      <c r="H376" s="18">
        <f t="shared" si="7"/>
        <v>-4.193953950948591E-3</v>
      </c>
      <c r="I376" s="18">
        <f>PRODUCT(fact_daily_prices!$F376,fact_daily_prices!$G376)</f>
        <v>56528961.159999996</v>
      </c>
      <c r="J376" s="18" t="str">
        <f>_xlfn.XLOOKUP(fact_daily_prices!$B376,dim_company[company_id],dim_company[sector_id])</f>
        <v>SEC02</v>
      </c>
      <c r="K376" s="19" t="str">
        <f>_xlfn.XLOOKUP(fact_daily_prices!$J376,dim_sector[sector_id],dim_sector[sector_name])</f>
        <v>Financials</v>
      </c>
      <c r="L376" t="str">
        <v>COMP003-12-06-2025</v>
      </c>
      <c r="M376" t="str">
        <f>_xlfn.CONCAT(A375," ",B375)</f>
        <v>45819 COMP003</v>
      </c>
    </row>
    <row r="377" spans="1:13" x14ac:dyDescent="0.3">
      <c r="A377" s="20">
        <v>45821</v>
      </c>
      <c r="B377" s="7" t="s">
        <v>14</v>
      </c>
      <c r="C377" s="7">
        <v>2157.84</v>
      </c>
      <c r="D377" s="7">
        <v>2185.86</v>
      </c>
      <c r="E377" s="7">
        <v>2129.81</v>
      </c>
      <c r="F377" s="7">
        <v>2162.11</v>
      </c>
      <c r="G377" s="7">
        <v>27987</v>
      </c>
      <c r="H377" s="7">
        <f t="shared" si="7"/>
        <v>1.4092714986749173E-2</v>
      </c>
      <c r="I377" s="7">
        <f>PRODUCT(fact_daily_prices!$F377,fact_daily_prices!$G377)</f>
        <v>60510972.57</v>
      </c>
      <c r="J377" s="7" t="str">
        <f>_xlfn.XLOOKUP(fact_daily_prices!$B377,dim_company[company_id],dim_company[sector_id])</f>
        <v>SEC02</v>
      </c>
      <c r="K377" s="21" t="str">
        <f>_xlfn.XLOOKUP(fact_daily_prices!$J377,dim_sector[sector_id],dim_sector[sector_name])</f>
        <v>Financials</v>
      </c>
      <c r="L377" t="str">
        <v>COMP003-13-06-2025</v>
      </c>
      <c r="M377" t="str">
        <f>_xlfn.CONCAT(A376," ",B376)</f>
        <v>45820 COMP003</v>
      </c>
    </row>
    <row r="378" spans="1:13" x14ac:dyDescent="0.3">
      <c r="A378" s="17">
        <v>45824</v>
      </c>
      <c r="B378" s="18" t="s">
        <v>14</v>
      </c>
      <c r="C378" s="18">
        <v>2198.27</v>
      </c>
      <c r="D378" s="18">
        <v>2219.48</v>
      </c>
      <c r="E378" s="18">
        <v>2177.06</v>
      </c>
      <c r="F378" s="18">
        <v>2177.86</v>
      </c>
      <c r="G378" s="18">
        <v>34174</v>
      </c>
      <c r="H378" s="18">
        <f t="shared" si="7"/>
        <v>7.231869817159964E-3</v>
      </c>
      <c r="I378" s="18">
        <f>PRODUCT(fact_daily_prices!$F378,fact_daily_prices!$G378)</f>
        <v>74426187.640000001</v>
      </c>
      <c r="J378" s="18" t="str">
        <f>_xlfn.XLOOKUP(fact_daily_prices!$B378,dim_company[company_id],dim_company[sector_id])</f>
        <v>SEC02</v>
      </c>
      <c r="K378" s="19" t="str">
        <f>_xlfn.XLOOKUP(fact_daily_prices!$J378,dim_sector[sector_id],dim_sector[sector_name])</f>
        <v>Financials</v>
      </c>
      <c r="L378" t="str">
        <v>COMP003-16-06-2025</v>
      </c>
      <c r="M378" t="str">
        <f>_xlfn.CONCAT(A377," ",B377)</f>
        <v>45821 COMP003</v>
      </c>
    </row>
    <row r="379" spans="1:13" x14ac:dyDescent="0.3">
      <c r="A379" s="20">
        <v>45825</v>
      </c>
      <c r="B379" s="7" t="s">
        <v>14</v>
      </c>
      <c r="C379" s="7">
        <v>2149.08</v>
      </c>
      <c r="D379" s="7">
        <v>2177.75</v>
      </c>
      <c r="E379" s="7">
        <v>2120.42</v>
      </c>
      <c r="F379" s="7">
        <v>2159.14</v>
      </c>
      <c r="G379" s="7">
        <v>28764</v>
      </c>
      <c r="H379" s="7">
        <f t="shared" si="7"/>
        <v>-8.6701186583548334E-3</v>
      </c>
      <c r="I379" s="7">
        <f>PRODUCT(fact_daily_prices!$F379,fact_daily_prices!$G379)</f>
        <v>62105502.959999993</v>
      </c>
      <c r="J379" s="7" t="str">
        <f>_xlfn.XLOOKUP(fact_daily_prices!$B379,dim_company[company_id],dim_company[sector_id])</f>
        <v>SEC02</v>
      </c>
      <c r="K379" s="21" t="str">
        <f>_xlfn.XLOOKUP(fact_daily_prices!$J379,dim_sector[sector_id],dim_sector[sector_name])</f>
        <v>Financials</v>
      </c>
      <c r="L379" t="str">
        <v>COMP003-17-06-2025</v>
      </c>
      <c r="M379" t="str">
        <f>_xlfn.CONCAT(A378," ",B378)</f>
        <v>45824 COMP003</v>
      </c>
    </row>
    <row r="380" spans="1:13" x14ac:dyDescent="0.3">
      <c r="A380" s="17">
        <v>45826</v>
      </c>
      <c r="B380" s="18" t="s">
        <v>14</v>
      </c>
      <c r="C380" s="18">
        <v>2158.63</v>
      </c>
      <c r="D380" s="18">
        <v>2183.11</v>
      </c>
      <c r="E380" s="18">
        <v>2134.15</v>
      </c>
      <c r="F380" s="18">
        <v>2144.59</v>
      </c>
      <c r="G380" s="18">
        <v>9906</v>
      </c>
      <c r="H380" s="18">
        <f t="shared" si="7"/>
        <v>-6.784513590010084E-3</v>
      </c>
      <c r="I380" s="18">
        <f>PRODUCT(fact_daily_prices!$F380,fact_daily_prices!$G380)</f>
        <v>21244308.540000003</v>
      </c>
      <c r="J380" s="18" t="str">
        <f>_xlfn.XLOOKUP(fact_daily_prices!$B380,dim_company[company_id],dim_company[sector_id])</f>
        <v>SEC02</v>
      </c>
      <c r="K380" s="19" t="str">
        <f>_xlfn.XLOOKUP(fact_daily_prices!$J380,dim_sector[sector_id],dim_sector[sector_name])</f>
        <v>Financials</v>
      </c>
      <c r="L380" t="str">
        <v>COMP003-18-06-2025</v>
      </c>
      <c r="M380" t="str">
        <f>_xlfn.CONCAT(A379," ",B379)</f>
        <v>45825 COMP003</v>
      </c>
    </row>
    <row r="381" spans="1:13" x14ac:dyDescent="0.3">
      <c r="A381" s="20">
        <v>45827</v>
      </c>
      <c r="B381" s="7" t="s">
        <v>14</v>
      </c>
      <c r="C381" s="7">
        <v>2162.38</v>
      </c>
      <c r="D381" s="7">
        <v>2174.84</v>
      </c>
      <c r="E381" s="7">
        <v>2149.92</v>
      </c>
      <c r="F381" s="7">
        <v>2158.44</v>
      </c>
      <c r="G381" s="7">
        <v>38650</v>
      </c>
      <c r="H381" s="7">
        <f t="shared" si="7"/>
        <v>6.4166712996422924E-3</v>
      </c>
      <c r="I381" s="7">
        <f>PRODUCT(fact_daily_prices!$F381,fact_daily_prices!$G381)</f>
        <v>83423706</v>
      </c>
      <c r="J381" s="7" t="str">
        <f>_xlfn.XLOOKUP(fact_daily_prices!$B381,dim_company[company_id],dim_company[sector_id])</f>
        <v>SEC02</v>
      </c>
      <c r="K381" s="21" t="str">
        <f>_xlfn.XLOOKUP(fact_daily_prices!$J381,dim_sector[sector_id],dim_sector[sector_name])</f>
        <v>Financials</v>
      </c>
      <c r="L381" t="str">
        <v>COMP003-19-06-2025</v>
      </c>
      <c r="M381" t="str">
        <f>_xlfn.CONCAT(A380," ",B380)</f>
        <v>45826 COMP003</v>
      </c>
    </row>
    <row r="382" spans="1:13" x14ac:dyDescent="0.3">
      <c r="A382" s="17">
        <v>45828</v>
      </c>
      <c r="B382" s="18" t="s">
        <v>14</v>
      </c>
      <c r="C382" s="18">
        <v>2163.98</v>
      </c>
      <c r="D382" s="18">
        <v>2176.7399999999998</v>
      </c>
      <c r="E382" s="18">
        <v>2151.2199999999998</v>
      </c>
      <c r="F382" s="18">
        <v>2172.33</v>
      </c>
      <c r="G382" s="18">
        <v>8151</v>
      </c>
      <c r="H382" s="18">
        <f t="shared" si="7"/>
        <v>6.3940561516896022E-3</v>
      </c>
      <c r="I382" s="18">
        <f>PRODUCT(fact_daily_prices!$F382,fact_daily_prices!$G382)</f>
        <v>17706661.829999998</v>
      </c>
      <c r="J382" s="18" t="str">
        <f>_xlfn.XLOOKUP(fact_daily_prices!$B382,dim_company[company_id],dim_company[sector_id])</f>
        <v>SEC02</v>
      </c>
      <c r="K382" s="19" t="str">
        <f>_xlfn.XLOOKUP(fact_daily_prices!$J382,dim_sector[sector_id],dim_sector[sector_name])</f>
        <v>Financials</v>
      </c>
      <c r="L382" t="str">
        <v>COMP003-20-06-2025</v>
      </c>
      <c r="M382" t="str">
        <f>_xlfn.CONCAT(A381," ",B381)</f>
        <v>45827 COMP003</v>
      </c>
    </row>
    <row r="383" spans="1:13" x14ac:dyDescent="0.3">
      <c r="A383" s="20">
        <v>45831</v>
      </c>
      <c r="B383" s="7" t="s">
        <v>14</v>
      </c>
      <c r="C383" s="7">
        <v>2153.21</v>
      </c>
      <c r="D383" s="7">
        <v>2178.94</v>
      </c>
      <c r="E383" s="7">
        <v>2127.48</v>
      </c>
      <c r="F383" s="7">
        <v>2156.38</v>
      </c>
      <c r="G383" s="7">
        <v>43652</v>
      </c>
      <c r="H383" s="7">
        <f t="shared" si="7"/>
        <v>-7.3966555059868004E-3</v>
      </c>
      <c r="I383" s="7">
        <f>PRODUCT(fact_daily_prices!$F383,fact_daily_prices!$G383)</f>
        <v>94130299.760000005</v>
      </c>
      <c r="J383" s="7" t="str">
        <f>_xlfn.XLOOKUP(fact_daily_prices!$B383,dim_company[company_id],dim_company[sector_id])</f>
        <v>SEC02</v>
      </c>
      <c r="K383" s="21" t="str">
        <f>_xlfn.XLOOKUP(fact_daily_prices!$J383,dim_sector[sector_id],dim_sector[sector_name])</f>
        <v>Financials</v>
      </c>
      <c r="L383" t="str">
        <v>COMP003-23-06-2025</v>
      </c>
      <c r="M383" t="str">
        <f>_xlfn.CONCAT(A382," ",B382)</f>
        <v>45828 COMP003</v>
      </c>
    </row>
    <row r="384" spans="1:13" x14ac:dyDescent="0.3">
      <c r="A384" s="17">
        <v>45832</v>
      </c>
      <c r="B384" s="18" t="s">
        <v>14</v>
      </c>
      <c r="C384" s="18">
        <v>2156.2199999999998</v>
      </c>
      <c r="D384" s="18">
        <v>2185.09</v>
      </c>
      <c r="E384" s="18">
        <v>2127.36</v>
      </c>
      <c r="F384" s="18">
        <v>2150.5500000000002</v>
      </c>
      <c r="G384" s="18">
        <v>43641</v>
      </c>
      <c r="H384" s="18">
        <f t="shared" si="7"/>
        <v>-2.7109344121270963E-3</v>
      </c>
      <c r="I384" s="18">
        <f>PRODUCT(fact_daily_prices!$F384,fact_daily_prices!$G384)</f>
        <v>93852152.550000012</v>
      </c>
      <c r="J384" s="18" t="str">
        <f>_xlfn.XLOOKUP(fact_daily_prices!$B384,dim_company[company_id],dim_company[sector_id])</f>
        <v>SEC02</v>
      </c>
      <c r="K384" s="19" t="str">
        <f>_xlfn.XLOOKUP(fact_daily_prices!$J384,dim_sector[sector_id],dim_sector[sector_name])</f>
        <v>Financials</v>
      </c>
      <c r="L384" t="str">
        <v>COMP003-24-06-2025</v>
      </c>
      <c r="M384" t="str">
        <f>_xlfn.CONCAT(A383," ",B383)</f>
        <v>45831 COMP003</v>
      </c>
    </row>
    <row r="385" spans="1:13" x14ac:dyDescent="0.3">
      <c r="A385" s="20">
        <v>45833</v>
      </c>
      <c r="B385" s="7" t="s">
        <v>14</v>
      </c>
      <c r="C385" s="7">
        <v>2189</v>
      </c>
      <c r="D385" s="7">
        <v>2219.3000000000002</v>
      </c>
      <c r="E385" s="7">
        <v>2158.69</v>
      </c>
      <c r="F385" s="7">
        <v>2201.6999999999998</v>
      </c>
      <c r="G385" s="7">
        <v>35905</v>
      </c>
      <c r="H385" s="7">
        <f t="shared" si="7"/>
        <v>2.3232047962937565E-2</v>
      </c>
      <c r="I385" s="7">
        <f>PRODUCT(fact_daily_prices!$F385,fact_daily_prices!$G385)</f>
        <v>79052038.5</v>
      </c>
      <c r="J385" s="7" t="str">
        <f>_xlfn.XLOOKUP(fact_daily_prices!$B385,dim_company[company_id],dim_company[sector_id])</f>
        <v>SEC02</v>
      </c>
      <c r="K385" s="21" t="str">
        <f>_xlfn.XLOOKUP(fact_daily_prices!$J385,dim_sector[sector_id],dim_sector[sector_name])</f>
        <v>Financials</v>
      </c>
      <c r="L385" t="str">
        <v>COMP003-25-06-2025</v>
      </c>
      <c r="M385" t="str">
        <f>_xlfn.CONCAT(A384," ",B384)</f>
        <v>45832 COMP003</v>
      </c>
    </row>
    <row r="386" spans="1:13" x14ac:dyDescent="0.3">
      <c r="A386" s="17">
        <v>45834</v>
      </c>
      <c r="B386" s="18" t="s">
        <v>14</v>
      </c>
      <c r="C386" s="18">
        <v>2184.71</v>
      </c>
      <c r="D386" s="18">
        <v>2191.33</v>
      </c>
      <c r="E386" s="18">
        <v>2178.09</v>
      </c>
      <c r="F386" s="18">
        <v>2186.0100000000002</v>
      </c>
      <c r="G386" s="18">
        <v>49478</v>
      </c>
      <c r="H386" s="18">
        <f t="shared" si="7"/>
        <v>-7.1774603043900063E-3</v>
      </c>
      <c r="I386" s="18">
        <f>PRODUCT(fact_daily_prices!$F386,fact_daily_prices!$G386)</f>
        <v>108159402.78000002</v>
      </c>
      <c r="J386" s="18" t="str">
        <f>_xlfn.XLOOKUP(fact_daily_prices!$B386,dim_company[company_id],dim_company[sector_id])</f>
        <v>SEC02</v>
      </c>
      <c r="K386" s="19" t="str">
        <f>_xlfn.XLOOKUP(fact_daily_prices!$J386,dim_sector[sector_id],dim_sector[sector_name])</f>
        <v>Financials</v>
      </c>
      <c r="L386" t="str">
        <v>COMP003-26-06-2025</v>
      </c>
      <c r="M386" t="str">
        <f>_xlfn.CONCAT(A385," ",B385)</f>
        <v>45833 COMP003</v>
      </c>
    </row>
    <row r="387" spans="1:13" x14ac:dyDescent="0.3">
      <c r="A387" s="20">
        <v>45835</v>
      </c>
      <c r="B387" s="7" t="s">
        <v>14</v>
      </c>
      <c r="C387" s="7">
        <v>2241.14</v>
      </c>
      <c r="D387" s="7">
        <v>2278.3000000000002</v>
      </c>
      <c r="E387" s="7">
        <v>2203.98</v>
      </c>
      <c r="F387" s="7">
        <v>2239.8000000000002</v>
      </c>
      <c r="G387" s="7">
        <v>4654</v>
      </c>
      <c r="H387" s="7">
        <f t="shared" si="7"/>
        <v>2.4015537101526905E-2</v>
      </c>
      <c r="I387" s="7">
        <f>PRODUCT(fact_daily_prices!$F387,fact_daily_prices!$G387)</f>
        <v>10424029.200000001</v>
      </c>
      <c r="J387" s="7" t="str">
        <f>_xlfn.XLOOKUP(fact_daily_prices!$B387,dim_company[company_id],dim_company[sector_id])</f>
        <v>SEC02</v>
      </c>
      <c r="K387" s="21" t="str">
        <f>_xlfn.XLOOKUP(fact_daily_prices!$J387,dim_sector[sector_id],dim_sector[sector_name])</f>
        <v>Financials</v>
      </c>
      <c r="L387" t="str">
        <v>COMP003-27-06-2025</v>
      </c>
      <c r="M387" t="str">
        <f>_xlfn.CONCAT(A386," ",B386)</f>
        <v>45834 COMP003</v>
      </c>
    </row>
    <row r="388" spans="1:13" x14ac:dyDescent="0.3">
      <c r="A388" s="17">
        <v>45838</v>
      </c>
      <c r="B388" s="18" t="s">
        <v>14</v>
      </c>
      <c r="C388" s="18">
        <v>2260.39</v>
      </c>
      <c r="D388" s="18">
        <v>2285.12</v>
      </c>
      <c r="E388" s="18">
        <v>2235.66</v>
      </c>
      <c r="F388" s="18">
        <v>2271.71</v>
      </c>
      <c r="G388" s="18">
        <v>9636</v>
      </c>
      <c r="H388" s="18">
        <f t="shared" ref="H388:H451" si="8">(F388-F387)/F388</f>
        <v>1.4046687297234177E-2</v>
      </c>
      <c r="I388" s="18">
        <f>PRODUCT(fact_daily_prices!$F388,fact_daily_prices!$G388)</f>
        <v>21890197.559999999</v>
      </c>
      <c r="J388" s="18" t="str">
        <f>_xlfn.XLOOKUP(fact_daily_prices!$B388,dim_company[company_id],dim_company[sector_id])</f>
        <v>SEC02</v>
      </c>
      <c r="K388" s="19" t="str">
        <f>_xlfn.XLOOKUP(fact_daily_prices!$J388,dim_sector[sector_id],dim_sector[sector_name])</f>
        <v>Financials</v>
      </c>
      <c r="L388" t="str">
        <v>COMP003-30-06-2025</v>
      </c>
      <c r="M388" t="str">
        <f>_xlfn.CONCAT(A387," ",B387)</f>
        <v>45835 COMP003</v>
      </c>
    </row>
    <row r="389" spans="1:13" x14ac:dyDescent="0.3">
      <c r="A389" s="20">
        <v>45658</v>
      </c>
      <c r="B389" s="7" t="s">
        <v>18</v>
      </c>
      <c r="C389" s="7">
        <v>599.36</v>
      </c>
      <c r="D389" s="7">
        <v>604.27</v>
      </c>
      <c r="E389" s="7">
        <v>594.44000000000005</v>
      </c>
      <c r="F389" s="7">
        <v>600.52</v>
      </c>
      <c r="G389" s="7">
        <v>36262</v>
      </c>
      <c r="H389" s="7">
        <v>0</v>
      </c>
      <c r="I389" s="7">
        <f>PRODUCT(fact_daily_prices!$F389,fact_daily_prices!$G389)</f>
        <v>21776056.239999998</v>
      </c>
      <c r="J389" s="7" t="str">
        <f>_xlfn.XLOOKUP(fact_daily_prices!$B389,dim_company[company_id],dim_company[sector_id])</f>
        <v>SEC04</v>
      </c>
      <c r="K389" s="21" t="str">
        <f>_xlfn.XLOOKUP(fact_daily_prices!$J389,dim_sector[sector_id],dim_sector[sector_name])</f>
        <v>Energy</v>
      </c>
      <c r="L389" t="str">
        <v>COMP004-01-01-2025</v>
      </c>
      <c r="M389" t="str">
        <f>_xlfn.CONCAT(A388," ",B388)</f>
        <v>45838 COMP003</v>
      </c>
    </row>
    <row r="390" spans="1:13" x14ac:dyDescent="0.3">
      <c r="A390" s="17">
        <v>45659</v>
      </c>
      <c r="B390" s="18" t="s">
        <v>18</v>
      </c>
      <c r="C390" s="18">
        <v>603.07000000000005</v>
      </c>
      <c r="D390" s="18">
        <v>608.21</v>
      </c>
      <c r="E390" s="18">
        <v>597.91999999999996</v>
      </c>
      <c r="F390" s="18">
        <v>600.52</v>
      </c>
      <c r="G390" s="18">
        <v>21733</v>
      </c>
      <c r="H390" s="18">
        <f t="shared" si="8"/>
        <v>0</v>
      </c>
      <c r="I390" s="18">
        <f>PRODUCT(fact_daily_prices!$F390,fact_daily_prices!$G390)</f>
        <v>13051101.16</v>
      </c>
      <c r="J390" s="18" t="str">
        <f>_xlfn.XLOOKUP(fact_daily_prices!$B390,dim_company[company_id],dim_company[sector_id])</f>
        <v>SEC04</v>
      </c>
      <c r="K390" s="19" t="str">
        <f>_xlfn.XLOOKUP(fact_daily_prices!$J390,dim_sector[sector_id],dim_sector[sector_name])</f>
        <v>Energy</v>
      </c>
      <c r="L390" t="str">
        <v>COMP004-02-01-2025</v>
      </c>
      <c r="M390" t="str">
        <f>_xlfn.CONCAT(A389," ",B389)</f>
        <v>45658 COMP004</v>
      </c>
    </row>
    <row r="391" spans="1:13" x14ac:dyDescent="0.3">
      <c r="A391" s="20">
        <v>45660</v>
      </c>
      <c r="B391" s="7" t="s">
        <v>18</v>
      </c>
      <c r="C391" s="7">
        <v>606.29</v>
      </c>
      <c r="D391" s="7">
        <v>612.14</v>
      </c>
      <c r="E391" s="7">
        <v>600.44000000000005</v>
      </c>
      <c r="F391" s="7">
        <v>604.86</v>
      </c>
      <c r="G391" s="7">
        <v>7430</v>
      </c>
      <c r="H391" s="7">
        <f t="shared" si="8"/>
        <v>7.1752140991304296E-3</v>
      </c>
      <c r="I391" s="7">
        <f>PRODUCT(fact_daily_prices!$F391,fact_daily_prices!$G391)</f>
        <v>4494109.8</v>
      </c>
      <c r="J391" s="7" t="str">
        <f>_xlfn.XLOOKUP(fact_daily_prices!$B391,dim_company[company_id],dim_company[sector_id])</f>
        <v>SEC04</v>
      </c>
      <c r="K391" s="21" t="str">
        <f>_xlfn.XLOOKUP(fact_daily_prices!$J391,dim_sector[sector_id],dim_sector[sector_name])</f>
        <v>Energy</v>
      </c>
      <c r="L391" t="str">
        <v>COMP004-03-01-2025</v>
      </c>
      <c r="M391" t="str">
        <f>_xlfn.CONCAT(A390," ",B390)</f>
        <v>45659 COMP004</v>
      </c>
    </row>
    <row r="392" spans="1:13" x14ac:dyDescent="0.3">
      <c r="A392" s="17">
        <v>45663</v>
      </c>
      <c r="B392" s="18" t="s">
        <v>18</v>
      </c>
      <c r="C392" s="18">
        <v>602.34</v>
      </c>
      <c r="D392" s="18">
        <v>607.45000000000005</v>
      </c>
      <c r="E392" s="18">
        <v>597.23</v>
      </c>
      <c r="F392" s="18">
        <v>606.71</v>
      </c>
      <c r="G392" s="18">
        <v>32497</v>
      </c>
      <c r="H392" s="18">
        <f t="shared" si="8"/>
        <v>3.0492327471115075E-3</v>
      </c>
      <c r="I392" s="18">
        <f>PRODUCT(fact_daily_prices!$F392,fact_daily_prices!$G392)</f>
        <v>19716254.870000001</v>
      </c>
      <c r="J392" s="18" t="str">
        <f>_xlfn.XLOOKUP(fact_daily_prices!$B392,dim_company[company_id],dim_company[sector_id])</f>
        <v>SEC04</v>
      </c>
      <c r="K392" s="19" t="str">
        <f>_xlfn.XLOOKUP(fact_daily_prices!$J392,dim_sector[sector_id],dim_sector[sector_name])</f>
        <v>Energy</v>
      </c>
      <c r="L392" t="str">
        <v>COMP004-06-01-2025</v>
      </c>
      <c r="M392" t="str">
        <f>_xlfn.CONCAT(A391," ",B391)</f>
        <v>45660 COMP004</v>
      </c>
    </row>
    <row r="393" spans="1:13" x14ac:dyDescent="0.3">
      <c r="A393" s="20">
        <v>45664</v>
      </c>
      <c r="B393" s="7" t="s">
        <v>18</v>
      </c>
      <c r="C393" s="7">
        <v>615.69000000000005</v>
      </c>
      <c r="D393" s="7">
        <v>619.99</v>
      </c>
      <c r="E393" s="7">
        <v>611.39</v>
      </c>
      <c r="F393" s="7">
        <v>617.37</v>
      </c>
      <c r="G393" s="7">
        <v>47332</v>
      </c>
      <c r="H393" s="7">
        <f t="shared" si="8"/>
        <v>1.7266793009054485E-2</v>
      </c>
      <c r="I393" s="7">
        <f>PRODUCT(fact_daily_prices!$F393,fact_daily_prices!$G393)</f>
        <v>29221356.84</v>
      </c>
      <c r="J393" s="7" t="str">
        <f>_xlfn.XLOOKUP(fact_daily_prices!$B393,dim_company[company_id],dim_company[sector_id])</f>
        <v>SEC04</v>
      </c>
      <c r="K393" s="21" t="str">
        <f>_xlfn.XLOOKUP(fact_daily_prices!$J393,dim_sector[sector_id],dim_sector[sector_name])</f>
        <v>Energy</v>
      </c>
      <c r="L393" t="str">
        <v>COMP004-07-01-2025</v>
      </c>
      <c r="M393" t="str">
        <f>_xlfn.CONCAT(A392," ",B392)</f>
        <v>45663 COMP004</v>
      </c>
    </row>
    <row r="394" spans="1:13" x14ac:dyDescent="0.3">
      <c r="A394" s="17">
        <v>45665</v>
      </c>
      <c r="B394" s="18" t="s">
        <v>18</v>
      </c>
      <c r="C394" s="18">
        <v>620.49</v>
      </c>
      <c r="D394" s="18">
        <v>626.16</v>
      </c>
      <c r="E394" s="18">
        <v>614.82000000000005</v>
      </c>
      <c r="F394" s="18">
        <v>618.5</v>
      </c>
      <c r="G394" s="18">
        <v>38846</v>
      </c>
      <c r="H394" s="18">
        <f t="shared" si="8"/>
        <v>1.82700080840743E-3</v>
      </c>
      <c r="I394" s="18">
        <f>PRODUCT(fact_daily_prices!$F394,fact_daily_prices!$G394)</f>
        <v>24026251</v>
      </c>
      <c r="J394" s="18" t="str">
        <f>_xlfn.XLOOKUP(fact_daily_prices!$B394,dim_company[company_id],dim_company[sector_id])</f>
        <v>SEC04</v>
      </c>
      <c r="K394" s="19" t="str">
        <f>_xlfn.XLOOKUP(fact_daily_prices!$J394,dim_sector[sector_id],dim_sector[sector_name])</f>
        <v>Energy</v>
      </c>
      <c r="L394" t="str">
        <v>COMP004-08-01-2025</v>
      </c>
      <c r="M394" t="str">
        <f>_xlfn.CONCAT(A393," ",B393)</f>
        <v>45664 COMP004</v>
      </c>
    </row>
    <row r="395" spans="1:13" x14ac:dyDescent="0.3">
      <c r="A395" s="20">
        <v>45666</v>
      </c>
      <c r="B395" s="7" t="s">
        <v>18</v>
      </c>
      <c r="C395" s="7">
        <v>615.9</v>
      </c>
      <c r="D395" s="7">
        <v>618.25</v>
      </c>
      <c r="E395" s="7">
        <v>613.54999999999995</v>
      </c>
      <c r="F395" s="7">
        <v>615.29999999999995</v>
      </c>
      <c r="G395" s="7">
        <v>6448</v>
      </c>
      <c r="H395" s="7">
        <f t="shared" si="8"/>
        <v>-5.2007150983260945E-3</v>
      </c>
      <c r="I395" s="7">
        <f>PRODUCT(fact_daily_prices!$F395,fact_daily_prices!$G395)</f>
        <v>3967454.4</v>
      </c>
      <c r="J395" s="7" t="str">
        <f>_xlfn.XLOOKUP(fact_daily_prices!$B395,dim_company[company_id],dim_company[sector_id])</f>
        <v>SEC04</v>
      </c>
      <c r="K395" s="21" t="str">
        <f>_xlfn.XLOOKUP(fact_daily_prices!$J395,dim_sector[sector_id],dim_sector[sector_name])</f>
        <v>Energy</v>
      </c>
      <c r="L395" t="str">
        <v>COMP004-09-01-2025</v>
      </c>
      <c r="M395" t="str">
        <f>_xlfn.CONCAT(A394," ",B394)</f>
        <v>45665 COMP004</v>
      </c>
    </row>
    <row r="396" spans="1:13" x14ac:dyDescent="0.3">
      <c r="A396" s="17">
        <v>45667</v>
      </c>
      <c r="B396" s="18" t="s">
        <v>18</v>
      </c>
      <c r="C396" s="18">
        <v>619.59</v>
      </c>
      <c r="D396" s="18">
        <v>626.04999999999995</v>
      </c>
      <c r="E396" s="18">
        <v>613.13</v>
      </c>
      <c r="F396" s="18">
        <v>616.4</v>
      </c>
      <c r="G396" s="18">
        <v>7406</v>
      </c>
      <c r="H396" s="18">
        <f t="shared" si="8"/>
        <v>1.7845554834523406E-3</v>
      </c>
      <c r="I396" s="18">
        <f>PRODUCT(fact_daily_prices!$F396,fact_daily_prices!$G396)</f>
        <v>4565058.3999999994</v>
      </c>
      <c r="J396" s="18" t="str">
        <f>_xlfn.XLOOKUP(fact_daily_prices!$B396,dim_company[company_id],dim_company[sector_id])</f>
        <v>SEC04</v>
      </c>
      <c r="K396" s="19" t="str">
        <f>_xlfn.XLOOKUP(fact_daily_prices!$J396,dim_sector[sector_id],dim_sector[sector_name])</f>
        <v>Energy</v>
      </c>
      <c r="L396" t="str">
        <v>COMP004-10-01-2025</v>
      </c>
      <c r="M396" t="str">
        <f>_xlfn.CONCAT(A395," ",B395)</f>
        <v>45666 COMP004</v>
      </c>
    </row>
    <row r="397" spans="1:13" x14ac:dyDescent="0.3">
      <c r="A397" s="20">
        <v>45670</v>
      </c>
      <c r="B397" s="7" t="s">
        <v>18</v>
      </c>
      <c r="C397" s="7">
        <v>624.69000000000005</v>
      </c>
      <c r="D397" s="7">
        <v>629.38</v>
      </c>
      <c r="E397" s="7">
        <v>620.01</v>
      </c>
      <c r="F397" s="7">
        <v>620.78</v>
      </c>
      <c r="G397" s="7">
        <v>33003</v>
      </c>
      <c r="H397" s="7">
        <f t="shared" si="8"/>
        <v>7.0556396791133661E-3</v>
      </c>
      <c r="I397" s="7">
        <f>PRODUCT(fact_daily_prices!$F397,fact_daily_prices!$G397)</f>
        <v>20487602.34</v>
      </c>
      <c r="J397" s="7" t="str">
        <f>_xlfn.XLOOKUP(fact_daily_prices!$B397,dim_company[company_id],dim_company[sector_id])</f>
        <v>SEC04</v>
      </c>
      <c r="K397" s="21" t="str">
        <f>_xlfn.XLOOKUP(fact_daily_prices!$J397,dim_sector[sector_id],dim_sector[sector_name])</f>
        <v>Energy</v>
      </c>
      <c r="L397" t="str">
        <v>COMP004-13-01-2025</v>
      </c>
      <c r="M397" t="str">
        <f>_xlfn.CONCAT(A396," ",B396)</f>
        <v>45667 COMP004</v>
      </c>
    </row>
    <row r="398" spans="1:13" x14ac:dyDescent="0.3">
      <c r="A398" s="17">
        <v>45671</v>
      </c>
      <c r="B398" s="18" t="s">
        <v>18</v>
      </c>
      <c r="C398" s="18">
        <v>623.82000000000005</v>
      </c>
      <c r="D398" s="18">
        <v>629.17999999999995</v>
      </c>
      <c r="E398" s="18">
        <v>618.47</v>
      </c>
      <c r="F398" s="18">
        <v>621.30999999999995</v>
      </c>
      <c r="G398" s="18">
        <v>44108</v>
      </c>
      <c r="H398" s="18">
        <f t="shared" si="8"/>
        <v>8.5303632647144379E-4</v>
      </c>
      <c r="I398" s="18">
        <f>PRODUCT(fact_daily_prices!$F398,fact_daily_prices!$G398)</f>
        <v>27404741.479999997</v>
      </c>
      <c r="J398" s="18" t="str">
        <f>_xlfn.XLOOKUP(fact_daily_prices!$B398,dim_company[company_id],dim_company[sector_id])</f>
        <v>SEC04</v>
      </c>
      <c r="K398" s="19" t="str">
        <f>_xlfn.XLOOKUP(fact_daily_prices!$J398,dim_sector[sector_id],dim_sector[sector_name])</f>
        <v>Energy</v>
      </c>
      <c r="L398" t="str">
        <v>COMP004-14-01-2025</v>
      </c>
      <c r="M398" t="str">
        <f>_xlfn.CONCAT(A397," ",B397)</f>
        <v>45670 COMP004</v>
      </c>
    </row>
    <row r="399" spans="1:13" x14ac:dyDescent="0.3">
      <c r="A399" s="20">
        <v>45672</v>
      </c>
      <c r="B399" s="7" t="s">
        <v>18</v>
      </c>
      <c r="C399" s="7">
        <v>623.70000000000005</v>
      </c>
      <c r="D399" s="7">
        <v>629.42999999999995</v>
      </c>
      <c r="E399" s="7">
        <v>617.97</v>
      </c>
      <c r="F399" s="7">
        <v>621.78</v>
      </c>
      <c r="G399" s="7">
        <v>42779</v>
      </c>
      <c r="H399" s="7">
        <f t="shared" si="8"/>
        <v>7.5589436778286103E-4</v>
      </c>
      <c r="I399" s="7">
        <f>PRODUCT(fact_daily_prices!$F399,fact_daily_prices!$G399)</f>
        <v>26599126.619999997</v>
      </c>
      <c r="J399" s="7" t="str">
        <f>_xlfn.XLOOKUP(fact_daily_prices!$B399,dim_company[company_id],dim_company[sector_id])</f>
        <v>SEC04</v>
      </c>
      <c r="K399" s="21" t="str">
        <f>_xlfn.XLOOKUP(fact_daily_prices!$J399,dim_sector[sector_id],dim_sector[sector_name])</f>
        <v>Energy</v>
      </c>
      <c r="L399" t="str">
        <v>COMP004-15-01-2025</v>
      </c>
      <c r="M399" t="str">
        <f>_xlfn.CONCAT(A398," ",B398)</f>
        <v>45671 COMP004</v>
      </c>
    </row>
    <row r="400" spans="1:13" x14ac:dyDescent="0.3">
      <c r="A400" s="17">
        <v>45673</v>
      </c>
      <c r="B400" s="18" t="s">
        <v>18</v>
      </c>
      <c r="C400" s="18">
        <v>615.26</v>
      </c>
      <c r="D400" s="18">
        <v>624.53</v>
      </c>
      <c r="E400" s="18">
        <v>605.99</v>
      </c>
      <c r="F400" s="18">
        <v>616.45000000000005</v>
      </c>
      <c r="G400" s="18">
        <v>16422</v>
      </c>
      <c r="H400" s="18">
        <f t="shared" si="8"/>
        <v>-8.6462811258008389E-3</v>
      </c>
      <c r="I400" s="18">
        <f>PRODUCT(fact_daily_prices!$F400,fact_daily_prices!$G400)</f>
        <v>10123341.9</v>
      </c>
      <c r="J400" s="18" t="str">
        <f>_xlfn.XLOOKUP(fact_daily_prices!$B400,dim_company[company_id],dim_company[sector_id])</f>
        <v>SEC04</v>
      </c>
      <c r="K400" s="19" t="str">
        <f>_xlfn.XLOOKUP(fact_daily_prices!$J400,dim_sector[sector_id],dim_sector[sector_name])</f>
        <v>Energy</v>
      </c>
      <c r="L400" t="str">
        <v>COMP004-16-01-2025</v>
      </c>
      <c r="M400" t="str">
        <f>_xlfn.CONCAT(A399," ",B399)</f>
        <v>45672 COMP004</v>
      </c>
    </row>
    <row r="401" spans="1:13" x14ac:dyDescent="0.3">
      <c r="A401" s="20">
        <v>45674</v>
      </c>
      <c r="B401" s="7" t="s">
        <v>18</v>
      </c>
      <c r="C401" s="7">
        <v>613.84</v>
      </c>
      <c r="D401" s="7">
        <v>621.15</v>
      </c>
      <c r="E401" s="7">
        <v>606.52</v>
      </c>
      <c r="F401" s="7">
        <v>611.47</v>
      </c>
      <c r="G401" s="7">
        <v>34535</v>
      </c>
      <c r="H401" s="7">
        <f t="shared" si="8"/>
        <v>-8.1443079791322839E-3</v>
      </c>
      <c r="I401" s="7">
        <f>PRODUCT(fact_daily_prices!$F401,fact_daily_prices!$G401)</f>
        <v>21117116.449999999</v>
      </c>
      <c r="J401" s="7" t="str">
        <f>_xlfn.XLOOKUP(fact_daily_prices!$B401,dim_company[company_id],dim_company[sector_id])</f>
        <v>SEC04</v>
      </c>
      <c r="K401" s="21" t="str">
        <f>_xlfn.XLOOKUP(fact_daily_prices!$J401,dim_sector[sector_id],dim_sector[sector_name])</f>
        <v>Energy</v>
      </c>
      <c r="L401" t="str">
        <v>COMP004-17-01-2025</v>
      </c>
      <c r="M401" t="str">
        <f>_xlfn.CONCAT(A400," ",B400)</f>
        <v>45673 COMP004</v>
      </c>
    </row>
    <row r="402" spans="1:13" x14ac:dyDescent="0.3">
      <c r="A402" s="17">
        <v>45677</v>
      </c>
      <c r="B402" s="18" t="s">
        <v>18</v>
      </c>
      <c r="C402" s="18">
        <v>599.86</v>
      </c>
      <c r="D402" s="18">
        <v>603.24</v>
      </c>
      <c r="E402" s="18">
        <v>596.48</v>
      </c>
      <c r="F402" s="18">
        <v>600.9</v>
      </c>
      <c r="G402" s="18">
        <v>27715</v>
      </c>
      <c r="H402" s="18">
        <f t="shared" si="8"/>
        <v>-1.7590281244799551E-2</v>
      </c>
      <c r="I402" s="18">
        <f>PRODUCT(fact_daily_prices!$F402,fact_daily_prices!$G402)</f>
        <v>16653943.5</v>
      </c>
      <c r="J402" s="18" t="str">
        <f>_xlfn.XLOOKUP(fact_daily_prices!$B402,dim_company[company_id],dim_company[sector_id])</f>
        <v>SEC04</v>
      </c>
      <c r="K402" s="19" t="str">
        <f>_xlfn.XLOOKUP(fact_daily_prices!$J402,dim_sector[sector_id],dim_sector[sector_name])</f>
        <v>Energy</v>
      </c>
      <c r="L402" t="str">
        <v>COMP004-20-01-2025</v>
      </c>
      <c r="M402" t="str">
        <f>_xlfn.CONCAT(A401," ",B401)</f>
        <v>45674 COMP004</v>
      </c>
    </row>
    <row r="403" spans="1:13" x14ac:dyDescent="0.3">
      <c r="A403" s="20">
        <v>45678</v>
      </c>
      <c r="B403" s="7" t="s">
        <v>18</v>
      </c>
      <c r="C403" s="7">
        <v>616.30999999999995</v>
      </c>
      <c r="D403" s="7">
        <v>620.36</v>
      </c>
      <c r="E403" s="7">
        <v>612.27</v>
      </c>
      <c r="F403" s="7">
        <v>614.44000000000005</v>
      </c>
      <c r="G403" s="7">
        <v>39908</v>
      </c>
      <c r="H403" s="7">
        <f t="shared" si="8"/>
        <v>2.2036325760041789E-2</v>
      </c>
      <c r="I403" s="7">
        <f>PRODUCT(fact_daily_prices!$F403,fact_daily_prices!$G403)</f>
        <v>24521071.520000003</v>
      </c>
      <c r="J403" s="7" t="str">
        <f>_xlfn.XLOOKUP(fact_daily_prices!$B403,dim_company[company_id],dim_company[sector_id])</f>
        <v>SEC04</v>
      </c>
      <c r="K403" s="21" t="str">
        <f>_xlfn.XLOOKUP(fact_daily_prices!$J403,dim_sector[sector_id],dim_sector[sector_name])</f>
        <v>Energy</v>
      </c>
      <c r="L403" t="str">
        <v>COMP004-21-01-2025</v>
      </c>
      <c r="M403" t="str">
        <f>_xlfn.CONCAT(A402," ",B402)</f>
        <v>45677 COMP004</v>
      </c>
    </row>
    <row r="404" spans="1:13" x14ac:dyDescent="0.3">
      <c r="A404" s="17">
        <v>45679</v>
      </c>
      <c r="B404" s="18" t="s">
        <v>18</v>
      </c>
      <c r="C404" s="18">
        <v>609.62</v>
      </c>
      <c r="D404" s="18">
        <v>614.34</v>
      </c>
      <c r="E404" s="18">
        <v>604.9</v>
      </c>
      <c r="F404" s="18">
        <v>605.03</v>
      </c>
      <c r="G404" s="18">
        <v>5481</v>
      </c>
      <c r="H404" s="18">
        <f t="shared" si="8"/>
        <v>-1.5552947787713142E-2</v>
      </c>
      <c r="I404" s="18">
        <f>PRODUCT(fact_daily_prices!$F404,fact_daily_prices!$G404)</f>
        <v>3316169.4299999997</v>
      </c>
      <c r="J404" s="18" t="str">
        <f>_xlfn.XLOOKUP(fact_daily_prices!$B404,dim_company[company_id],dim_company[sector_id])</f>
        <v>SEC04</v>
      </c>
      <c r="K404" s="19" t="str">
        <f>_xlfn.XLOOKUP(fact_daily_prices!$J404,dim_sector[sector_id],dim_sector[sector_name])</f>
        <v>Energy</v>
      </c>
      <c r="L404" t="str">
        <v>COMP004-22-01-2025</v>
      </c>
      <c r="M404" t="str">
        <f>_xlfn.CONCAT(A403," ",B403)</f>
        <v>45678 COMP004</v>
      </c>
    </row>
    <row r="405" spans="1:13" x14ac:dyDescent="0.3">
      <c r="A405" s="20">
        <v>45680</v>
      </c>
      <c r="B405" s="7" t="s">
        <v>18</v>
      </c>
      <c r="C405" s="7">
        <v>598.21</v>
      </c>
      <c r="D405" s="7">
        <v>601.52</v>
      </c>
      <c r="E405" s="7">
        <v>594.89</v>
      </c>
      <c r="F405" s="7">
        <v>599.91</v>
      </c>
      <c r="G405" s="7">
        <v>38605</v>
      </c>
      <c r="H405" s="7">
        <f t="shared" si="8"/>
        <v>-8.5346135253621461E-3</v>
      </c>
      <c r="I405" s="7">
        <f>PRODUCT(fact_daily_prices!$F405,fact_daily_prices!$G405)</f>
        <v>23159525.549999997</v>
      </c>
      <c r="J405" s="7" t="str">
        <f>_xlfn.XLOOKUP(fact_daily_prices!$B405,dim_company[company_id],dim_company[sector_id])</f>
        <v>SEC04</v>
      </c>
      <c r="K405" s="21" t="str">
        <f>_xlfn.XLOOKUP(fact_daily_prices!$J405,dim_sector[sector_id],dim_sector[sector_name])</f>
        <v>Energy</v>
      </c>
      <c r="L405" t="str">
        <v>COMP004-23-01-2025</v>
      </c>
      <c r="M405" t="str">
        <f>_xlfn.CONCAT(A404," ",B404)</f>
        <v>45679 COMP004</v>
      </c>
    </row>
    <row r="406" spans="1:13" x14ac:dyDescent="0.3">
      <c r="A406" s="17">
        <v>45681</v>
      </c>
      <c r="B406" s="18" t="s">
        <v>18</v>
      </c>
      <c r="C406" s="18">
        <v>591.66999999999996</v>
      </c>
      <c r="D406" s="18">
        <v>597.74</v>
      </c>
      <c r="E406" s="18">
        <v>585.61</v>
      </c>
      <c r="F406" s="18">
        <v>594.65</v>
      </c>
      <c r="G406" s="18">
        <v>41761</v>
      </c>
      <c r="H406" s="18">
        <f t="shared" si="8"/>
        <v>-8.8455393929201907E-3</v>
      </c>
      <c r="I406" s="18">
        <f>PRODUCT(fact_daily_prices!$F406,fact_daily_prices!$G406)</f>
        <v>24833178.649999999</v>
      </c>
      <c r="J406" s="18" t="str">
        <f>_xlfn.XLOOKUP(fact_daily_prices!$B406,dim_company[company_id],dim_company[sector_id])</f>
        <v>SEC04</v>
      </c>
      <c r="K406" s="19" t="str">
        <f>_xlfn.XLOOKUP(fact_daily_prices!$J406,dim_sector[sector_id],dim_sector[sector_name])</f>
        <v>Energy</v>
      </c>
      <c r="L406" t="str">
        <v>COMP004-24-01-2025</v>
      </c>
      <c r="M406" t="str">
        <f>_xlfn.CONCAT(A405," ",B405)</f>
        <v>45680 COMP004</v>
      </c>
    </row>
    <row r="407" spans="1:13" x14ac:dyDescent="0.3">
      <c r="A407" s="20">
        <v>45684</v>
      </c>
      <c r="B407" s="7" t="s">
        <v>18</v>
      </c>
      <c r="C407" s="7">
        <v>598.95000000000005</v>
      </c>
      <c r="D407" s="7">
        <v>603.82000000000005</v>
      </c>
      <c r="E407" s="7">
        <v>594.09</v>
      </c>
      <c r="F407" s="7">
        <v>601.54</v>
      </c>
      <c r="G407" s="7">
        <v>23740</v>
      </c>
      <c r="H407" s="7">
        <f t="shared" si="8"/>
        <v>1.1453934900422227E-2</v>
      </c>
      <c r="I407" s="7">
        <f>PRODUCT(fact_daily_prices!$F407,fact_daily_prices!$G407)</f>
        <v>14280559.6</v>
      </c>
      <c r="J407" s="7" t="str">
        <f>_xlfn.XLOOKUP(fact_daily_prices!$B407,dim_company[company_id],dim_company[sector_id])</f>
        <v>SEC04</v>
      </c>
      <c r="K407" s="21" t="str">
        <f>_xlfn.XLOOKUP(fact_daily_prices!$J407,dim_sector[sector_id],dim_sector[sector_name])</f>
        <v>Energy</v>
      </c>
      <c r="L407" t="str">
        <v>COMP004-27-01-2025</v>
      </c>
      <c r="M407" t="str">
        <f>_xlfn.CONCAT(A406," ",B406)</f>
        <v>45681 COMP004</v>
      </c>
    </row>
    <row r="408" spans="1:13" x14ac:dyDescent="0.3">
      <c r="A408" s="17">
        <v>45685</v>
      </c>
      <c r="B408" s="18" t="s">
        <v>18</v>
      </c>
      <c r="C408" s="18">
        <v>600.67999999999995</v>
      </c>
      <c r="D408" s="18">
        <v>609.45000000000005</v>
      </c>
      <c r="E408" s="18">
        <v>591.9</v>
      </c>
      <c r="F408" s="18">
        <v>599.45000000000005</v>
      </c>
      <c r="G408" s="18">
        <v>17052</v>
      </c>
      <c r="H408" s="18">
        <f t="shared" si="8"/>
        <v>-3.4865293185418599E-3</v>
      </c>
      <c r="I408" s="18">
        <f>PRODUCT(fact_daily_prices!$F408,fact_daily_prices!$G408)</f>
        <v>10221821.4</v>
      </c>
      <c r="J408" s="18" t="str">
        <f>_xlfn.XLOOKUP(fact_daily_prices!$B408,dim_company[company_id],dim_company[sector_id])</f>
        <v>SEC04</v>
      </c>
      <c r="K408" s="19" t="str">
        <f>_xlfn.XLOOKUP(fact_daily_prices!$J408,dim_sector[sector_id],dim_sector[sector_name])</f>
        <v>Energy</v>
      </c>
      <c r="L408" t="str">
        <v>COMP004-28-01-2025</v>
      </c>
      <c r="M408" t="str">
        <f>_xlfn.CONCAT(A407," ",B407)</f>
        <v>45684 COMP004</v>
      </c>
    </row>
    <row r="409" spans="1:13" x14ac:dyDescent="0.3">
      <c r="A409" s="20">
        <v>45686</v>
      </c>
      <c r="B409" s="7" t="s">
        <v>18</v>
      </c>
      <c r="C409" s="7">
        <v>608.13</v>
      </c>
      <c r="D409" s="7">
        <v>618.85</v>
      </c>
      <c r="E409" s="7">
        <v>597.4</v>
      </c>
      <c r="F409" s="7">
        <v>609.09</v>
      </c>
      <c r="G409" s="7">
        <v>1163</v>
      </c>
      <c r="H409" s="7">
        <f t="shared" si="8"/>
        <v>1.5826889293864596E-2</v>
      </c>
      <c r="I409" s="7">
        <f>PRODUCT(fact_daily_prices!$F409,fact_daily_prices!$G409)</f>
        <v>708371.67</v>
      </c>
      <c r="J409" s="7" t="str">
        <f>_xlfn.XLOOKUP(fact_daily_prices!$B409,dim_company[company_id],dim_company[sector_id])</f>
        <v>SEC04</v>
      </c>
      <c r="K409" s="21" t="str">
        <f>_xlfn.XLOOKUP(fact_daily_prices!$J409,dim_sector[sector_id],dim_sector[sector_name])</f>
        <v>Energy</v>
      </c>
      <c r="L409" t="str">
        <v>COMP004-29-01-2025</v>
      </c>
      <c r="M409" t="str">
        <f>_xlfn.CONCAT(A408," ",B408)</f>
        <v>45685 COMP004</v>
      </c>
    </row>
    <row r="410" spans="1:13" x14ac:dyDescent="0.3">
      <c r="A410" s="17">
        <v>45687</v>
      </c>
      <c r="B410" s="18" t="s">
        <v>18</v>
      </c>
      <c r="C410" s="18">
        <v>604.72</v>
      </c>
      <c r="D410" s="18">
        <v>608.57000000000005</v>
      </c>
      <c r="E410" s="18">
        <v>600.88</v>
      </c>
      <c r="F410" s="18">
        <v>604.09</v>
      </c>
      <c r="G410" s="18">
        <v>11634</v>
      </c>
      <c r="H410" s="18">
        <f t="shared" si="8"/>
        <v>-8.2769123806055393E-3</v>
      </c>
      <c r="I410" s="18">
        <f>PRODUCT(fact_daily_prices!$F410,fact_daily_prices!$G410)</f>
        <v>7027983.0600000005</v>
      </c>
      <c r="J410" s="18" t="str">
        <f>_xlfn.XLOOKUP(fact_daily_prices!$B410,dim_company[company_id],dim_company[sector_id])</f>
        <v>SEC04</v>
      </c>
      <c r="K410" s="19" t="str">
        <f>_xlfn.XLOOKUP(fact_daily_prices!$J410,dim_sector[sector_id],dim_sector[sector_name])</f>
        <v>Energy</v>
      </c>
      <c r="L410" t="str">
        <v>COMP004-30-01-2025</v>
      </c>
      <c r="M410" t="str">
        <f>_xlfn.CONCAT(A409," ",B409)</f>
        <v>45686 COMP004</v>
      </c>
    </row>
    <row r="411" spans="1:13" x14ac:dyDescent="0.3">
      <c r="A411" s="20">
        <v>45688</v>
      </c>
      <c r="B411" s="7" t="s">
        <v>18</v>
      </c>
      <c r="C411" s="7">
        <v>603.99</v>
      </c>
      <c r="D411" s="7">
        <v>611.87</v>
      </c>
      <c r="E411" s="7">
        <v>596.12</v>
      </c>
      <c r="F411" s="7">
        <v>606.36</v>
      </c>
      <c r="G411" s="7">
        <v>30300</v>
      </c>
      <c r="H411" s="7">
        <f t="shared" si="8"/>
        <v>3.7436506365854968E-3</v>
      </c>
      <c r="I411" s="7">
        <f>PRODUCT(fact_daily_prices!$F411,fact_daily_prices!$G411)</f>
        <v>18372708</v>
      </c>
      <c r="J411" s="7" t="str">
        <f>_xlfn.XLOOKUP(fact_daily_prices!$B411,dim_company[company_id],dim_company[sector_id])</f>
        <v>SEC04</v>
      </c>
      <c r="K411" s="21" t="str">
        <f>_xlfn.XLOOKUP(fact_daily_prices!$J411,dim_sector[sector_id],dim_sector[sector_name])</f>
        <v>Energy</v>
      </c>
      <c r="L411" t="str">
        <v>COMP004-31-01-2025</v>
      </c>
      <c r="M411" t="str">
        <f>_xlfn.CONCAT(A410," ",B410)</f>
        <v>45687 COMP004</v>
      </c>
    </row>
    <row r="412" spans="1:13" x14ac:dyDescent="0.3">
      <c r="A412" s="17">
        <v>45691</v>
      </c>
      <c r="B412" s="18" t="s">
        <v>18</v>
      </c>
      <c r="C412" s="18">
        <v>602.17999999999995</v>
      </c>
      <c r="D412" s="18">
        <v>606.01</v>
      </c>
      <c r="E412" s="18">
        <v>598.35</v>
      </c>
      <c r="F412" s="18">
        <v>600.15</v>
      </c>
      <c r="G412" s="18">
        <v>38487</v>
      </c>
      <c r="H412" s="18">
        <f t="shared" si="8"/>
        <v>-1.0347413146713383E-2</v>
      </c>
      <c r="I412" s="18">
        <f>PRODUCT(fact_daily_prices!$F412,fact_daily_prices!$G412)</f>
        <v>23097973.050000001</v>
      </c>
      <c r="J412" s="18" t="str">
        <f>_xlfn.XLOOKUP(fact_daily_prices!$B412,dim_company[company_id],dim_company[sector_id])</f>
        <v>SEC04</v>
      </c>
      <c r="K412" s="19" t="str">
        <f>_xlfn.XLOOKUP(fact_daily_prices!$J412,dim_sector[sector_id],dim_sector[sector_name])</f>
        <v>Energy</v>
      </c>
      <c r="L412" t="str">
        <v>COMP004-03-02-2025</v>
      </c>
      <c r="M412" t="str">
        <f>_xlfn.CONCAT(A411," ",B411)</f>
        <v>45688 COMP004</v>
      </c>
    </row>
    <row r="413" spans="1:13" x14ac:dyDescent="0.3">
      <c r="A413" s="20">
        <v>45692</v>
      </c>
      <c r="B413" s="7" t="s">
        <v>18</v>
      </c>
      <c r="C413" s="7">
        <v>618.35</v>
      </c>
      <c r="D413" s="7">
        <v>625.84</v>
      </c>
      <c r="E413" s="7">
        <v>610.87</v>
      </c>
      <c r="F413" s="7">
        <v>616.74</v>
      </c>
      <c r="G413" s="7">
        <v>15056</v>
      </c>
      <c r="H413" s="7">
        <f t="shared" si="8"/>
        <v>2.6899503842786315E-2</v>
      </c>
      <c r="I413" s="7">
        <f>PRODUCT(fact_daily_prices!$F413,fact_daily_prices!$G413)</f>
        <v>9285637.4399999995</v>
      </c>
      <c r="J413" s="7" t="str">
        <f>_xlfn.XLOOKUP(fact_daily_prices!$B413,dim_company[company_id],dim_company[sector_id])</f>
        <v>SEC04</v>
      </c>
      <c r="K413" s="21" t="str">
        <f>_xlfn.XLOOKUP(fact_daily_prices!$J413,dim_sector[sector_id],dim_sector[sector_name])</f>
        <v>Energy</v>
      </c>
      <c r="L413" t="str">
        <v>COMP004-04-02-2025</v>
      </c>
      <c r="M413" t="str">
        <f>_xlfn.CONCAT(A412," ",B412)</f>
        <v>45691 COMP004</v>
      </c>
    </row>
    <row r="414" spans="1:13" x14ac:dyDescent="0.3">
      <c r="A414" s="17">
        <v>45693</v>
      </c>
      <c r="B414" s="18" t="s">
        <v>18</v>
      </c>
      <c r="C414" s="18">
        <v>606.24</v>
      </c>
      <c r="D414" s="18">
        <v>615.19000000000005</v>
      </c>
      <c r="E414" s="18">
        <v>597.28</v>
      </c>
      <c r="F414" s="18">
        <v>607.73</v>
      </c>
      <c r="G414" s="18">
        <v>44404</v>
      </c>
      <c r="H414" s="18">
        <f t="shared" si="8"/>
        <v>-1.4825662712059616E-2</v>
      </c>
      <c r="I414" s="18">
        <f>PRODUCT(fact_daily_prices!$F414,fact_daily_prices!$G414)</f>
        <v>26985642.920000002</v>
      </c>
      <c r="J414" s="18" t="str">
        <f>_xlfn.XLOOKUP(fact_daily_prices!$B414,dim_company[company_id],dim_company[sector_id])</f>
        <v>SEC04</v>
      </c>
      <c r="K414" s="19" t="str">
        <f>_xlfn.XLOOKUP(fact_daily_prices!$J414,dim_sector[sector_id],dim_sector[sector_name])</f>
        <v>Energy</v>
      </c>
      <c r="L414" t="str">
        <v>COMP004-05-02-2025</v>
      </c>
      <c r="M414" t="str">
        <f>_xlfn.CONCAT(A413," ",B413)</f>
        <v>45692 COMP004</v>
      </c>
    </row>
    <row r="415" spans="1:13" x14ac:dyDescent="0.3">
      <c r="A415" s="20">
        <v>45694</v>
      </c>
      <c r="B415" s="7" t="s">
        <v>18</v>
      </c>
      <c r="C415" s="7">
        <v>610.44000000000005</v>
      </c>
      <c r="D415" s="7">
        <v>611.87</v>
      </c>
      <c r="E415" s="7">
        <v>609</v>
      </c>
      <c r="F415" s="7">
        <v>610.25</v>
      </c>
      <c r="G415" s="7">
        <v>4191</v>
      </c>
      <c r="H415" s="7">
        <f t="shared" si="8"/>
        <v>4.1294551413354882E-3</v>
      </c>
      <c r="I415" s="7">
        <f>PRODUCT(fact_daily_prices!$F415,fact_daily_prices!$G415)</f>
        <v>2557557.75</v>
      </c>
      <c r="J415" s="7" t="str">
        <f>_xlfn.XLOOKUP(fact_daily_prices!$B415,dim_company[company_id],dim_company[sector_id])</f>
        <v>SEC04</v>
      </c>
      <c r="K415" s="21" t="str">
        <f>_xlfn.XLOOKUP(fact_daily_prices!$J415,dim_sector[sector_id],dim_sector[sector_name])</f>
        <v>Energy</v>
      </c>
      <c r="L415" t="str">
        <v>COMP004-06-02-2025</v>
      </c>
      <c r="M415" t="str">
        <f>_xlfn.CONCAT(A414," ",B414)</f>
        <v>45693 COMP004</v>
      </c>
    </row>
    <row r="416" spans="1:13" x14ac:dyDescent="0.3">
      <c r="A416" s="17">
        <v>45695</v>
      </c>
      <c r="B416" s="18" t="s">
        <v>18</v>
      </c>
      <c r="C416" s="18">
        <v>612.99</v>
      </c>
      <c r="D416" s="18">
        <v>619.16999999999996</v>
      </c>
      <c r="E416" s="18">
        <v>606.82000000000005</v>
      </c>
      <c r="F416" s="18">
        <v>615.29</v>
      </c>
      <c r="G416" s="18">
        <v>4631</v>
      </c>
      <c r="H416" s="18">
        <f t="shared" si="8"/>
        <v>8.1912594061336347E-3</v>
      </c>
      <c r="I416" s="18">
        <f>PRODUCT(fact_daily_prices!$F416,fact_daily_prices!$G416)</f>
        <v>2849407.9899999998</v>
      </c>
      <c r="J416" s="18" t="str">
        <f>_xlfn.XLOOKUP(fact_daily_prices!$B416,dim_company[company_id],dim_company[sector_id])</f>
        <v>SEC04</v>
      </c>
      <c r="K416" s="19" t="str">
        <f>_xlfn.XLOOKUP(fact_daily_prices!$J416,dim_sector[sector_id],dim_sector[sector_name])</f>
        <v>Energy</v>
      </c>
      <c r="L416" t="str">
        <v>COMP004-07-02-2025</v>
      </c>
      <c r="M416" t="str">
        <f>_xlfn.CONCAT(A415," ",B415)</f>
        <v>45694 COMP004</v>
      </c>
    </row>
    <row r="417" spans="1:13" x14ac:dyDescent="0.3">
      <c r="A417" s="20">
        <v>45698</v>
      </c>
      <c r="B417" s="7" t="s">
        <v>18</v>
      </c>
      <c r="C417" s="7">
        <v>615.02</v>
      </c>
      <c r="D417" s="7">
        <v>621.79999999999995</v>
      </c>
      <c r="E417" s="7">
        <v>608.25</v>
      </c>
      <c r="F417" s="7">
        <v>618.65</v>
      </c>
      <c r="G417" s="7">
        <v>21281</v>
      </c>
      <c r="H417" s="7">
        <f t="shared" si="8"/>
        <v>5.4311807968964905E-3</v>
      </c>
      <c r="I417" s="7">
        <f>PRODUCT(fact_daily_prices!$F417,fact_daily_prices!$G417)</f>
        <v>13165490.65</v>
      </c>
      <c r="J417" s="7" t="str">
        <f>_xlfn.XLOOKUP(fact_daily_prices!$B417,dim_company[company_id],dim_company[sector_id])</f>
        <v>SEC04</v>
      </c>
      <c r="K417" s="21" t="str">
        <f>_xlfn.XLOOKUP(fact_daily_prices!$J417,dim_sector[sector_id],dim_sector[sector_name])</f>
        <v>Energy</v>
      </c>
      <c r="L417" t="str">
        <v>COMP004-10-02-2025</v>
      </c>
      <c r="M417" t="str">
        <f>_xlfn.CONCAT(A416," ",B416)</f>
        <v>45695 COMP004</v>
      </c>
    </row>
    <row r="418" spans="1:13" x14ac:dyDescent="0.3">
      <c r="A418" s="17">
        <v>45699</v>
      </c>
      <c r="B418" s="18" t="s">
        <v>18</v>
      </c>
      <c r="C418" s="18">
        <v>614.1</v>
      </c>
      <c r="D418" s="18">
        <v>620.48</v>
      </c>
      <c r="E418" s="18">
        <v>607.71</v>
      </c>
      <c r="F418" s="18">
        <v>617.36</v>
      </c>
      <c r="G418" s="18">
        <v>42674</v>
      </c>
      <c r="H418" s="18">
        <f t="shared" si="8"/>
        <v>-2.0895425683555196E-3</v>
      </c>
      <c r="I418" s="18">
        <f>PRODUCT(fact_daily_prices!$F418,fact_daily_prices!$G418)</f>
        <v>26345220.640000001</v>
      </c>
      <c r="J418" s="18" t="str">
        <f>_xlfn.XLOOKUP(fact_daily_prices!$B418,dim_company[company_id],dim_company[sector_id])</f>
        <v>SEC04</v>
      </c>
      <c r="K418" s="19" t="str">
        <f>_xlfn.XLOOKUP(fact_daily_prices!$J418,dim_sector[sector_id],dim_sector[sector_name])</f>
        <v>Energy</v>
      </c>
      <c r="L418" t="str">
        <v>COMP004-11-02-2025</v>
      </c>
      <c r="M418" t="str">
        <f>_xlfn.CONCAT(A417," ",B417)</f>
        <v>45698 COMP004</v>
      </c>
    </row>
    <row r="419" spans="1:13" x14ac:dyDescent="0.3">
      <c r="A419" s="20">
        <v>45700</v>
      </c>
      <c r="B419" s="7" t="s">
        <v>18</v>
      </c>
      <c r="C419" s="7">
        <v>617.16999999999996</v>
      </c>
      <c r="D419" s="7">
        <v>622.6</v>
      </c>
      <c r="E419" s="7">
        <v>611.73</v>
      </c>
      <c r="F419" s="7">
        <v>616.49</v>
      </c>
      <c r="G419" s="7">
        <v>24253</v>
      </c>
      <c r="H419" s="7">
        <f t="shared" si="8"/>
        <v>-1.4112151048678884E-3</v>
      </c>
      <c r="I419" s="7">
        <f>PRODUCT(fact_daily_prices!$F419,fact_daily_prices!$G419)</f>
        <v>14951731.970000001</v>
      </c>
      <c r="J419" s="7" t="str">
        <f>_xlfn.XLOOKUP(fact_daily_prices!$B419,dim_company[company_id],dim_company[sector_id])</f>
        <v>SEC04</v>
      </c>
      <c r="K419" s="21" t="str">
        <f>_xlfn.XLOOKUP(fact_daily_prices!$J419,dim_sector[sector_id],dim_sector[sector_name])</f>
        <v>Energy</v>
      </c>
      <c r="L419" t="str">
        <v>COMP004-12-02-2025</v>
      </c>
      <c r="M419" t="str">
        <f>_xlfn.CONCAT(A418," ",B418)</f>
        <v>45699 COMP004</v>
      </c>
    </row>
    <row r="420" spans="1:13" x14ac:dyDescent="0.3">
      <c r="A420" s="17">
        <v>45701</v>
      </c>
      <c r="B420" s="18" t="s">
        <v>18</v>
      </c>
      <c r="C420" s="18">
        <v>617.12</v>
      </c>
      <c r="D420" s="18">
        <v>624.84</v>
      </c>
      <c r="E420" s="18">
        <v>609.41</v>
      </c>
      <c r="F420" s="18">
        <v>616.98</v>
      </c>
      <c r="G420" s="18">
        <v>8099</v>
      </c>
      <c r="H420" s="18">
        <f t="shared" si="8"/>
        <v>7.9419105967780011E-4</v>
      </c>
      <c r="I420" s="18">
        <f>PRODUCT(fact_daily_prices!$F420,fact_daily_prices!$G420)</f>
        <v>4996921.0200000005</v>
      </c>
      <c r="J420" s="18" t="str">
        <f>_xlfn.XLOOKUP(fact_daily_prices!$B420,dim_company[company_id],dim_company[sector_id])</f>
        <v>SEC04</v>
      </c>
      <c r="K420" s="19" t="str">
        <f>_xlfn.XLOOKUP(fact_daily_prices!$J420,dim_sector[sector_id],dim_sector[sector_name])</f>
        <v>Energy</v>
      </c>
      <c r="L420" t="str">
        <v>COMP004-13-02-2025</v>
      </c>
      <c r="M420" t="str">
        <f>_xlfn.CONCAT(A419," ",B419)</f>
        <v>45700 COMP004</v>
      </c>
    </row>
    <row r="421" spans="1:13" x14ac:dyDescent="0.3">
      <c r="A421" s="20">
        <v>45702</v>
      </c>
      <c r="B421" s="7" t="s">
        <v>18</v>
      </c>
      <c r="C421" s="7">
        <v>613.33000000000004</v>
      </c>
      <c r="D421" s="7">
        <v>621.54</v>
      </c>
      <c r="E421" s="7">
        <v>605.11</v>
      </c>
      <c r="F421" s="7">
        <v>615.99</v>
      </c>
      <c r="G421" s="7">
        <v>48684</v>
      </c>
      <c r="H421" s="7">
        <f t="shared" si="8"/>
        <v>-1.6071689475478646E-3</v>
      </c>
      <c r="I421" s="7">
        <f>PRODUCT(fact_daily_prices!$F421,fact_daily_prices!$G421)</f>
        <v>29988857.16</v>
      </c>
      <c r="J421" s="7" t="str">
        <f>_xlfn.XLOOKUP(fact_daily_prices!$B421,dim_company[company_id],dim_company[sector_id])</f>
        <v>SEC04</v>
      </c>
      <c r="K421" s="21" t="str">
        <f>_xlfn.XLOOKUP(fact_daily_prices!$J421,dim_sector[sector_id],dim_sector[sector_name])</f>
        <v>Energy</v>
      </c>
      <c r="L421" t="str">
        <v>COMP004-14-02-2025</v>
      </c>
      <c r="M421" t="str">
        <f>_xlfn.CONCAT(A420," ",B420)</f>
        <v>45701 COMP004</v>
      </c>
    </row>
    <row r="422" spans="1:13" x14ac:dyDescent="0.3">
      <c r="A422" s="17">
        <v>45705</v>
      </c>
      <c r="B422" s="18" t="s">
        <v>18</v>
      </c>
      <c r="C422" s="18">
        <v>625.05999999999995</v>
      </c>
      <c r="D422" s="18">
        <v>632.86</v>
      </c>
      <c r="E422" s="18">
        <v>617.27</v>
      </c>
      <c r="F422" s="18">
        <v>623.66</v>
      </c>
      <c r="G422" s="18">
        <v>27724</v>
      </c>
      <c r="H422" s="18">
        <f t="shared" si="8"/>
        <v>1.2298367700349484E-2</v>
      </c>
      <c r="I422" s="18">
        <f>PRODUCT(fact_daily_prices!$F422,fact_daily_prices!$G422)</f>
        <v>17290349.84</v>
      </c>
      <c r="J422" s="18" t="str">
        <f>_xlfn.XLOOKUP(fact_daily_prices!$B422,dim_company[company_id],dim_company[sector_id])</f>
        <v>SEC04</v>
      </c>
      <c r="K422" s="19" t="str">
        <f>_xlfn.XLOOKUP(fact_daily_prices!$J422,dim_sector[sector_id],dim_sector[sector_name])</f>
        <v>Energy</v>
      </c>
      <c r="L422" t="str">
        <v>COMP004-17-02-2025</v>
      </c>
      <c r="M422" t="str">
        <f>_xlfn.CONCAT(A421," ",B421)</f>
        <v>45702 COMP004</v>
      </c>
    </row>
    <row r="423" spans="1:13" x14ac:dyDescent="0.3">
      <c r="A423" s="20">
        <v>45706</v>
      </c>
      <c r="B423" s="7" t="s">
        <v>18</v>
      </c>
      <c r="C423" s="7">
        <v>641.49</v>
      </c>
      <c r="D423" s="7">
        <v>642.04</v>
      </c>
      <c r="E423" s="7">
        <v>640.94000000000005</v>
      </c>
      <c r="F423" s="7">
        <v>641.42999999999995</v>
      </c>
      <c r="G423" s="7">
        <v>29758</v>
      </c>
      <c r="H423" s="7">
        <f t="shared" si="8"/>
        <v>2.770372449059131E-2</v>
      </c>
      <c r="I423" s="7">
        <f>PRODUCT(fact_daily_prices!$F423,fact_daily_prices!$G423)</f>
        <v>19087673.939999998</v>
      </c>
      <c r="J423" s="7" t="str">
        <f>_xlfn.XLOOKUP(fact_daily_prices!$B423,dim_company[company_id],dim_company[sector_id])</f>
        <v>SEC04</v>
      </c>
      <c r="K423" s="21" t="str">
        <f>_xlfn.XLOOKUP(fact_daily_prices!$J423,dim_sector[sector_id],dim_sector[sector_name])</f>
        <v>Energy</v>
      </c>
      <c r="L423" t="str">
        <v>COMP004-18-02-2025</v>
      </c>
      <c r="M423" t="str">
        <f>_xlfn.CONCAT(A422," ",B422)</f>
        <v>45705 COMP004</v>
      </c>
    </row>
    <row r="424" spans="1:13" x14ac:dyDescent="0.3">
      <c r="A424" s="17">
        <v>45707</v>
      </c>
      <c r="B424" s="18" t="s">
        <v>18</v>
      </c>
      <c r="C424" s="18">
        <v>641.19000000000005</v>
      </c>
      <c r="D424" s="18">
        <v>646.22</v>
      </c>
      <c r="E424" s="18">
        <v>636.16999999999996</v>
      </c>
      <c r="F424" s="18">
        <v>637.09</v>
      </c>
      <c r="G424" s="18">
        <v>25034</v>
      </c>
      <c r="H424" s="18">
        <f t="shared" si="8"/>
        <v>-6.8122243325117616E-3</v>
      </c>
      <c r="I424" s="18">
        <f>PRODUCT(fact_daily_prices!$F424,fact_daily_prices!$G424)</f>
        <v>15948911.060000001</v>
      </c>
      <c r="J424" s="18" t="str">
        <f>_xlfn.XLOOKUP(fact_daily_prices!$B424,dim_company[company_id],dim_company[sector_id])</f>
        <v>SEC04</v>
      </c>
      <c r="K424" s="19" t="str">
        <f>_xlfn.XLOOKUP(fact_daily_prices!$J424,dim_sector[sector_id],dim_sector[sector_name])</f>
        <v>Energy</v>
      </c>
      <c r="L424" t="str">
        <v>COMP004-19-02-2025</v>
      </c>
      <c r="M424" t="str">
        <f>_xlfn.CONCAT(A423," ",B423)</f>
        <v>45706 COMP004</v>
      </c>
    </row>
    <row r="425" spans="1:13" x14ac:dyDescent="0.3">
      <c r="A425" s="20">
        <v>45708</v>
      </c>
      <c r="B425" s="7" t="s">
        <v>18</v>
      </c>
      <c r="C425" s="7">
        <v>620.41999999999996</v>
      </c>
      <c r="D425" s="7">
        <v>626.49</v>
      </c>
      <c r="E425" s="7">
        <v>614.36</v>
      </c>
      <c r="F425" s="7">
        <v>626.34</v>
      </c>
      <c r="G425" s="7">
        <v>23804</v>
      </c>
      <c r="H425" s="7">
        <f t="shared" si="8"/>
        <v>-1.7163202094708944E-2</v>
      </c>
      <c r="I425" s="7">
        <f>PRODUCT(fact_daily_prices!$F425,fact_daily_prices!$G425)</f>
        <v>14909397.360000001</v>
      </c>
      <c r="J425" s="7" t="str">
        <f>_xlfn.XLOOKUP(fact_daily_prices!$B425,dim_company[company_id],dim_company[sector_id])</f>
        <v>SEC04</v>
      </c>
      <c r="K425" s="21" t="str">
        <f>_xlfn.XLOOKUP(fact_daily_prices!$J425,dim_sector[sector_id],dim_sector[sector_name])</f>
        <v>Energy</v>
      </c>
      <c r="L425" t="str">
        <v>COMP004-20-02-2025</v>
      </c>
      <c r="M425" t="str">
        <f>_xlfn.CONCAT(A424," ",B424)</f>
        <v>45707 COMP004</v>
      </c>
    </row>
    <row r="426" spans="1:13" x14ac:dyDescent="0.3">
      <c r="A426" s="17">
        <v>45709</v>
      </c>
      <c r="B426" s="18" t="s">
        <v>18</v>
      </c>
      <c r="C426" s="18">
        <v>625.32000000000005</v>
      </c>
      <c r="D426" s="18">
        <v>630.64</v>
      </c>
      <c r="E426" s="18">
        <v>620.01</v>
      </c>
      <c r="F426" s="18">
        <v>625.79</v>
      </c>
      <c r="G426" s="18">
        <v>49355</v>
      </c>
      <c r="H426" s="18">
        <f t="shared" si="8"/>
        <v>-8.7888908419768332E-4</v>
      </c>
      <c r="I426" s="18">
        <f>PRODUCT(fact_daily_prices!$F426,fact_daily_prices!$G426)</f>
        <v>30885865.449999999</v>
      </c>
      <c r="J426" s="18" t="str">
        <f>_xlfn.XLOOKUP(fact_daily_prices!$B426,dim_company[company_id],dim_company[sector_id])</f>
        <v>SEC04</v>
      </c>
      <c r="K426" s="19" t="str">
        <f>_xlfn.XLOOKUP(fact_daily_prices!$J426,dim_sector[sector_id],dim_sector[sector_name])</f>
        <v>Energy</v>
      </c>
      <c r="L426" t="str">
        <v>COMP004-21-02-2025</v>
      </c>
      <c r="M426" t="str">
        <f>_xlfn.CONCAT(A425," ",B425)</f>
        <v>45708 COMP004</v>
      </c>
    </row>
    <row r="427" spans="1:13" x14ac:dyDescent="0.3">
      <c r="A427" s="20">
        <v>45712</v>
      </c>
      <c r="B427" s="7" t="s">
        <v>18</v>
      </c>
      <c r="C427" s="7">
        <v>643.87</v>
      </c>
      <c r="D427" s="7">
        <v>651.14</v>
      </c>
      <c r="E427" s="7">
        <v>636.6</v>
      </c>
      <c r="F427" s="7">
        <v>646.62</v>
      </c>
      <c r="G427" s="7">
        <v>39278</v>
      </c>
      <c r="H427" s="7">
        <f t="shared" si="8"/>
        <v>3.2213664903652905E-2</v>
      </c>
      <c r="I427" s="7">
        <f>PRODUCT(fact_daily_prices!$F427,fact_daily_prices!$G427)</f>
        <v>25397940.359999999</v>
      </c>
      <c r="J427" s="7" t="str">
        <f>_xlfn.XLOOKUP(fact_daily_prices!$B427,dim_company[company_id],dim_company[sector_id])</f>
        <v>SEC04</v>
      </c>
      <c r="K427" s="21" t="str">
        <f>_xlfn.XLOOKUP(fact_daily_prices!$J427,dim_sector[sector_id],dim_sector[sector_name])</f>
        <v>Energy</v>
      </c>
      <c r="L427" t="str">
        <v>COMP004-24-02-2025</v>
      </c>
      <c r="M427" t="str">
        <f>_xlfn.CONCAT(A426," ",B426)</f>
        <v>45709 COMP004</v>
      </c>
    </row>
    <row r="428" spans="1:13" x14ac:dyDescent="0.3">
      <c r="A428" s="17">
        <v>45713</v>
      </c>
      <c r="B428" s="18" t="s">
        <v>18</v>
      </c>
      <c r="C428" s="18">
        <v>643</v>
      </c>
      <c r="D428" s="18">
        <v>650.29</v>
      </c>
      <c r="E428" s="18">
        <v>635.71</v>
      </c>
      <c r="F428" s="18">
        <v>640.25</v>
      </c>
      <c r="G428" s="18">
        <v>28065</v>
      </c>
      <c r="H428" s="18">
        <f t="shared" si="8"/>
        <v>-9.9492385786802105E-3</v>
      </c>
      <c r="I428" s="18">
        <f>PRODUCT(fact_daily_prices!$F428,fact_daily_prices!$G428)</f>
        <v>17968616.25</v>
      </c>
      <c r="J428" s="18" t="str">
        <f>_xlfn.XLOOKUP(fact_daily_prices!$B428,dim_company[company_id],dim_company[sector_id])</f>
        <v>SEC04</v>
      </c>
      <c r="K428" s="19" t="str">
        <f>_xlfn.XLOOKUP(fact_daily_prices!$J428,dim_sector[sector_id],dim_sector[sector_name])</f>
        <v>Energy</v>
      </c>
      <c r="L428" t="str">
        <v>COMP004-25-02-2025</v>
      </c>
      <c r="M428" t="str">
        <f>_xlfn.CONCAT(A427," ",B427)</f>
        <v>45712 COMP004</v>
      </c>
    </row>
    <row r="429" spans="1:13" x14ac:dyDescent="0.3">
      <c r="A429" s="20">
        <v>45714</v>
      </c>
      <c r="B429" s="7" t="s">
        <v>18</v>
      </c>
      <c r="C429" s="7">
        <v>650.1</v>
      </c>
      <c r="D429" s="7">
        <v>655.05999999999995</v>
      </c>
      <c r="E429" s="7">
        <v>645.14</v>
      </c>
      <c r="F429" s="7">
        <v>653.77</v>
      </c>
      <c r="G429" s="7">
        <v>11759</v>
      </c>
      <c r="H429" s="7">
        <f t="shared" si="8"/>
        <v>2.0680055677072949E-2</v>
      </c>
      <c r="I429" s="7">
        <f>PRODUCT(fact_daily_prices!$F429,fact_daily_prices!$G429)</f>
        <v>7687681.4299999997</v>
      </c>
      <c r="J429" s="7" t="str">
        <f>_xlfn.XLOOKUP(fact_daily_prices!$B429,dim_company[company_id],dim_company[sector_id])</f>
        <v>SEC04</v>
      </c>
      <c r="K429" s="21" t="str">
        <f>_xlfn.XLOOKUP(fact_daily_prices!$J429,dim_sector[sector_id],dim_sector[sector_name])</f>
        <v>Energy</v>
      </c>
      <c r="L429" t="str">
        <v>COMP004-26-02-2025</v>
      </c>
      <c r="M429" t="str">
        <f>_xlfn.CONCAT(A428," ",B428)</f>
        <v>45713 COMP004</v>
      </c>
    </row>
    <row r="430" spans="1:13" x14ac:dyDescent="0.3">
      <c r="A430" s="17">
        <v>45715</v>
      </c>
      <c r="B430" s="18" t="s">
        <v>18</v>
      </c>
      <c r="C430" s="18">
        <v>669.53</v>
      </c>
      <c r="D430" s="18">
        <v>671.44</v>
      </c>
      <c r="E430" s="18">
        <v>667.61</v>
      </c>
      <c r="F430" s="18">
        <v>667.89</v>
      </c>
      <c r="G430" s="18">
        <v>14279</v>
      </c>
      <c r="H430" s="18">
        <f t="shared" si="8"/>
        <v>2.1141205887197E-2</v>
      </c>
      <c r="I430" s="18">
        <f>PRODUCT(fact_daily_prices!$F430,fact_daily_prices!$G430)</f>
        <v>9536801.3100000005</v>
      </c>
      <c r="J430" s="18" t="str">
        <f>_xlfn.XLOOKUP(fact_daily_prices!$B430,dim_company[company_id],dim_company[sector_id])</f>
        <v>SEC04</v>
      </c>
      <c r="K430" s="19" t="str">
        <f>_xlfn.XLOOKUP(fact_daily_prices!$J430,dim_sector[sector_id],dim_sector[sector_name])</f>
        <v>Energy</v>
      </c>
      <c r="L430" t="str">
        <v>COMP004-27-02-2025</v>
      </c>
      <c r="M430" t="str">
        <f>_xlfn.CONCAT(A429," ",B429)</f>
        <v>45714 COMP004</v>
      </c>
    </row>
    <row r="431" spans="1:13" x14ac:dyDescent="0.3">
      <c r="A431" s="20">
        <v>45716</v>
      </c>
      <c r="B431" s="7" t="s">
        <v>18</v>
      </c>
      <c r="C431" s="7">
        <v>660.86</v>
      </c>
      <c r="D431" s="7">
        <v>670.24</v>
      </c>
      <c r="E431" s="7">
        <v>651.48</v>
      </c>
      <c r="F431" s="7">
        <v>663.41</v>
      </c>
      <c r="G431" s="7">
        <v>36144</v>
      </c>
      <c r="H431" s="7">
        <f t="shared" si="8"/>
        <v>-6.7529883480804001E-3</v>
      </c>
      <c r="I431" s="7">
        <f>PRODUCT(fact_daily_prices!$F431,fact_daily_prices!$G431)</f>
        <v>23978291.039999999</v>
      </c>
      <c r="J431" s="7" t="str">
        <f>_xlfn.XLOOKUP(fact_daily_prices!$B431,dim_company[company_id],dim_company[sector_id])</f>
        <v>SEC04</v>
      </c>
      <c r="K431" s="21" t="str">
        <f>_xlfn.XLOOKUP(fact_daily_prices!$J431,dim_sector[sector_id],dim_sector[sector_name])</f>
        <v>Energy</v>
      </c>
      <c r="L431" t="str">
        <v>COMP004-28-02-2025</v>
      </c>
      <c r="M431" t="str">
        <f>_xlfn.CONCAT(A430," ",B430)</f>
        <v>45715 COMP004</v>
      </c>
    </row>
    <row r="432" spans="1:13" x14ac:dyDescent="0.3">
      <c r="A432" s="17">
        <v>45719</v>
      </c>
      <c r="B432" s="18" t="s">
        <v>18</v>
      </c>
      <c r="C432" s="18">
        <v>669.52</v>
      </c>
      <c r="D432" s="18">
        <v>673.45</v>
      </c>
      <c r="E432" s="18">
        <v>665.59</v>
      </c>
      <c r="F432" s="18">
        <v>668.34</v>
      </c>
      <c r="G432" s="18">
        <v>12824</v>
      </c>
      <c r="H432" s="18">
        <f t="shared" si="8"/>
        <v>7.3764850225933858E-3</v>
      </c>
      <c r="I432" s="18">
        <f>PRODUCT(fact_daily_prices!$F432,fact_daily_prices!$G432)</f>
        <v>8570792.1600000001</v>
      </c>
      <c r="J432" s="18" t="str">
        <f>_xlfn.XLOOKUP(fact_daily_prices!$B432,dim_company[company_id],dim_company[sector_id])</f>
        <v>SEC04</v>
      </c>
      <c r="K432" s="19" t="str">
        <f>_xlfn.XLOOKUP(fact_daily_prices!$J432,dim_sector[sector_id],dim_sector[sector_name])</f>
        <v>Energy</v>
      </c>
      <c r="L432" t="str">
        <v>COMP004-03-03-2025</v>
      </c>
      <c r="M432" t="str">
        <f>_xlfn.CONCAT(A431," ",B431)</f>
        <v>45716 COMP004</v>
      </c>
    </row>
    <row r="433" spans="1:13" x14ac:dyDescent="0.3">
      <c r="A433" s="20">
        <v>45720</v>
      </c>
      <c r="B433" s="7" t="s">
        <v>18</v>
      </c>
      <c r="C433" s="7">
        <v>682.32</v>
      </c>
      <c r="D433" s="7">
        <v>685.84</v>
      </c>
      <c r="E433" s="7">
        <v>678.8</v>
      </c>
      <c r="F433" s="7">
        <v>682.36</v>
      </c>
      <c r="G433" s="7">
        <v>43600</v>
      </c>
      <c r="H433" s="7">
        <f t="shared" si="8"/>
        <v>2.0546339175801603E-2</v>
      </c>
      <c r="I433" s="7">
        <f>PRODUCT(fact_daily_prices!$F433,fact_daily_prices!$G433)</f>
        <v>29750896</v>
      </c>
      <c r="J433" s="7" t="str">
        <f>_xlfn.XLOOKUP(fact_daily_prices!$B433,dim_company[company_id],dim_company[sector_id])</f>
        <v>SEC04</v>
      </c>
      <c r="K433" s="21" t="str">
        <f>_xlfn.XLOOKUP(fact_daily_prices!$J433,dim_sector[sector_id],dim_sector[sector_name])</f>
        <v>Energy</v>
      </c>
      <c r="L433" t="str">
        <v>COMP004-04-03-2025</v>
      </c>
      <c r="M433" t="str">
        <f>_xlfn.CONCAT(A432," ",B432)</f>
        <v>45719 COMP004</v>
      </c>
    </row>
    <row r="434" spans="1:13" x14ac:dyDescent="0.3">
      <c r="A434" s="17">
        <v>45721</v>
      </c>
      <c r="B434" s="18" t="s">
        <v>18</v>
      </c>
      <c r="C434" s="18">
        <v>680.04</v>
      </c>
      <c r="D434" s="18">
        <v>688.02</v>
      </c>
      <c r="E434" s="18">
        <v>672.06</v>
      </c>
      <c r="F434" s="18">
        <v>679.27</v>
      </c>
      <c r="G434" s="18">
        <v>21669</v>
      </c>
      <c r="H434" s="18">
        <f t="shared" si="8"/>
        <v>-4.549001133569909E-3</v>
      </c>
      <c r="I434" s="18">
        <f>PRODUCT(fact_daily_prices!$F434,fact_daily_prices!$G434)</f>
        <v>14719101.629999999</v>
      </c>
      <c r="J434" s="18" t="str">
        <f>_xlfn.XLOOKUP(fact_daily_prices!$B434,dim_company[company_id],dim_company[sector_id])</f>
        <v>SEC04</v>
      </c>
      <c r="K434" s="19" t="str">
        <f>_xlfn.XLOOKUP(fact_daily_prices!$J434,dim_sector[sector_id],dim_sector[sector_name])</f>
        <v>Energy</v>
      </c>
      <c r="L434" t="str">
        <v>COMP004-05-03-2025</v>
      </c>
      <c r="M434" t="str">
        <f>_xlfn.CONCAT(A433," ",B433)</f>
        <v>45720 COMP004</v>
      </c>
    </row>
    <row r="435" spans="1:13" x14ac:dyDescent="0.3">
      <c r="A435" s="20">
        <v>45722</v>
      </c>
      <c r="B435" s="7" t="s">
        <v>18</v>
      </c>
      <c r="C435" s="7">
        <v>681.58</v>
      </c>
      <c r="D435" s="7">
        <v>689.83</v>
      </c>
      <c r="E435" s="7">
        <v>673.32</v>
      </c>
      <c r="F435" s="7">
        <v>677.69</v>
      </c>
      <c r="G435" s="7">
        <v>21131</v>
      </c>
      <c r="H435" s="7">
        <f t="shared" si="8"/>
        <v>-2.3314494828017636E-3</v>
      </c>
      <c r="I435" s="7">
        <f>PRODUCT(fact_daily_prices!$F435,fact_daily_prices!$G435)</f>
        <v>14320267.390000001</v>
      </c>
      <c r="J435" s="7" t="str">
        <f>_xlfn.XLOOKUP(fact_daily_prices!$B435,dim_company[company_id],dim_company[sector_id])</f>
        <v>SEC04</v>
      </c>
      <c r="K435" s="21" t="str">
        <f>_xlfn.XLOOKUP(fact_daily_prices!$J435,dim_sector[sector_id],dim_sector[sector_name])</f>
        <v>Energy</v>
      </c>
      <c r="L435" t="str">
        <v>COMP004-06-03-2025</v>
      </c>
      <c r="M435" t="str">
        <f>_xlfn.CONCAT(A434," ",B434)</f>
        <v>45721 COMP004</v>
      </c>
    </row>
    <row r="436" spans="1:13" x14ac:dyDescent="0.3">
      <c r="A436" s="17">
        <v>45723</v>
      </c>
      <c r="B436" s="18" t="s">
        <v>18</v>
      </c>
      <c r="C436" s="18">
        <v>668.28</v>
      </c>
      <c r="D436" s="18">
        <v>676.84</v>
      </c>
      <c r="E436" s="18">
        <v>659.71</v>
      </c>
      <c r="F436" s="18">
        <v>672.9</v>
      </c>
      <c r="G436" s="18">
        <v>34548</v>
      </c>
      <c r="H436" s="18">
        <f t="shared" si="8"/>
        <v>-7.1184425620449956E-3</v>
      </c>
      <c r="I436" s="18">
        <f>PRODUCT(fact_daily_prices!$F436,fact_daily_prices!$G436)</f>
        <v>23247349.199999999</v>
      </c>
      <c r="J436" s="18" t="str">
        <f>_xlfn.XLOOKUP(fact_daily_prices!$B436,dim_company[company_id],dim_company[sector_id])</f>
        <v>SEC04</v>
      </c>
      <c r="K436" s="19" t="str">
        <f>_xlfn.XLOOKUP(fact_daily_prices!$J436,dim_sector[sector_id],dim_sector[sector_name])</f>
        <v>Energy</v>
      </c>
      <c r="L436" t="str">
        <v>COMP004-07-03-2025</v>
      </c>
      <c r="M436" t="str">
        <f>_xlfn.CONCAT(A435," ",B435)</f>
        <v>45722 COMP004</v>
      </c>
    </row>
    <row r="437" spans="1:13" x14ac:dyDescent="0.3">
      <c r="A437" s="20">
        <v>45726</v>
      </c>
      <c r="B437" s="7" t="s">
        <v>18</v>
      </c>
      <c r="C437" s="7">
        <v>663.41</v>
      </c>
      <c r="D437" s="7">
        <v>672.25</v>
      </c>
      <c r="E437" s="7">
        <v>654.57000000000005</v>
      </c>
      <c r="F437" s="7">
        <v>664.51</v>
      </c>
      <c r="G437" s="7">
        <v>10503</v>
      </c>
      <c r="H437" s="7">
        <f t="shared" si="8"/>
        <v>-1.262584460730461E-2</v>
      </c>
      <c r="I437" s="7">
        <f>PRODUCT(fact_daily_prices!$F437,fact_daily_prices!$G437)</f>
        <v>6979348.5300000003</v>
      </c>
      <c r="J437" s="7" t="str">
        <f>_xlfn.XLOOKUP(fact_daily_prices!$B437,dim_company[company_id],dim_company[sector_id])</f>
        <v>SEC04</v>
      </c>
      <c r="K437" s="21" t="str">
        <f>_xlfn.XLOOKUP(fact_daily_prices!$J437,dim_sector[sector_id],dim_sector[sector_name])</f>
        <v>Energy</v>
      </c>
      <c r="L437" t="str">
        <v>COMP004-10-03-2025</v>
      </c>
      <c r="M437" t="str">
        <f>_xlfn.CONCAT(A436," ",B436)</f>
        <v>45723 COMP004</v>
      </c>
    </row>
    <row r="438" spans="1:13" x14ac:dyDescent="0.3">
      <c r="A438" s="17">
        <v>45727</v>
      </c>
      <c r="B438" s="18" t="s">
        <v>18</v>
      </c>
      <c r="C438" s="18">
        <v>662.29</v>
      </c>
      <c r="D438" s="18">
        <v>667.38</v>
      </c>
      <c r="E438" s="18">
        <v>657.19</v>
      </c>
      <c r="F438" s="18">
        <v>659.25</v>
      </c>
      <c r="G438" s="18">
        <v>17905</v>
      </c>
      <c r="H438" s="18">
        <f t="shared" si="8"/>
        <v>-7.9787637466818221E-3</v>
      </c>
      <c r="I438" s="18">
        <f>PRODUCT(fact_daily_prices!$F438,fact_daily_prices!$G438)</f>
        <v>11803871.25</v>
      </c>
      <c r="J438" s="18" t="str">
        <f>_xlfn.XLOOKUP(fact_daily_prices!$B438,dim_company[company_id],dim_company[sector_id])</f>
        <v>SEC04</v>
      </c>
      <c r="K438" s="19" t="str">
        <f>_xlfn.XLOOKUP(fact_daily_prices!$J438,dim_sector[sector_id],dim_sector[sector_name])</f>
        <v>Energy</v>
      </c>
      <c r="L438" t="str">
        <v>COMP004-11-03-2025</v>
      </c>
      <c r="M438" t="str">
        <f>_xlfn.CONCAT(A437," ",B437)</f>
        <v>45726 COMP004</v>
      </c>
    </row>
    <row r="439" spans="1:13" x14ac:dyDescent="0.3">
      <c r="A439" s="20">
        <v>45728</v>
      </c>
      <c r="B439" s="7" t="s">
        <v>18</v>
      </c>
      <c r="C439" s="7">
        <v>645.49</v>
      </c>
      <c r="D439" s="7">
        <v>653.71</v>
      </c>
      <c r="E439" s="7">
        <v>637.27</v>
      </c>
      <c r="F439" s="7">
        <v>649.32000000000005</v>
      </c>
      <c r="G439" s="7">
        <v>27806</v>
      </c>
      <c r="H439" s="7">
        <f t="shared" si="8"/>
        <v>-1.5292921825910105E-2</v>
      </c>
      <c r="I439" s="7">
        <f>PRODUCT(fact_daily_prices!$F439,fact_daily_prices!$G439)</f>
        <v>18054991.920000002</v>
      </c>
      <c r="J439" s="7" t="str">
        <f>_xlfn.XLOOKUP(fact_daily_prices!$B439,dim_company[company_id],dim_company[sector_id])</f>
        <v>SEC04</v>
      </c>
      <c r="K439" s="21" t="str">
        <f>_xlfn.XLOOKUP(fact_daily_prices!$J439,dim_sector[sector_id],dim_sector[sector_name])</f>
        <v>Energy</v>
      </c>
      <c r="L439" t="str">
        <v>COMP004-12-03-2025</v>
      </c>
      <c r="M439" t="str">
        <f>_xlfn.CONCAT(A438," ",B438)</f>
        <v>45727 COMP004</v>
      </c>
    </row>
    <row r="440" spans="1:13" x14ac:dyDescent="0.3">
      <c r="A440" s="17">
        <v>45729</v>
      </c>
      <c r="B440" s="18" t="s">
        <v>18</v>
      </c>
      <c r="C440" s="18">
        <v>647.92999999999995</v>
      </c>
      <c r="D440" s="18">
        <v>650.99</v>
      </c>
      <c r="E440" s="18">
        <v>644.87</v>
      </c>
      <c r="F440" s="18">
        <v>649.76</v>
      </c>
      <c r="G440" s="18">
        <v>40896</v>
      </c>
      <c r="H440" s="18">
        <f t="shared" si="8"/>
        <v>6.7717311007132E-4</v>
      </c>
      <c r="I440" s="18">
        <f>PRODUCT(fact_daily_prices!$F440,fact_daily_prices!$G440)</f>
        <v>26572584.960000001</v>
      </c>
      <c r="J440" s="18" t="str">
        <f>_xlfn.XLOOKUP(fact_daily_prices!$B440,dim_company[company_id],dim_company[sector_id])</f>
        <v>SEC04</v>
      </c>
      <c r="K440" s="19" t="str">
        <f>_xlfn.XLOOKUP(fact_daily_prices!$J440,dim_sector[sector_id],dim_sector[sector_name])</f>
        <v>Energy</v>
      </c>
      <c r="L440" t="str">
        <v>COMP004-13-03-2025</v>
      </c>
      <c r="M440" t="str">
        <f>_xlfn.CONCAT(A439," ",B439)</f>
        <v>45728 COMP004</v>
      </c>
    </row>
    <row r="441" spans="1:13" x14ac:dyDescent="0.3">
      <c r="A441" s="20">
        <v>45730</v>
      </c>
      <c r="B441" s="7" t="s">
        <v>18</v>
      </c>
      <c r="C441" s="7">
        <v>642.92999999999995</v>
      </c>
      <c r="D441" s="7">
        <v>645.74</v>
      </c>
      <c r="E441" s="7">
        <v>640.11</v>
      </c>
      <c r="F441" s="7">
        <v>643.64</v>
      </c>
      <c r="G441" s="7">
        <v>15291</v>
      </c>
      <c r="H441" s="7">
        <f t="shared" si="8"/>
        <v>-9.5084208563793494E-3</v>
      </c>
      <c r="I441" s="7">
        <f>PRODUCT(fact_daily_prices!$F441,fact_daily_prices!$G441)</f>
        <v>9841899.2400000002</v>
      </c>
      <c r="J441" s="7" t="str">
        <f>_xlfn.XLOOKUP(fact_daily_prices!$B441,dim_company[company_id],dim_company[sector_id])</f>
        <v>SEC04</v>
      </c>
      <c r="K441" s="21" t="str">
        <f>_xlfn.XLOOKUP(fact_daily_prices!$J441,dim_sector[sector_id],dim_sector[sector_name])</f>
        <v>Energy</v>
      </c>
      <c r="L441" t="str">
        <v>COMP004-14-03-2025</v>
      </c>
      <c r="M441" t="str">
        <f>_xlfn.CONCAT(A440," ",B440)</f>
        <v>45729 COMP004</v>
      </c>
    </row>
    <row r="442" spans="1:13" x14ac:dyDescent="0.3">
      <c r="A442" s="17">
        <v>45733</v>
      </c>
      <c r="B442" s="18" t="s">
        <v>18</v>
      </c>
      <c r="C442" s="18">
        <v>645.20000000000005</v>
      </c>
      <c r="D442" s="18">
        <v>647.26</v>
      </c>
      <c r="E442" s="18">
        <v>643.14</v>
      </c>
      <c r="F442" s="18">
        <v>645.69000000000005</v>
      </c>
      <c r="G442" s="18">
        <v>34453</v>
      </c>
      <c r="H442" s="18">
        <f t="shared" si="8"/>
        <v>3.1748981709490125E-3</v>
      </c>
      <c r="I442" s="18">
        <f>PRODUCT(fact_daily_prices!$F442,fact_daily_prices!$G442)</f>
        <v>22245957.57</v>
      </c>
      <c r="J442" s="18" t="str">
        <f>_xlfn.XLOOKUP(fact_daily_prices!$B442,dim_company[company_id],dim_company[sector_id])</f>
        <v>SEC04</v>
      </c>
      <c r="K442" s="19" t="str">
        <f>_xlfn.XLOOKUP(fact_daily_prices!$J442,dim_sector[sector_id],dim_sector[sector_name])</f>
        <v>Energy</v>
      </c>
      <c r="L442" t="str">
        <v>COMP004-17-03-2025</v>
      </c>
      <c r="M442" t="str">
        <f>_xlfn.CONCAT(A441," ",B441)</f>
        <v>45730 COMP004</v>
      </c>
    </row>
    <row r="443" spans="1:13" x14ac:dyDescent="0.3">
      <c r="A443" s="20">
        <v>45734</v>
      </c>
      <c r="B443" s="7" t="s">
        <v>18</v>
      </c>
      <c r="C443" s="7">
        <v>627.1</v>
      </c>
      <c r="D443" s="7">
        <v>633.47</v>
      </c>
      <c r="E443" s="7">
        <v>620.74</v>
      </c>
      <c r="F443" s="7">
        <v>633.30999999999995</v>
      </c>
      <c r="G443" s="7">
        <v>31841</v>
      </c>
      <c r="H443" s="7">
        <f t="shared" si="8"/>
        <v>-1.9548088613791207E-2</v>
      </c>
      <c r="I443" s="7">
        <f>PRODUCT(fact_daily_prices!$F443,fact_daily_prices!$G443)</f>
        <v>20165223.709999997</v>
      </c>
      <c r="J443" s="7" t="str">
        <f>_xlfn.XLOOKUP(fact_daily_prices!$B443,dim_company[company_id],dim_company[sector_id])</f>
        <v>SEC04</v>
      </c>
      <c r="K443" s="21" t="str">
        <f>_xlfn.XLOOKUP(fact_daily_prices!$J443,dim_sector[sector_id],dim_sector[sector_name])</f>
        <v>Energy</v>
      </c>
      <c r="L443" t="str">
        <v>COMP004-18-03-2025</v>
      </c>
      <c r="M443" t="str">
        <f>_xlfn.CONCAT(A442," ",B442)</f>
        <v>45733 COMP004</v>
      </c>
    </row>
    <row r="444" spans="1:13" x14ac:dyDescent="0.3">
      <c r="A444" s="17">
        <v>45735</v>
      </c>
      <c r="B444" s="18" t="s">
        <v>18</v>
      </c>
      <c r="C444" s="18">
        <v>635.80999999999995</v>
      </c>
      <c r="D444" s="18">
        <v>646.48</v>
      </c>
      <c r="E444" s="18">
        <v>625.14</v>
      </c>
      <c r="F444" s="18">
        <v>636.1</v>
      </c>
      <c r="G444" s="18">
        <v>11736</v>
      </c>
      <c r="H444" s="18">
        <f t="shared" si="8"/>
        <v>4.386102814023074E-3</v>
      </c>
      <c r="I444" s="18">
        <f>PRODUCT(fact_daily_prices!$F444,fact_daily_prices!$G444)</f>
        <v>7465269.6000000006</v>
      </c>
      <c r="J444" s="18" t="str">
        <f>_xlfn.XLOOKUP(fact_daily_prices!$B444,dim_company[company_id],dim_company[sector_id])</f>
        <v>SEC04</v>
      </c>
      <c r="K444" s="19" t="str">
        <f>_xlfn.XLOOKUP(fact_daily_prices!$J444,dim_sector[sector_id],dim_sector[sector_name])</f>
        <v>Energy</v>
      </c>
      <c r="L444" t="str">
        <v>COMP004-19-03-2025</v>
      </c>
      <c r="M444" t="str">
        <f>_xlfn.CONCAT(A443," ",B443)</f>
        <v>45734 COMP004</v>
      </c>
    </row>
    <row r="445" spans="1:13" x14ac:dyDescent="0.3">
      <c r="A445" s="20">
        <v>45736</v>
      </c>
      <c r="B445" s="7" t="s">
        <v>18</v>
      </c>
      <c r="C445" s="7">
        <v>641.13</v>
      </c>
      <c r="D445" s="7">
        <v>646.29</v>
      </c>
      <c r="E445" s="7">
        <v>635.97</v>
      </c>
      <c r="F445" s="7">
        <v>642.97</v>
      </c>
      <c r="G445" s="7">
        <v>35964</v>
      </c>
      <c r="H445" s="7">
        <f t="shared" si="8"/>
        <v>1.0684790892265587E-2</v>
      </c>
      <c r="I445" s="7">
        <f>PRODUCT(fact_daily_prices!$F445,fact_daily_prices!$G445)</f>
        <v>23123773.080000002</v>
      </c>
      <c r="J445" s="7" t="str">
        <f>_xlfn.XLOOKUP(fact_daily_prices!$B445,dim_company[company_id],dim_company[sector_id])</f>
        <v>SEC04</v>
      </c>
      <c r="K445" s="21" t="str">
        <f>_xlfn.XLOOKUP(fact_daily_prices!$J445,dim_sector[sector_id],dim_sector[sector_name])</f>
        <v>Energy</v>
      </c>
      <c r="L445" t="str">
        <v>COMP004-20-03-2025</v>
      </c>
      <c r="M445" t="str">
        <f>_xlfn.CONCAT(A444," ",B444)</f>
        <v>45735 COMP004</v>
      </c>
    </row>
    <row r="446" spans="1:13" x14ac:dyDescent="0.3">
      <c r="A446" s="17">
        <v>45737</v>
      </c>
      <c r="B446" s="18" t="s">
        <v>18</v>
      </c>
      <c r="C446" s="18">
        <v>629.02</v>
      </c>
      <c r="D446" s="18">
        <v>636.64</v>
      </c>
      <c r="E446" s="18">
        <v>621.39</v>
      </c>
      <c r="F446" s="18">
        <v>627.16999999999996</v>
      </c>
      <c r="G446" s="18">
        <v>15215</v>
      </c>
      <c r="H446" s="18">
        <f t="shared" si="8"/>
        <v>-2.5192531530526124E-2</v>
      </c>
      <c r="I446" s="18">
        <f>PRODUCT(fact_daily_prices!$F446,fact_daily_prices!$G446)</f>
        <v>9542391.5499999989</v>
      </c>
      <c r="J446" s="18" t="str">
        <f>_xlfn.XLOOKUP(fact_daily_prices!$B446,dim_company[company_id],dim_company[sector_id])</f>
        <v>SEC04</v>
      </c>
      <c r="K446" s="19" t="str">
        <f>_xlfn.XLOOKUP(fact_daily_prices!$J446,dim_sector[sector_id],dim_sector[sector_name])</f>
        <v>Energy</v>
      </c>
      <c r="L446" t="str">
        <v>COMP004-21-03-2025</v>
      </c>
      <c r="M446" t="str">
        <f>_xlfn.CONCAT(A445," ",B445)</f>
        <v>45736 COMP004</v>
      </c>
    </row>
    <row r="447" spans="1:13" x14ac:dyDescent="0.3">
      <c r="A447" s="20">
        <v>45740</v>
      </c>
      <c r="B447" s="7" t="s">
        <v>18</v>
      </c>
      <c r="C447" s="7">
        <v>631.48</v>
      </c>
      <c r="D447" s="7">
        <v>639.71</v>
      </c>
      <c r="E447" s="7">
        <v>623.25</v>
      </c>
      <c r="F447" s="7">
        <v>630.28</v>
      </c>
      <c r="G447" s="7">
        <v>30334</v>
      </c>
      <c r="H447" s="7">
        <f t="shared" si="8"/>
        <v>4.9343149076601098E-3</v>
      </c>
      <c r="I447" s="7">
        <f>PRODUCT(fact_daily_prices!$F447,fact_daily_prices!$G447)</f>
        <v>19118913.52</v>
      </c>
      <c r="J447" s="7" t="str">
        <f>_xlfn.XLOOKUP(fact_daily_prices!$B447,dim_company[company_id],dim_company[sector_id])</f>
        <v>SEC04</v>
      </c>
      <c r="K447" s="21" t="str">
        <f>_xlfn.XLOOKUP(fact_daily_prices!$J447,dim_sector[sector_id],dim_sector[sector_name])</f>
        <v>Energy</v>
      </c>
      <c r="L447" t="str">
        <v>COMP004-24-03-2025</v>
      </c>
      <c r="M447" t="str">
        <f>_xlfn.CONCAT(A446," ",B446)</f>
        <v>45737 COMP004</v>
      </c>
    </row>
    <row r="448" spans="1:13" x14ac:dyDescent="0.3">
      <c r="A448" s="17">
        <v>45741</v>
      </c>
      <c r="B448" s="18" t="s">
        <v>18</v>
      </c>
      <c r="C448" s="18">
        <v>643.32000000000005</v>
      </c>
      <c r="D448" s="18">
        <v>648.66</v>
      </c>
      <c r="E448" s="18">
        <v>637.99</v>
      </c>
      <c r="F448" s="18">
        <v>640.26</v>
      </c>
      <c r="G448" s="18">
        <v>21714</v>
      </c>
      <c r="H448" s="18">
        <f t="shared" si="8"/>
        <v>1.5587417611595319E-2</v>
      </c>
      <c r="I448" s="18">
        <f>PRODUCT(fact_daily_prices!$F448,fact_daily_prices!$G448)</f>
        <v>13902605.640000001</v>
      </c>
      <c r="J448" s="18" t="str">
        <f>_xlfn.XLOOKUP(fact_daily_prices!$B448,dim_company[company_id],dim_company[sector_id])</f>
        <v>SEC04</v>
      </c>
      <c r="K448" s="19" t="str">
        <f>_xlfn.XLOOKUP(fact_daily_prices!$J448,dim_sector[sector_id],dim_sector[sector_name])</f>
        <v>Energy</v>
      </c>
      <c r="L448" t="str">
        <v>COMP004-25-03-2025</v>
      </c>
      <c r="M448" t="str">
        <f>_xlfn.CONCAT(A447," ",B447)</f>
        <v>45740 COMP004</v>
      </c>
    </row>
    <row r="449" spans="1:13" x14ac:dyDescent="0.3">
      <c r="A449" s="20">
        <v>45742</v>
      </c>
      <c r="B449" s="7" t="s">
        <v>18</v>
      </c>
      <c r="C449" s="7">
        <v>629.02</v>
      </c>
      <c r="D449" s="7">
        <v>634.12</v>
      </c>
      <c r="E449" s="7">
        <v>623.91999999999996</v>
      </c>
      <c r="F449" s="7">
        <v>630.73</v>
      </c>
      <c r="G449" s="7">
        <v>49908</v>
      </c>
      <c r="H449" s="7">
        <f t="shared" si="8"/>
        <v>-1.5109476321088219E-2</v>
      </c>
      <c r="I449" s="7">
        <f>PRODUCT(fact_daily_prices!$F449,fact_daily_prices!$G449)</f>
        <v>31478472.84</v>
      </c>
      <c r="J449" s="7" t="str">
        <f>_xlfn.XLOOKUP(fact_daily_prices!$B449,dim_company[company_id],dim_company[sector_id])</f>
        <v>SEC04</v>
      </c>
      <c r="K449" s="21" t="str">
        <f>_xlfn.XLOOKUP(fact_daily_prices!$J449,dim_sector[sector_id],dim_sector[sector_name])</f>
        <v>Energy</v>
      </c>
      <c r="L449" t="str">
        <v>COMP004-26-03-2025</v>
      </c>
      <c r="M449" t="str">
        <f>_xlfn.CONCAT(A448," ",B448)</f>
        <v>45741 COMP004</v>
      </c>
    </row>
    <row r="450" spans="1:13" x14ac:dyDescent="0.3">
      <c r="A450" s="17">
        <v>45743</v>
      </c>
      <c r="B450" s="18" t="s">
        <v>18</v>
      </c>
      <c r="C450" s="18">
        <v>644.52</v>
      </c>
      <c r="D450" s="18">
        <v>646.44000000000005</v>
      </c>
      <c r="E450" s="18">
        <v>642.61</v>
      </c>
      <c r="F450" s="18">
        <v>644.30999999999995</v>
      </c>
      <c r="G450" s="18">
        <v>25858</v>
      </c>
      <c r="H450" s="18">
        <f t="shared" si="8"/>
        <v>2.1076810851918995E-2</v>
      </c>
      <c r="I450" s="18">
        <f>PRODUCT(fact_daily_prices!$F450,fact_daily_prices!$G450)</f>
        <v>16660567.979999999</v>
      </c>
      <c r="J450" s="18" t="str">
        <f>_xlfn.XLOOKUP(fact_daily_prices!$B450,dim_company[company_id],dim_company[sector_id])</f>
        <v>SEC04</v>
      </c>
      <c r="K450" s="19" t="str">
        <f>_xlfn.XLOOKUP(fact_daily_prices!$J450,dim_sector[sector_id],dim_sector[sector_name])</f>
        <v>Energy</v>
      </c>
      <c r="L450" t="str">
        <v>COMP004-27-03-2025</v>
      </c>
      <c r="M450" t="str">
        <f>_xlfn.CONCAT(A449," ",B449)</f>
        <v>45742 COMP004</v>
      </c>
    </row>
    <row r="451" spans="1:13" x14ac:dyDescent="0.3">
      <c r="A451" s="20">
        <v>45744</v>
      </c>
      <c r="B451" s="7" t="s">
        <v>18</v>
      </c>
      <c r="C451" s="7">
        <v>650.97</v>
      </c>
      <c r="D451" s="7">
        <v>660.38</v>
      </c>
      <c r="E451" s="7">
        <v>641.54999999999995</v>
      </c>
      <c r="F451" s="7">
        <v>647.88</v>
      </c>
      <c r="G451" s="7">
        <v>47486</v>
      </c>
      <c r="H451" s="7">
        <f t="shared" si="8"/>
        <v>5.5102796814225632E-3</v>
      </c>
      <c r="I451" s="7">
        <f>PRODUCT(fact_daily_prices!$F451,fact_daily_prices!$G451)</f>
        <v>30765229.68</v>
      </c>
      <c r="J451" s="7" t="str">
        <f>_xlfn.XLOOKUP(fact_daily_prices!$B451,dim_company[company_id],dim_company[sector_id])</f>
        <v>SEC04</v>
      </c>
      <c r="K451" s="21" t="str">
        <f>_xlfn.XLOOKUP(fact_daily_prices!$J451,dim_sector[sector_id],dim_sector[sector_name])</f>
        <v>Energy</v>
      </c>
      <c r="L451" t="str">
        <v>COMP004-28-03-2025</v>
      </c>
      <c r="M451" t="str">
        <f>_xlfn.CONCAT(A450," ",B450)</f>
        <v>45743 COMP004</v>
      </c>
    </row>
    <row r="452" spans="1:13" x14ac:dyDescent="0.3">
      <c r="A452" s="17">
        <v>45747</v>
      </c>
      <c r="B452" s="18" t="s">
        <v>18</v>
      </c>
      <c r="C452" s="18">
        <v>642.99</v>
      </c>
      <c r="D452" s="18">
        <v>653.1</v>
      </c>
      <c r="E452" s="18">
        <v>632.89</v>
      </c>
      <c r="F452" s="18">
        <v>642.29999999999995</v>
      </c>
      <c r="G452" s="18">
        <v>4754</v>
      </c>
      <c r="H452" s="18">
        <f t="shared" ref="H452:H515" si="9">(F452-F451)/F452</f>
        <v>-8.6875291919664352E-3</v>
      </c>
      <c r="I452" s="18">
        <f>PRODUCT(fact_daily_prices!$F452,fact_daily_prices!$G452)</f>
        <v>3053494.1999999997</v>
      </c>
      <c r="J452" s="18" t="str">
        <f>_xlfn.XLOOKUP(fact_daily_prices!$B452,dim_company[company_id],dim_company[sector_id])</f>
        <v>SEC04</v>
      </c>
      <c r="K452" s="19" t="str">
        <f>_xlfn.XLOOKUP(fact_daily_prices!$J452,dim_sector[sector_id],dim_sector[sector_name])</f>
        <v>Energy</v>
      </c>
      <c r="L452" t="str">
        <v>COMP004-31-03-2025</v>
      </c>
      <c r="M452" t="str">
        <f>_xlfn.CONCAT(A451," ",B451)</f>
        <v>45744 COMP004</v>
      </c>
    </row>
    <row r="453" spans="1:13" x14ac:dyDescent="0.3">
      <c r="A453" s="20">
        <v>45748</v>
      </c>
      <c r="B453" s="7" t="s">
        <v>18</v>
      </c>
      <c r="C453" s="7">
        <v>642.1</v>
      </c>
      <c r="D453" s="7">
        <v>651.74</v>
      </c>
      <c r="E453" s="7">
        <v>632.46</v>
      </c>
      <c r="F453" s="7">
        <v>642</v>
      </c>
      <c r="G453" s="7">
        <v>9706</v>
      </c>
      <c r="H453" s="7">
        <f t="shared" si="9"/>
        <v>-4.6728971962609739E-4</v>
      </c>
      <c r="I453" s="7">
        <f>PRODUCT(fact_daily_prices!$F453,fact_daily_prices!$G453)</f>
        <v>6231252</v>
      </c>
      <c r="J453" s="7" t="str">
        <f>_xlfn.XLOOKUP(fact_daily_prices!$B453,dim_company[company_id],dim_company[sector_id])</f>
        <v>SEC04</v>
      </c>
      <c r="K453" s="21" t="str">
        <f>_xlfn.XLOOKUP(fact_daily_prices!$J453,dim_sector[sector_id],dim_sector[sector_name])</f>
        <v>Energy</v>
      </c>
      <c r="L453" t="str">
        <v>COMP004-01-04-2025</v>
      </c>
      <c r="M453" t="str">
        <f>_xlfn.CONCAT(A452," ",B452)</f>
        <v>45747 COMP004</v>
      </c>
    </row>
    <row r="454" spans="1:13" x14ac:dyDescent="0.3">
      <c r="A454" s="17">
        <v>45749</v>
      </c>
      <c r="B454" s="18" t="s">
        <v>18</v>
      </c>
      <c r="C454" s="18">
        <v>644.96</v>
      </c>
      <c r="D454" s="18">
        <v>650.54</v>
      </c>
      <c r="E454" s="18">
        <v>639.38</v>
      </c>
      <c r="F454" s="18">
        <v>646.69000000000005</v>
      </c>
      <c r="G454" s="18">
        <v>30725</v>
      </c>
      <c r="H454" s="18">
        <f t="shared" si="9"/>
        <v>7.2523156380956168E-3</v>
      </c>
      <c r="I454" s="18">
        <f>PRODUCT(fact_daily_prices!$F454,fact_daily_prices!$G454)</f>
        <v>19869550.25</v>
      </c>
      <c r="J454" s="18" t="str">
        <f>_xlfn.XLOOKUP(fact_daily_prices!$B454,dim_company[company_id],dim_company[sector_id])</f>
        <v>SEC04</v>
      </c>
      <c r="K454" s="19" t="str">
        <f>_xlfn.XLOOKUP(fact_daily_prices!$J454,dim_sector[sector_id],dim_sector[sector_name])</f>
        <v>Energy</v>
      </c>
      <c r="L454" t="str">
        <v>COMP004-02-04-2025</v>
      </c>
      <c r="M454" t="str">
        <f>_xlfn.CONCAT(A453," ",B453)</f>
        <v>45748 COMP004</v>
      </c>
    </row>
    <row r="455" spans="1:13" x14ac:dyDescent="0.3">
      <c r="A455" s="20">
        <v>45750</v>
      </c>
      <c r="B455" s="7" t="s">
        <v>18</v>
      </c>
      <c r="C455" s="7">
        <v>649</v>
      </c>
      <c r="D455" s="7">
        <v>658.77</v>
      </c>
      <c r="E455" s="7">
        <v>639.22</v>
      </c>
      <c r="F455" s="7">
        <v>647.46</v>
      </c>
      <c r="G455" s="7">
        <v>37068</v>
      </c>
      <c r="H455" s="7">
        <f t="shared" si="9"/>
        <v>1.1892626571525372E-3</v>
      </c>
      <c r="I455" s="7">
        <f>PRODUCT(fact_daily_prices!$F455,fact_daily_prices!$G455)</f>
        <v>24000047.280000001</v>
      </c>
      <c r="J455" s="7" t="str">
        <f>_xlfn.XLOOKUP(fact_daily_prices!$B455,dim_company[company_id],dim_company[sector_id])</f>
        <v>SEC04</v>
      </c>
      <c r="K455" s="21" t="str">
        <f>_xlfn.XLOOKUP(fact_daily_prices!$J455,dim_sector[sector_id],dim_sector[sector_name])</f>
        <v>Energy</v>
      </c>
      <c r="L455" t="str">
        <v>COMP004-03-04-2025</v>
      </c>
      <c r="M455" t="str">
        <f>_xlfn.CONCAT(A454," ",B454)</f>
        <v>45749 COMP004</v>
      </c>
    </row>
    <row r="456" spans="1:13" x14ac:dyDescent="0.3">
      <c r="A456" s="17">
        <v>45751</v>
      </c>
      <c r="B456" s="18" t="s">
        <v>18</v>
      </c>
      <c r="C456" s="18">
        <v>650.05999999999995</v>
      </c>
      <c r="D456" s="18">
        <v>654.11</v>
      </c>
      <c r="E456" s="18">
        <v>646.01</v>
      </c>
      <c r="F456" s="18">
        <v>652.03</v>
      </c>
      <c r="G456" s="18">
        <v>37495</v>
      </c>
      <c r="H456" s="18">
        <f t="shared" si="9"/>
        <v>7.0088799595109681E-3</v>
      </c>
      <c r="I456" s="18">
        <f>PRODUCT(fact_daily_prices!$F456,fact_daily_prices!$G456)</f>
        <v>24447864.849999998</v>
      </c>
      <c r="J456" s="18" t="str">
        <f>_xlfn.XLOOKUP(fact_daily_prices!$B456,dim_company[company_id],dim_company[sector_id])</f>
        <v>SEC04</v>
      </c>
      <c r="K456" s="19" t="str">
        <f>_xlfn.XLOOKUP(fact_daily_prices!$J456,dim_sector[sector_id],dim_sector[sector_name])</f>
        <v>Energy</v>
      </c>
      <c r="L456" t="str">
        <v>COMP004-04-04-2025</v>
      </c>
      <c r="M456" t="str">
        <f>_xlfn.CONCAT(A455," ",B455)</f>
        <v>45750 COMP004</v>
      </c>
    </row>
    <row r="457" spans="1:13" x14ac:dyDescent="0.3">
      <c r="A457" s="20">
        <v>45754</v>
      </c>
      <c r="B457" s="7" t="s">
        <v>18</v>
      </c>
      <c r="C457" s="7">
        <v>645.11</v>
      </c>
      <c r="D457" s="7">
        <v>655.13</v>
      </c>
      <c r="E457" s="7">
        <v>635.1</v>
      </c>
      <c r="F457" s="7">
        <v>644.66</v>
      </c>
      <c r="G457" s="7">
        <v>17832</v>
      </c>
      <c r="H457" s="7">
        <f t="shared" si="9"/>
        <v>-1.1432382961561141E-2</v>
      </c>
      <c r="I457" s="7">
        <f>PRODUCT(fact_daily_prices!$F457,fact_daily_prices!$G457)</f>
        <v>11495577.119999999</v>
      </c>
      <c r="J457" s="7" t="str">
        <f>_xlfn.XLOOKUP(fact_daily_prices!$B457,dim_company[company_id],dim_company[sector_id])</f>
        <v>SEC04</v>
      </c>
      <c r="K457" s="21" t="str">
        <f>_xlfn.XLOOKUP(fact_daily_prices!$J457,dim_sector[sector_id],dim_sector[sector_name])</f>
        <v>Energy</v>
      </c>
      <c r="L457" t="str">
        <v>COMP004-07-04-2025</v>
      </c>
      <c r="M457" t="str">
        <f>_xlfn.CONCAT(A456," ",B456)</f>
        <v>45751 COMP004</v>
      </c>
    </row>
    <row r="458" spans="1:13" x14ac:dyDescent="0.3">
      <c r="A458" s="17">
        <v>45755</v>
      </c>
      <c r="B458" s="18" t="s">
        <v>18</v>
      </c>
      <c r="C458" s="18">
        <v>646.73</v>
      </c>
      <c r="D458" s="18">
        <v>649.78</v>
      </c>
      <c r="E458" s="18">
        <v>643.67999999999995</v>
      </c>
      <c r="F458" s="18">
        <v>646.19000000000005</v>
      </c>
      <c r="G458" s="18">
        <v>43815</v>
      </c>
      <c r="H458" s="18">
        <f t="shared" si="9"/>
        <v>2.3677246630249404E-3</v>
      </c>
      <c r="I458" s="18">
        <f>PRODUCT(fact_daily_prices!$F458,fact_daily_prices!$G458)</f>
        <v>28312814.850000001</v>
      </c>
      <c r="J458" s="18" t="str">
        <f>_xlfn.XLOOKUP(fact_daily_prices!$B458,dim_company[company_id],dim_company[sector_id])</f>
        <v>SEC04</v>
      </c>
      <c r="K458" s="19" t="str">
        <f>_xlfn.XLOOKUP(fact_daily_prices!$J458,dim_sector[sector_id],dim_sector[sector_name])</f>
        <v>Energy</v>
      </c>
      <c r="L458" t="str">
        <v>COMP004-08-04-2025</v>
      </c>
      <c r="M458" t="str">
        <f>_xlfn.CONCAT(A457," ",B457)</f>
        <v>45754 COMP004</v>
      </c>
    </row>
    <row r="459" spans="1:13" x14ac:dyDescent="0.3">
      <c r="A459" s="20">
        <v>45756</v>
      </c>
      <c r="B459" s="7" t="s">
        <v>18</v>
      </c>
      <c r="C459" s="7">
        <v>638.72</v>
      </c>
      <c r="D459" s="7">
        <v>645.09</v>
      </c>
      <c r="E459" s="7">
        <v>632.34</v>
      </c>
      <c r="F459" s="7">
        <v>634.92999999999995</v>
      </c>
      <c r="G459" s="7">
        <v>4081</v>
      </c>
      <c r="H459" s="7">
        <f t="shared" si="9"/>
        <v>-1.7734238419983471E-2</v>
      </c>
      <c r="I459" s="7">
        <f>PRODUCT(fact_daily_prices!$F459,fact_daily_prices!$G459)</f>
        <v>2591149.3299999996</v>
      </c>
      <c r="J459" s="7" t="str">
        <f>_xlfn.XLOOKUP(fact_daily_prices!$B459,dim_company[company_id],dim_company[sector_id])</f>
        <v>SEC04</v>
      </c>
      <c r="K459" s="21" t="str">
        <f>_xlfn.XLOOKUP(fact_daily_prices!$J459,dim_sector[sector_id],dim_sector[sector_name])</f>
        <v>Energy</v>
      </c>
      <c r="L459" t="str">
        <v>COMP004-09-04-2025</v>
      </c>
      <c r="M459" t="str">
        <f>_xlfn.CONCAT(A458," ",B458)</f>
        <v>45755 COMP004</v>
      </c>
    </row>
    <row r="460" spans="1:13" x14ac:dyDescent="0.3">
      <c r="A460" s="17">
        <v>45757</v>
      </c>
      <c r="B460" s="18" t="s">
        <v>18</v>
      </c>
      <c r="C460" s="18">
        <v>633.74</v>
      </c>
      <c r="D460" s="18">
        <v>643.61</v>
      </c>
      <c r="E460" s="18">
        <v>623.86</v>
      </c>
      <c r="F460" s="18">
        <v>634.20000000000005</v>
      </c>
      <c r="G460" s="18">
        <v>15042</v>
      </c>
      <c r="H460" s="18">
        <f t="shared" si="9"/>
        <v>-1.1510564490695434E-3</v>
      </c>
      <c r="I460" s="18">
        <f>PRODUCT(fact_daily_prices!$F460,fact_daily_prices!$G460)</f>
        <v>9539636.4000000004</v>
      </c>
      <c r="J460" s="18" t="str">
        <f>_xlfn.XLOOKUP(fact_daily_prices!$B460,dim_company[company_id],dim_company[sector_id])</f>
        <v>SEC04</v>
      </c>
      <c r="K460" s="19" t="str">
        <f>_xlfn.XLOOKUP(fact_daily_prices!$J460,dim_sector[sector_id],dim_sector[sector_name])</f>
        <v>Energy</v>
      </c>
      <c r="L460" t="str">
        <v>COMP004-10-04-2025</v>
      </c>
      <c r="M460" t="str">
        <f>_xlfn.CONCAT(A459," ",B459)</f>
        <v>45756 COMP004</v>
      </c>
    </row>
    <row r="461" spans="1:13" x14ac:dyDescent="0.3">
      <c r="A461" s="20">
        <v>45758</v>
      </c>
      <c r="B461" s="7" t="s">
        <v>18</v>
      </c>
      <c r="C461" s="7">
        <v>626.12</v>
      </c>
      <c r="D461" s="7">
        <v>629.52</v>
      </c>
      <c r="E461" s="7">
        <v>622.71</v>
      </c>
      <c r="F461" s="7">
        <v>627.16</v>
      </c>
      <c r="G461" s="7">
        <v>38900</v>
      </c>
      <c r="H461" s="7">
        <f t="shared" si="9"/>
        <v>-1.1225205689138462E-2</v>
      </c>
      <c r="I461" s="7">
        <f>PRODUCT(fact_daily_prices!$F461,fact_daily_prices!$G461)</f>
        <v>24396524</v>
      </c>
      <c r="J461" s="7" t="str">
        <f>_xlfn.XLOOKUP(fact_daily_prices!$B461,dim_company[company_id],dim_company[sector_id])</f>
        <v>SEC04</v>
      </c>
      <c r="K461" s="21" t="str">
        <f>_xlfn.XLOOKUP(fact_daily_prices!$J461,dim_sector[sector_id],dim_sector[sector_name])</f>
        <v>Energy</v>
      </c>
      <c r="L461" t="str">
        <v>COMP004-11-04-2025</v>
      </c>
      <c r="M461" t="str">
        <f>_xlfn.CONCAT(A460," ",B460)</f>
        <v>45757 COMP004</v>
      </c>
    </row>
    <row r="462" spans="1:13" x14ac:dyDescent="0.3">
      <c r="A462" s="17">
        <v>45761</v>
      </c>
      <c r="B462" s="18" t="s">
        <v>18</v>
      </c>
      <c r="C462" s="18">
        <v>621.62</v>
      </c>
      <c r="D462" s="18">
        <v>628.22</v>
      </c>
      <c r="E462" s="18">
        <v>615.01</v>
      </c>
      <c r="F462" s="18">
        <v>621.53</v>
      </c>
      <c r="G462" s="18">
        <v>44241</v>
      </c>
      <c r="H462" s="18">
        <f t="shared" si="9"/>
        <v>-9.0582916351583925E-3</v>
      </c>
      <c r="I462" s="18">
        <f>PRODUCT(fact_daily_prices!$F462,fact_daily_prices!$G462)</f>
        <v>27497108.73</v>
      </c>
      <c r="J462" s="18" t="str">
        <f>_xlfn.XLOOKUP(fact_daily_prices!$B462,dim_company[company_id],dim_company[sector_id])</f>
        <v>SEC04</v>
      </c>
      <c r="K462" s="19" t="str">
        <f>_xlfn.XLOOKUP(fact_daily_prices!$J462,dim_sector[sector_id],dim_sector[sector_name])</f>
        <v>Energy</v>
      </c>
      <c r="L462" t="str">
        <v>COMP004-14-04-2025</v>
      </c>
      <c r="M462" t="str">
        <f>_xlfn.CONCAT(A461," ",B461)</f>
        <v>45758 COMP004</v>
      </c>
    </row>
    <row r="463" spans="1:13" x14ac:dyDescent="0.3">
      <c r="A463" s="20">
        <v>45762</v>
      </c>
      <c r="B463" s="7" t="s">
        <v>18</v>
      </c>
      <c r="C463" s="7">
        <v>636.02</v>
      </c>
      <c r="D463" s="7">
        <v>641.04</v>
      </c>
      <c r="E463" s="7">
        <v>630.99</v>
      </c>
      <c r="F463" s="7">
        <v>631.42999999999995</v>
      </c>
      <c r="G463" s="7">
        <v>27832</v>
      </c>
      <c r="H463" s="7">
        <f t="shared" si="9"/>
        <v>1.5678697559507748E-2</v>
      </c>
      <c r="I463" s="7">
        <f>PRODUCT(fact_daily_prices!$F463,fact_daily_prices!$G463)</f>
        <v>17573959.759999998</v>
      </c>
      <c r="J463" s="7" t="str">
        <f>_xlfn.XLOOKUP(fact_daily_prices!$B463,dim_company[company_id],dim_company[sector_id])</f>
        <v>SEC04</v>
      </c>
      <c r="K463" s="21" t="str">
        <f>_xlfn.XLOOKUP(fact_daily_prices!$J463,dim_sector[sector_id],dim_sector[sector_name])</f>
        <v>Energy</v>
      </c>
      <c r="L463" t="str">
        <v>COMP004-15-04-2025</v>
      </c>
      <c r="M463" t="str">
        <f>_xlfn.CONCAT(A462," ",B462)</f>
        <v>45761 COMP004</v>
      </c>
    </row>
    <row r="464" spans="1:13" x14ac:dyDescent="0.3">
      <c r="A464" s="17">
        <v>45763</v>
      </c>
      <c r="B464" s="18" t="s">
        <v>18</v>
      </c>
      <c r="C464" s="18">
        <v>635.6</v>
      </c>
      <c r="D464" s="18">
        <v>640.47</v>
      </c>
      <c r="E464" s="18">
        <v>630.73</v>
      </c>
      <c r="F464" s="18">
        <v>640.33000000000004</v>
      </c>
      <c r="G464" s="18">
        <v>41372</v>
      </c>
      <c r="H464" s="18">
        <f t="shared" si="9"/>
        <v>1.389908328518122E-2</v>
      </c>
      <c r="I464" s="18">
        <f>PRODUCT(fact_daily_prices!$F464,fact_daily_prices!$G464)</f>
        <v>26491732.760000002</v>
      </c>
      <c r="J464" s="18" t="str">
        <f>_xlfn.XLOOKUP(fact_daily_prices!$B464,dim_company[company_id],dim_company[sector_id])</f>
        <v>SEC04</v>
      </c>
      <c r="K464" s="19" t="str">
        <f>_xlfn.XLOOKUP(fact_daily_prices!$J464,dim_sector[sector_id],dim_sector[sector_name])</f>
        <v>Energy</v>
      </c>
      <c r="L464" t="str">
        <v>COMP004-16-04-2025</v>
      </c>
      <c r="M464" t="str">
        <f>_xlfn.CONCAT(A463," ",B463)</f>
        <v>45762 COMP004</v>
      </c>
    </row>
    <row r="465" spans="1:13" x14ac:dyDescent="0.3">
      <c r="A465" s="20">
        <v>45764</v>
      </c>
      <c r="B465" s="7" t="s">
        <v>18</v>
      </c>
      <c r="C465" s="7">
        <v>645.67999999999995</v>
      </c>
      <c r="D465" s="7">
        <v>650.16</v>
      </c>
      <c r="E465" s="7">
        <v>641.19000000000005</v>
      </c>
      <c r="F465" s="7">
        <v>645.41</v>
      </c>
      <c r="G465" s="7">
        <v>35546</v>
      </c>
      <c r="H465" s="7">
        <f t="shared" si="9"/>
        <v>7.8709657427060743E-3</v>
      </c>
      <c r="I465" s="7">
        <f>PRODUCT(fact_daily_prices!$F465,fact_daily_prices!$G465)</f>
        <v>22941743.859999999</v>
      </c>
      <c r="J465" s="7" t="str">
        <f>_xlfn.XLOOKUP(fact_daily_prices!$B465,dim_company[company_id],dim_company[sector_id])</f>
        <v>SEC04</v>
      </c>
      <c r="K465" s="21" t="str">
        <f>_xlfn.XLOOKUP(fact_daily_prices!$J465,dim_sector[sector_id],dim_sector[sector_name])</f>
        <v>Energy</v>
      </c>
      <c r="L465" t="str">
        <v>COMP004-17-04-2025</v>
      </c>
      <c r="M465" t="str">
        <f>_xlfn.CONCAT(A464," ",B464)</f>
        <v>45763 COMP004</v>
      </c>
    </row>
    <row r="466" spans="1:13" x14ac:dyDescent="0.3">
      <c r="A466" s="17">
        <v>45765</v>
      </c>
      <c r="B466" s="18" t="s">
        <v>18</v>
      </c>
      <c r="C466" s="18">
        <v>639.11</v>
      </c>
      <c r="D466" s="18">
        <v>647.47</v>
      </c>
      <c r="E466" s="18">
        <v>630.75</v>
      </c>
      <c r="F466" s="18">
        <v>636.74</v>
      </c>
      <c r="G466" s="18">
        <v>24762</v>
      </c>
      <c r="H466" s="18">
        <f t="shared" si="9"/>
        <v>-1.3616232685240379E-2</v>
      </c>
      <c r="I466" s="18">
        <f>PRODUCT(fact_daily_prices!$F466,fact_daily_prices!$G466)</f>
        <v>15766955.880000001</v>
      </c>
      <c r="J466" s="18" t="str">
        <f>_xlfn.XLOOKUP(fact_daily_prices!$B466,dim_company[company_id],dim_company[sector_id])</f>
        <v>SEC04</v>
      </c>
      <c r="K466" s="19" t="str">
        <f>_xlfn.XLOOKUP(fact_daily_prices!$J466,dim_sector[sector_id],dim_sector[sector_name])</f>
        <v>Energy</v>
      </c>
      <c r="L466" t="str">
        <v>COMP004-18-04-2025</v>
      </c>
      <c r="M466" t="str">
        <f>_xlfn.CONCAT(A465," ",B465)</f>
        <v>45764 COMP004</v>
      </c>
    </row>
    <row r="467" spans="1:13" x14ac:dyDescent="0.3">
      <c r="A467" s="20">
        <v>45768</v>
      </c>
      <c r="B467" s="7" t="s">
        <v>18</v>
      </c>
      <c r="C467" s="7">
        <v>638.35</v>
      </c>
      <c r="D467" s="7">
        <v>647</v>
      </c>
      <c r="E467" s="7">
        <v>629.69000000000005</v>
      </c>
      <c r="F467" s="7">
        <v>634.36</v>
      </c>
      <c r="G467" s="7">
        <v>10596</v>
      </c>
      <c r="H467" s="7">
        <f t="shared" si="9"/>
        <v>-3.7518128507472025E-3</v>
      </c>
      <c r="I467" s="7">
        <f>PRODUCT(fact_daily_prices!$F467,fact_daily_prices!$G467)</f>
        <v>6721678.5600000005</v>
      </c>
      <c r="J467" s="7" t="str">
        <f>_xlfn.XLOOKUP(fact_daily_prices!$B467,dim_company[company_id],dim_company[sector_id])</f>
        <v>SEC04</v>
      </c>
      <c r="K467" s="21" t="str">
        <f>_xlfn.XLOOKUP(fact_daily_prices!$J467,dim_sector[sector_id],dim_sector[sector_name])</f>
        <v>Energy</v>
      </c>
      <c r="L467" t="str">
        <v>COMP004-21-04-2025</v>
      </c>
      <c r="M467" t="str">
        <f>_xlfn.CONCAT(A466," ",B466)</f>
        <v>45765 COMP004</v>
      </c>
    </row>
    <row r="468" spans="1:13" x14ac:dyDescent="0.3">
      <c r="A468" s="17">
        <v>45769</v>
      </c>
      <c r="B468" s="18" t="s">
        <v>18</v>
      </c>
      <c r="C468" s="18">
        <v>643.4</v>
      </c>
      <c r="D468" s="18">
        <v>652.58000000000004</v>
      </c>
      <c r="E468" s="18">
        <v>634.23</v>
      </c>
      <c r="F468" s="18">
        <v>644.29</v>
      </c>
      <c r="G468" s="18">
        <v>2013</v>
      </c>
      <c r="H468" s="18">
        <f t="shared" si="9"/>
        <v>1.5412314330503269E-2</v>
      </c>
      <c r="I468" s="18">
        <f>PRODUCT(fact_daily_prices!$F468,fact_daily_prices!$G468)</f>
        <v>1296955.77</v>
      </c>
      <c r="J468" s="18" t="str">
        <f>_xlfn.XLOOKUP(fact_daily_prices!$B468,dim_company[company_id],dim_company[sector_id])</f>
        <v>SEC04</v>
      </c>
      <c r="K468" s="19" t="str">
        <f>_xlfn.XLOOKUP(fact_daily_prices!$J468,dim_sector[sector_id],dim_sector[sector_name])</f>
        <v>Energy</v>
      </c>
      <c r="L468" t="str">
        <v>COMP004-22-04-2025</v>
      </c>
      <c r="M468" t="str">
        <f>_xlfn.CONCAT(A467," ",B467)</f>
        <v>45768 COMP004</v>
      </c>
    </row>
    <row r="469" spans="1:13" x14ac:dyDescent="0.3">
      <c r="A469" s="20">
        <v>45770</v>
      </c>
      <c r="B469" s="7" t="s">
        <v>18</v>
      </c>
      <c r="C469" s="7">
        <v>646.89</v>
      </c>
      <c r="D469" s="7">
        <v>653.25</v>
      </c>
      <c r="E469" s="7">
        <v>640.53</v>
      </c>
      <c r="F469" s="7">
        <v>645.59</v>
      </c>
      <c r="G469" s="7">
        <v>39356</v>
      </c>
      <c r="H469" s="7">
        <f t="shared" si="9"/>
        <v>2.0136619216531669E-3</v>
      </c>
      <c r="I469" s="7">
        <f>PRODUCT(fact_daily_prices!$F469,fact_daily_prices!$G469)</f>
        <v>25407840.040000003</v>
      </c>
      <c r="J469" s="7" t="str">
        <f>_xlfn.XLOOKUP(fact_daily_prices!$B469,dim_company[company_id],dim_company[sector_id])</f>
        <v>SEC04</v>
      </c>
      <c r="K469" s="21" t="str">
        <f>_xlfn.XLOOKUP(fact_daily_prices!$J469,dim_sector[sector_id],dim_sector[sector_name])</f>
        <v>Energy</v>
      </c>
      <c r="L469" t="str">
        <v>COMP004-23-04-2025</v>
      </c>
      <c r="M469" t="str">
        <f>_xlfn.CONCAT(A468," ",B468)</f>
        <v>45769 COMP004</v>
      </c>
    </row>
    <row r="470" spans="1:13" x14ac:dyDescent="0.3">
      <c r="A470" s="17">
        <v>45771</v>
      </c>
      <c r="B470" s="18" t="s">
        <v>18</v>
      </c>
      <c r="C470" s="18">
        <v>663.72</v>
      </c>
      <c r="D470" s="18">
        <v>664.92</v>
      </c>
      <c r="E470" s="18">
        <v>662.52</v>
      </c>
      <c r="F470" s="18">
        <v>664.89</v>
      </c>
      <c r="G470" s="18">
        <v>15537</v>
      </c>
      <c r="H470" s="18">
        <f t="shared" si="9"/>
        <v>2.9027357908826955E-2</v>
      </c>
      <c r="I470" s="18">
        <f>PRODUCT(fact_daily_prices!$F470,fact_daily_prices!$G470)</f>
        <v>10330395.93</v>
      </c>
      <c r="J470" s="18" t="str">
        <f>_xlfn.XLOOKUP(fact_daily_prices!$B470,dim_company[company_id],dim_company[sector_id])</f>
        <v>SEC04</v>
      </c>
      <c r="K470" s="19" t="str">
        <f>_xlfn.XLOOKUP(fact_daily_prices!$J470,dim_sector[sector_id],dim_sector[sector_name])</f>
        <v>Energy</v>
      </c>
      <c r="L470" t="str">
        <v>COMP004-24-04-2025</v>
      </c>
      <c r="M470" t="str">
        <f>_xlfn.CONCAT(A469," ",B469)</f>
        <v>45770 COMP004</v>
      </c>
    </row>
    <row r="471" spans="1:13" x14ac:dyDescent="0.3">
      <c r="A471" s="20">
        <v>45772</v>
      </c>
      <c r="B471" s="7" t="s">
        <v>18</v>
      </c>
      <c r="C471" s="7">
        <v>670.12</v>
      </c>
      <c r="D471" s="7">
        <v>676.64</v>
      </c>
      <c r="E471" s="7">
        <v>663.6</v>
      </c>
      <c r="F471" s="7">
        <v>668.35</v>
      </c>
      <c r="G471" s="7">
        <v>34848</v>
      </c>
      <c r="H471" s="7">
        <f t="shared" si="9"/>
        <v>5.1769282561532678E-3</v>
      </c>
      <c r="I471" s="7">
        <f>PRODUCT(fact_daily_prices!$F471,fact_daily_prices!$G471)</f>
        <v>23290660.800000001</v>
      </c>
      <c r="J471" s="7" t="str">
        <f>_xlfn.XLOOKUP(fact_daily_prices!$B471,dim_company[company_id],dim_company[sector_id])</f>
        <v>SEC04</v>
      </c>
      <c r="K471" s="21" t="str">
        <f>_xlfn.XLOOKUP(fact_daily_prices!$J471,dim_sector[sector_id],dim_sector[sector_name])</f>
        <v>Energy</v>
      </c>
      <c r="L471" t="str">
        <v>COMP004-25-04-2025</v>
      </c>
      <c r="M471" t="str">
        <f>_xlfn.CONCAT(A470," ",B470)</f>
        <v>45771 COMP004</v>
      </c>
    </row>
    <row r="472" spans="1:13" x14ac:dyDescent="0.3">
      <c r="A472" s="17">
        <v>45775</v>
      </c>
      <c r="B472" s="18" t="s">
        <v>18</v>
      </c>
      <c r="C472" s="18">
        <v>670.03</v>
      </c>
      <c r="D472" s="18">
        <v>675.33</v>
      </c>
      <c r="E472" s="18">
        <v>664.74</v>
      </c>
      <c r="F472" s="18">
        <v>670.13</v>
      </c>
      <c r="G472" s="18">
        <v>44590</v>
      </c>
      <c r="H472" s="18">
        <f t="shared" si="9"/>
        <v>2.6562010356199137E-3</v>
      </c>
      <c r="I472" s="18">
        <f>PRODUCT(fact_daily_prices!$F472,fact_daily_prices!$G472)</f>
        <v>29881096.699999999</v>
      </c>
      <c r="J472" s="18" t="str">
        <f>_xlfn.XLOOKUP(fact_daily_prices!$B472,dim_company[company_id],dim_company[sector_id])</f>
        <v>SEC04</v>
      </c>
      <c r="K472" s="19" t="str">
        <f>_xlfn.XLOOKUP(fact_daily_prices!$J472,dim_sector[sector_id],dim_sector[sector_name])</f>
        <v>Energy</v>
      </c>
      <c r="L472" t="str">
        <v>COMP004-28-04-2025</v>
      </c>
      <c r="M472" t="str">
        <f>_xlfn.CONCAT(A471," ",B471)</f>
        <v>45772 COMP004</v>
      </c>
    </row>
    <row r="473" spans="1:13" x14ac:dyDescent="0.3">
      <c r="A473" s="20">
        <v>45776</v>
      </c>
      <c r="B473" s="7" t="s">
        <v>18</v>
      </c>
      <c r="C473" s="7">
        <v>666.61</v>
      </c>
      <c r="D473" s="7">
        <v>674.11</v>
      </c>
      <c r="E473" s="7">
        <v>659.11</v>
      </c>
      <c r="F473" s="7">
        <v>667.69</v>
      </c>
      <c r="G473" s="7">
        <v>17087</v>
      </c>
      <c r="H473" s="7">
        <f t="shared" si="9"/>
        <v>-3.6543905105661917E-3</v>
      </c>
      <c r="I473" s="7">
        <f>PRODUCT(fact_daily_prices!$F473,fact_daily_prices!$G473)</f>
        <v>11408819.030000001</v>
      </c>
      <c r="J473" s="7" t="str">
        <f>_xlfn.XLOOKUP(fact_daily_prices!$B473,dim_company[company_id],dim_company[sector_id])</f>
        <v>SEC04</v>
      </c>
      <c r="K473" s="21" t="str">
        <f>_xlfn.XLOOKUP(fact_daily_prices!$J473,dim_sector[sector_id],dim_sector[sector_name])</f>
        <v>Energy</v>
      </c>
      <c r="L473" t="str">
        <v>COMP004-29-04-2025</v>
      </c>
      <c r="M473" t="str">
        <f>_xlfn.CONCAT(A472," ",B472)</f>
        <v>45775 COMP004</v>
      </c>
    </row>
    <row r="474" spans="1:13" x14ac:dyDescent="0.3">
      <c r="A474" s="17">
        <v>45777</v>
      </c>
      <c r="B474" s="18" t="s">
        <v>18</v>
      </c>
      <c r="C474" s="18">
        <v>668.16</v>
      </c>
      <c r="D474" s="18">
        <v>670.36</v>
      </c>
      <c r="E474" s="18">
        <v>665.95</v>
      </c>
      <c r="F474" s="18">
        <v>668.97</v>
      </c>
      <c r="G474" s="18">
        <v>7643</v>
      </c>
      <c r="H474" s="18">
        <f t="shared" si="9"/>
        <v>1.9133892401751538E-3</v>
      </c>
      <c r="I474" s="18">
        <f>PRODUCT(fact_daily_prices!$F474,fact_daily_prices!$G474)</f>
        <v>5112937.71</v>
      </c>
      <c r="J474" s="18" t="str">
        <f>_xlfn.XLOOKUP(fact_daily_prices!$B474,dim_company[company_id],dim_company[sector_id])</f>
        <v>SEC04</v>
      </c>
      <c r="K474" s="19" t="str">
        <f>_xlfn.XLOOKUP(fact_daily_prices!$J474,dim_sector[sector_id],dim_sector[sector_name])</f>
        <v>Energy</v>
      </c>
      <c r="L474" t="str">
        <v>COMP004-30-04-2025</v>
      </c>
      <c r="M474" t="str">
        <f>_xlfn.CONCAT(A473," ",B473)</f>
        <v>45776 COMP004</v>
      </c>
    </row>
    <row r="475" spans="1:13" x14ac:dyDescent="0.3">
      <c r="A475" s="20">
        <v>45778</v>
      </c>
      <c r="B475" s="7" t="s">
        <v>18</v>
      </c>
      <c r="C475" s="7">
        <v>667.56</v>
      </c>
      <c r="D475" s="7">
        <v>675.33</v>
      </c>
      <c r="E475" s="7">
        <v>659.78</v>
      </c>
      <c r="F475" s="7">
        <v>667.85</v>
      </c>
      <c r="G475" s="7">
        <v>1161</v>
      </c>
      <c r="H475" s="7">
        <f t="shared" si="9"/>
        <v>-1.6770232836714899E-3</v>
      </c>
      <c r="I475" s="7">
        <f>PRODUCT(fact_daily_prices!$F475,fact_daily_prices!$G475)</f>
        <v>775373.85</v>
      </c>
      <c r="J475" s="7" t="str">
        <f>_xlfn.XLOOKUP(fact_daily_prices!$B475,dim_company[company_id],dim_company[sector_id])</f>
        <v>SEC04</v>
      </c>
      <c r="K475" s="21" t="str">
        <f>_xlfn.XLOOKUP(fact_daily_prices!$J475,dim_sector[sector_id],dim_sector[sector_name])</f>
        <v>Energy</v>
      </c>
      <c r="L475" t="str">
        <v>COMP004-01-05-2025</v>
      </c>
      <c r="M475" t="str">
        <f>_xlfn.CONCAT(A474," ",B474)</f>
        <v>45777 COMP004</v>
      </c>
    </row>
    <row r="476" spans="1:13" x14ac:dyDescent="0.3">
      <c r="A476" s="17">
        <v>45779</v>
      </c>
      <c r="B476" s="18" t="s">
        <v>18</v>
      </c>
      <c r="C476" s="18">
        <v>673.97</v>
      </c>
      <c r="D476" s="18">
        <v>682.07</v>
      </c>
      <c r="E476" s="18">
        <v>665.87</v>
      </c>
      <c r="F476" s="18">
        <v>673.99</v>
      </c>
      <c r="G476" s="18">
        <v>29731</v>
      </c>
      <c r="H476" s="18">
        <f t="shared" si="9"/>
        <v>9.1099274469947419E-3</v>
      </c>
      <c r="I476" s="18">
        <f>PRODUCT(fact_daily_prices!$F476,fact_daily_prices!$G476)</f>
        <v>20038396.690000001</v>
      </c>
      <c r="J476" s="18" t="str">
        <f>_xlfn.XLOOKUP(fact_daily_prices!$B476,dim_company[company_id],dim_company[sector_id])</f>
        <v>SEC04</v>
      </c>
      <c r="K476" s="19" t="str">
        <f>_xlfn.XLOOKUP(fact_daily_prices!$J476,dim_sector[sector_id],dim_sector[sector_name])</f>
        <v>Energy</v>
      </c>
      <c r="L476" t="str">
        <v>COMP004-02-05-2025</v>
      </c>
      <c r="M476" t="str">
        <f>_xlfn.CONCAT(A475," ",B475)</f>
        <v>45778 COMP004</v>
      </c>
    </row>
    <row r="477" spans="1:13" x14ac:dyDescent="0.3">
      <c r="A477" s="20">
        <v>45782</v>
      </c>
      <c r="B477" s="7" t="s">
        <v>18</v>
      </c>
      <c r="C477" s="7">
        <v>680.18</v>
      </c>
      <c r="D477" s="7">
        <v>686.72</v>
      </c>
      <c r="E477" s="7">
        <v>673.64</v>
      </c>
      <c r="F477" s="7">
        <v>682.33</v>
      </c>
      <c r="G477" s="7">
        <v>13693</v>
      </c>
      <c r="H477" s="7">
        <f t="shared" si="9"/>
        <v>1.2222824732900549E-2</v>
      </c>
      <c r="I477" s="7">
        <f>PRODUCT(fact_daily_prices!$F477,fact_daily_prices!$G477)</f>
        <v>9343144.6900000013</v>
      </c>
      <c r="J477" s="7" t="str">
        <f>_xlfn.XLOOKUP(fact_daily_prices!$B477,dim_company[company_id],dim_company[sector_id])</f>
        <v>SEC04</v>
      </c>
      <c r="K477" s="21" t="str">
        <f>_xlfn.XLOOKUP(fact_daily_prices!$J477,dim_sector[sector_id],dim_sector[sector_name])</f>
        <v>Energy</v>
      </c>
      <c r="L477" t="str">
        <v>COMP004-05-05-2025</v>
      </c>
      <c r="M477" t="str">
        <f>_xlfn.CONCAT(A476," ",B476)</f>
        <v>45779 COMP004</v>
      </c>
    </row>
    <row r="478" spans="1:13" x14ac:dyDescent="0.3">
      <c r="A478" s="17">
        <v>45783</v>
      </c>
      <c r="B478" s="18" t="s">
        <v>18</v>
      </c>
      <c r="C478" s="18">
        <v>675.42</v>
      </c>
      <c r="D478" s="18">
        <v>685.16</v>
      </c>
      <c r="E478" s="18">
        <v>665.68</v>
      </c>
      <c r="F478" s="18">
        <v>675.76</v>
      </c>
      <c r="G478" s="18">
        <v>22817</v>
      </c>
      <c r="H478" s="18">
        <f t="shared" si="9"/>
        <v>-9.7223866461466357E-3</v>
      </c>
      <c r="I478" s="18">
        <f>PRODUCT(fact_daily_prices!$F478,fact_daily_prices!$G478)</f>
        <v>15418815.92</v>
      </c>
      <c r="J478" s="18" t="str">
        <f>_xlfn.XLOOKUP(fact_daily_prices!$B478,dim_company[company_id],dim_company[sector_id])</f>
        <v>SEC04</v>
      </c>
      <c r="K478" s="19" t="str">
        <f>_xlfn.XLOOKUP(fact_daily_prices!$J478,dim_sector[sector_id],dim_sector[sector_name])</f>
        <v>Energy</v>
      </c>
      <c r="L478" t="str">
        <v>COMP004-06-05-2025</v>
      </c>
      <c r="M478" t="str">
        <f>_xlfn.CONCAT(A477," ",B477)</f>
        <v>45782 COMP004</v>
      </c>
    </row>
    <row r="479" spans="1:13" x14ac:dyDescent="0.3">
      <c r="A479" s="20">
        <v>45784</v>
      </c>
      <c r="B479" s="7" t="s">
        <v>18</v>
      </c>
      <c r="C479" s="7">
        <v>664.14</v>
      </c>
      <c r="D479" s="7">
        <v>674.09</v>
      </c>
      <c r="E479" s="7">
        <v>654.20000000000005</v>
      </c>
      <c r="F479" s="7">
        <v>664.68</v>
      </c>
      <c r="G479" s="7">
        <v>49831</v>
      </c>
      <c r="H479" s="7">
        <f t="shared" si="9"/>
        <v>-1.6669675633387556E-2</v>
      </c>
      <c r="I479" s="7">
        <f>PRODUCT(fact_daily_prices!$F479,fact_daily_prices!$G479)</f>
        <v>33121669.079999998</v>
      </c>
      <c r="J479" s="7" t="str">
        <f>_xlfn.XLOOKUP(fact_daily_prices!$B479,dim_company[company_id],dim_company[sector_id])</f>
        <v>SEC04</v>
      </c>
      <c r="K479" s="21" t="str">
        <f>_xlfn.XLOOKUP(fact_daily_prices!$J479,dim_sector[sector_id],dim_sector[sector_name])</f>
        <v>Energy</v>
      </c>
      <c r="L479" t="str">
        <v>COMP004-07-05-2025</v>
      </c>
      <c r="M479" t="str">
        <f>_xlfn.CONCAT(A478," ",B478)</f>
        <v>45783 COMP004</v>
      </c>
    </row>
    <row r="480" spans="1:13" x14ac:dyDescent="0.3">
      <c r="A480" s="17">
        <v>45785</v>
      </c>
      <c r="B480" s="18" t="s">
        <v>18</v>
      </c>
      <c r="C480" s="18">
        <v>650.59</v>
      </c>
      <c r="D480" s="18">
        <v>656.4</v>
      </c>
      <c r="E480" s="18">
        <v>644.78</v>
      </c>
      <c r="F480" s="18">
        <v>649.64</v>
      </c>
      <c r="G480" s="18">
        <v>6469</v>
      </c>
      <c r="H480" s="18">
        <f t="shared" si="9"/>
        <v>-2.3151283787944038E-2</v>
      </c>
      <c r="I480" s="18">
        <f>PRODUCT(fact_daily_prices!$F480,fact_daily_prices!$G480)</f>
        <v>4202521.16</v>
      </c>
      <c r="J480" s="18" t="str">
        <f>_xlfn.XLOOKUP(fact_daily_prices!$B480,dim_company[company_id],dim_company[sector_id])</f>
        <v>SEC04</v>
      </c>
      <c r="K480" s="19" t="str">
        <f>_xlfn.XLOOKUP(fact_daily_prices!$J480,dim_sector[sector_id],dim_sector[sector_name])</f>
        <v>Energy</v>
      </c>
      <c r="L480" t="str">
        <v>COMP004-08-05-2025</v>
      </c>
      <c r="M480" t="str">
        <f>_xlfn.CONCAT(A479," ",B479)</f>
        <v>45784 COMP004</v>
      </c>
    </row>
    <row r="481" spans="1:13" x14ac:dyDescent="0.3">
      <c r="A481" s="20">
        <v>45786</v>
      </c>
      <c r="B481" s="7" t="s">
        <v>18</v>
      </c>
      <c r="C481" s="7">
        <v>653.27</v>
      </c>
      <c r="D481" s="7">
        <v>658.26</v>
      </c>
      <c r="E481" s="7">
        <v>648.29</v>
      </c>
      <c r="F481" s="7">
        <v>653.96</v>
      </c>
      <c r="G481" s="7">
        <v>34937</v>
      </c>
      <c r="H481" s="7">
        <f t="shared" si="9"/>
        <v>6.6059086182641905E-3</v>
      </c>
      <c r="I481" s="7">
        <f>PRODUCT(fact_daily_prices!$F481,fact_daily_prices!$G481)</f>
        <v>22847400.52</v>
      </c>
      <c r="J481" s="7" t="str">
        <f>_xlfn.XLOOKUP(fact_daily_prices!$B481,dim_company[company_id],dim_company[sector_id])</f>
        <v>SEC04</v>
      </c>
      <c r="K481" s="21" t="str">
        <f>_xlfn.XLOOKUP(fact_daily_prices!$J481,dim_sector[sector_id],dim_sector[sector_name])</f>
        <v>Energy</v>
      </c>
      <c r="L481" t="str">
        <v>COMP004-09-05-2025</v>
      </c>
      <c r="M481" t="str">
        <f>_xlfn.CONCAT(A480," ",B480)</f>
        <v>45785 COMP004</v>
      </c>
    </row>
    <row r="482" spans="1:13" x14ac:dyDescent="0.3">
      <c r="A482" s="17">
        <v>45789</v>
      </c>
      <c r="B482" s="18" t="s">
        <v>18</v>
      </c>
      <c r="C482" s="18">
        <v>647.08000000000004</v>
      </c>
      <c r="D482" s="18">
        <v>649.88</v>
      </c>
      <c r="E482" s="18">
        <v>644.28</v>
      </c>
      <c r="F482" s="18">
        <v>645.09</v>
      </c>
      <c r="G482" s="18">
        <v>26051</v>
      </c>
      <c r="H482" s="18">
        <f t="shared" si="9"/>
        <v>-1.375001937714118E-2</v>
      </c>
      <c r="I482" s="18">
        <f>PRODUCT(fact_daily_prices!$F482,fact_daily_prices!$G482)</f>
        <v>16805239.59</v>
      </c>
      <c r="J482" s="18" t="str">
        <f>_xlfn.XLOOKUP(fact_daily_prices!$B482,dim_company[company_id],dim_company[sector_id])</f>
        <v>SEC04</v>
      </c>
      <c r="K482" s="19" t="str">
        <f>_xlfn.XLOOKUP(fact_daily_prices!$J482,dim_sector[sector_id],dim_sector[sector_name])</f>
        <v>Energy</v>
      </c>
      <c r="L482" t="str">
        <v>COMP004-12-05-2025</v>
      </c>
      <c r="M482" t="str">
        <f>_xlfn.CONCAT(A481," ",B481)</f>
        <v>45786 COMP004</v>
      </c>
    </row>
    <row r="483" spans="1:13" x14ac:dyDescent="0.3">
      <c r="A483" s="20">
        <v>45790</v>
      </c>
      <c r="B483" s="7" t="s">
        <v>18</v>
      </c>
      <c r="C483" s="7">
        <v>626.33000000000004</v>
      </c>
      <c r="D483" s="7">
        <v>637.22</v>
      </c>
      <c r="E483" s="7">
        <v>615.44000000000005</v>
      </c>
      <c r="F483" s="7">
        <v>627.98</v>
      </c>
      <c r="G483" s="7">
        <v>34787</v>
      </c>
      <c r="H483" s="7">
        <f t="shared" si="9"/>
        <v>-2.7246090639829315E-2</v>
      </c>
      <c r="I483" s="7">
        <f>PRODUCT(fact_daily_prices!$F483,fact_daily_prices!$G483)</f>
        <v>21845540.260000002</v>
      </c>
      <c r="J483" s="7" t="str">
        <f>_xlfn.XLOOKUP(fact_daily_prices!$B483,dim_company[company_id],dim_company[sector_id])</f>
        <v>SEC04</v>
      </c>
      <c r="K483" s="21" t="str">
        <f>_xlfn.XLOOKUP(fact_daily_prices!$J483,dim_sector[sector_id],dim_sector[sector_name])</f>
        <v>Energy</v>
      </c>
      <c r="L483" t="str">
        <v>COMP004-13-05-2025</v>
      </c>
      <c r="M483" t="str">
        <f>_xlfn.CONCAT(A482," ",B482)</f>
        <v>45789 COMP004</v>
      </c>
    </row>
    <row r="484" spans="1:13" x14ac:dyDescent="0.3">
      <c r="A484" s="17">
        <v>45791</v>
      </c>
      <c r="B484" s="18" t="s">
        <v>18</v>
      </c>
      <c r="C484" s="18">
        <v>632</v>
      </c>
      <c r="D484" s="18">
        <v>634.99</v>
      </c>
      <c r="E484" s="18">
        <v>629.02</v>
      </c>
      <c r="F484" s="18">
        <v>631.21</v>
      </c>
      <c r="G484" s="18">
        <v>46253</v>
      </c>
      <c r="H484" s="18">
        <f t="shared" si="9"/>
        <v>5.1171559385941572E-3</v>
      </c>
      <c r="I484" s="18">
        <f>PRODUCT(fact_daily_prices!$F484,fact_daily_prices!$G484)</f>
        <v>29195356.130000003</v>
      </c>
      <c r="J484" s="18" t="str">
        <f>_xlfn.XLOOKUP(fact_daily_prices!$B484,dim_company[company_id],dim_company[sector_id])</f>
        <v>SEC04</v>
      </c>
      <c r="K484" s="19" t="str">
        <f>_xlfn.XLOOKUP(fact_daily_prices!$J484,dim_sector[sector_id],dim_sector[sector_name])</f>
        <v>Energy</v>
      </c>
      <c r="L484" t="str">
        <v>COMP004-14-05-2025</v>
      </c>
      <c r="M484" t="str">
        <f>_xlfn.CONCAT(A483," ",B483)</f>
        <v>45790 COMP004</v>
      </c>
    </row>
    <row r="485" spans="1:13" x14ac:dyDescent="0.3">
      <c r="A485" s="20">
        <v>45792</v>
      </c>
      <c r="B485" s="7" t="s">
        <v>18</v>
      </c>
      <c r="C485" s="7">
        <v>650.53</v>
      </c>
      <c r="D485" s="7">
        <v>659.79</v>
      </c>
      <c r="E485" s="7">
        <v>641.27</v>
      </c>
      <c r="F485" s="7">
        <v>651.5</v>
      </c>
      <c r="G485" s="7">
        <v>19394</v>
      </c>
      <c r="H485" s="7">
        <f t="shared" si="9"/>
        <v>3.1143514965464258E-2</v>
      </c>
      <c r="I485" s="7">
        <f>PRODUCT(fact_daily_prices!$F485,fact_daily_prices!$G485)</f>
        <v>12635191</v>
      </c>
      <c r="J485" s="7" t="str">
        <f>_xlfn.XLOOKUP(fact_daily_prices!$B485,dim_company[company_id],dim_company[sector_id])</f>
        <v>SEC04</v>
      </c>
      <c r="K485" s="21" t="str">
        <f>_xlfn.XLOOKUP(fact_daily_prices!$J485,dim_sector[sector_id],dim_sector[sector_name])</f>
        <v>Energy</v>
      </c>
      <c r="L485" t="str">
        <v>COMP004-15-05-2025</v>
      </c>
      <c r="M485" t="str">
        <f>_xlfn.CONCAT(A484," ",B484)</f>
        <v>45791 COMP004</v>
      </c>
    </row>
    <row r="486" spans="1:13" x14ac:dyDescent="0.3">
      <c r="A486" s="17">
        <v>45793</v>
      </c>
      <c r="B486" s="18" t="s">
        <v>18</v>
      </c>
      <c r="C486" s="18">
        <v>649.62</v>
      </c>
      <c r="D486" s="18">
        <v>660.55</v>
      </c>
      <c r="E486" s="18">
        <v>638.69000000000005</v>
      </c>
      <c r="F486" s="18">
        <v>651.61</v>
      </c>
      <c r="G486" s="18">
        <v>49998</v>
      </c>
      <c r="H486" s="18">
        <f t="shared" si="9"/>
        <v>1.6881263332363476E-4</v>
      </c>
      <c r="I486" s="18">
        <f>PRODUCT(fact_daily_prices!$F486,fact_daily_prices!$G486)</f>
        <v>32579196.780000001</v>
      </c>
      <c r="J486" s="18" t="str">
        <f>_xlfn.XLOOKUP(fact_daily_prices!$B486,dim_company[company_id],dim_company[sector_id])</f>
        <v>SEC04</v>
      </c>
      <c r="K486" s="19" t="str">
        <f>_xlfn.XLOOKUP(fact_daily_prices!$J486,dim_sector[sector_id],dim_sector[sector_name])</f>
        <v>Energy</v>
      </c>
      <c r="L486" t="str">
        <v>COMP004-16-05-2025</v>
      </c>
      <c r="M486" t="str">
        <f>_xlfn.CONCAT(A485," ",B485)</f>
        <v>45792 COMP004</v>
      </c>
    </row>
    <row r="487" spans="1:13" x14ac:dyDescent="0.3">
      <c r="A487" s="20">
        <v>45796</v>
      </c>
      <c r="B487" s="7" t="s">
        <v>18</v>
      </c>
      <c r="C487" s="7">
        <v>658.58</v>
      </c>
      <c r="D487" s="7">
        <v>666.22</v>
      </c>
      <c r="E487" s="7">
        <v>650.94000000000005</v>
      </c>
      <c r="F487" s="7">
        <v>658.69</v>
      </c>
      <c r="G487" s="7">
        <v>31268</v>
      </c>
      <c r="H487" s="7">
        <f t="shared" si="9"/>
        <v>1.0748607083757215E-2</v>
      </c>
      <c r="I487" s="7">
        <f>PRODUCT(fact_daily_prices!$F487,fact_daily_prices!$G487)</f>
        <v>20595918.920000002</v>
      </c>
      <c r="J487" s="7" t="str">
        <f>_xlfn.XLOOKUP(fact_daily_prices!$B487,dim_company[company_id],dim_company[sector_id])</f>
        <v>SEC04</v>
      </c>
      <c r="K487" s="21" t="str">
        <f>_xlfn.XLOOKUP(fact_daily_prices!$J487,dim_sector[sector_id],dim_sector[sector_name])</f>
        <v>Energy</v>
      </c>
      <c r="L487" t="str">
        <v>COMP004-19-05-2025</v>
      </c>
      <c r="M487" t="str">
        <f>_xlfn.CONCAT(A486," ",B486)</f>
        <v>45793 COMP004</v>
      </c>
    </row>
    <row r="488" spans="1:13" x14ac:dyDescent="0.3">
      <c r="A488" s="17">
        <v>45797</v>
      </c>
      <c r="B488" s="18" t="s">
        <v>18</v>
      </c>
      <c r="C488" s="18">
        <v>664.89</v>
      </c>
      <c r="D488" s="18">
        <v>672.44</v>
      </c>
      <c r="E488" s="18">
        <v>657.34</v>
      </c>
      <c r="F488" s="18">
        <v>659.52</v>
      </c>
      <c r="G488" s="18">
        <v>47698</v>
      </c>
      <c r="H488" s="18">
        <f t="shared" si="9"/>
        <v>1.2584910237747563E-3</v>
      </c>
      <c r="I488" s="18">
        <f>PRODUCT(fact_daily_prices!$F488,fact_daily_prices!$G488)</f>
        <v>31457784.960000001</v>
      </c>
      <c r="J488" s="18" t="str">
        <f>_xlfn.XLOOKUP(fact_daily_prices!$B488,dim_company[company_id],dim_company[sector_id])</f>
        <v>SEC04</v>
      </c>
      <c r="K488" s="19" t="str">
        <f>_xlfn.XLOOKUP(fact_daily_prices!$J488,dim_sector[sector_id],dim_sector[sector_name])</f>
        <v>Energy</v>
      </c>
      <c r="L488" t="str">
        <v>COMP004-20-05-2025</v>
      </c>
      <c r="M488" t="str">
        <f>_xlfn.CONCAT(A487," ",B487)</f>
        <v>45796 COMP004</v>
      </c>
    </row>
    <row r="489" spans="1:13" x14ac:dyDescent="0.3">
      <c r="A489" s="20">
        <v>45798</v>
      </c>
      <c r="B489" s="7" t="s">
        <v>18</v>
      </c>
      <c r="C489" s="7">
        <v>653.54</v>
      </c>
      <c r="D489" s="7">
        <v>659.18</v>
      </c>
      <c r="E489" s="7">
        <v>647.9</v>
      </c>
      <c r="F489" s="7">
        <v>658.86</v>
      </c>
      <c r="G489" s="7">
        <v>36525</v>
      </c>
      <c r="H489" s="7">
        <f t="shared" si="9"/>
        <v>-1.0017302613604835E-3</v>
      </c>
      <c r="I489" s="7">
        <f>PRODUCT(fact_daily_prices!$F489,fact_daily_prices!$G489)</f>
        <v>24064861.5</v>
      </c>
      <c r="J489" s="7" t="str">
        <f>_xlfn.XLOOKUP(fact_daily_prices!$B489,dim_company[company_id],dim_company[sector_id])</f>
        <v>SEC04</v>
      </c>
      <c r="K489" s="21" t="str">
        <f>_xlfn.XLOOKUP(fact_daily_prices!$J489,dim_sector[sector_id],dim_sector[sector_name])</f>
        <v>Energy</v>
      </c>
      <c r="L489" t="str">
        <v>COMP004-21-05-2025</v>
      </c>
      <c r="M489" t="str">
        <f>_xlfn.CONCAT(A488," ",B488)</f>
        <v>45797 COMP004</v>
      </c>
    </row>
    <row r="490" spans="1:13" x14ac:dyDescent="0.3">
      <c r="A490" s="17">
        <v>45799</v>
      </c>
      <c r="B490" s="18" t="s">
        <v>18</v>
      </c>
      <c r="C490" s="18">
        <v>668.15</v>
      </c>
      <c r="D490" s="18">
        <v>673.6</v>
      </c>
      <c r="E490" s="18">
        <v>662.71</v>
      </c>
      <c r="F490" s="18">
        <v>666.69</v>
      </c>
      <c r="G490" s="18">
        <v>24284</v>
      </c>
      <c r="H490" s="18">
        <f t="shared" si="9"/>
        <v>1.1744588939387181E-2</v>
      </c>
      <c r="I490" s="18">
        <f>PRODUCT(fact_daily_prices!$F490,fact_daily_prices!$G490)</f>
        <v>16189899.960000001</v>
      </c>
      <c r="J490" s="18" t="str">
        <f>_xlfn.XLOOKUP(fact_daily_prices!$B490,dim_company[company_id],dim_company[sector_id])</f>
        <v>SEC04</v>
      </c>
      <c r="K490" s="19" t="str">
        <f>_xlfn.XLOOKUP(fact_daily_prices!$J490,dim_sector[sector_id],dim_sector[sector_name])</f>
        <v>Energy</v>
      </c>
      <c r="L490" t="str">
        <v>COMP004-22-05-2025</v>
      </c>
      <c r="M490" t="str">
        <f>_xlfn.CONCAT(A489," ",B489)</f>
        <v>45798 COMP004</v>
      </c>
    </row>
    <row r="491" spans="1:13" x14ac:dyDescent="0.3">
      <c r="A491" s="20">
        <v>45800</v>
      </c>
      <c r="B491" s="7" t="s">
        <v>18</v>
      </c>
      <c r="C491" s="7">
        <v>659.12</v>
      </c>
      <c r="D491" s="7">
        <v>665.16</v>
      </c>
      <c r="E491" s="7">
        <v>653.08000000000004</v>
      </c>
      <c r="F491" s="7">
        <v>664.41</v>
      </c>
      <c r="G491" s="7">
        <v>6017</v>
      </c>
      <c r="H491" s="7">
        <f t="shared" si="9"/>
        <v>-3.4316160202286037E-3</v>
      </c>
      <c r="I491" s="7">
        <f>PRODUCT(fact_daily_prices!$F491,fact_daily_prices!$G491)</f>
        <v>3997754.9699999997</v>
      </c>
      <c r="J491" s="7" t="str">
        <f>_xlfn.XLOOKUP(fact_daily_prices!$B491,dim_company[company_id],dim_company[sector_id])</f>
        <v>SEC04</v>
      </c>
      <c r="K491" s="21" t="str">
        <f>_xlfn.XLOOKUP(fact_daily_prices!$J491,dim_sector[sector_id],dim_sector[sector_name])</f>
        <v>Energy</v>
      </c>
      <c r="L491" t="str">
        <v>COMP004-23-05-2025</v>
      </c>
      <c r="M491" t="str">
        <f>_xlfn.CONCAT(A490," ",B490)</f>
        <v>45799 COMP004</v>
      </c>
    </row>
    <row r="492" spans="1:13" x14ac:dyDescent="0.3">
      <c r="A492" s="17">
        <v>45803</v>
      </c>
      <c r="B492" s="18" t="s">
        <v>18</v>
      </c>
      <c r="C492" s="18">
        <v>667.02</v>
      </c>
      <c r="D492" s="18">
        <v>678.45</v>
      </c>
      <c r="E492" s="18">
        <v>655.59</v>
      </c>
      <c r="F492" s="18">
        <v>666.82</v>
      </c>
      <c r="G492" s="18">
        <v>23436</v>
      </c>
      <c r="H492" s="18">
        <f t="shared" si="9"/>
        <v>3.6141687411896488E-3</v>
      </c>
      <c r="I492" s="18">
        <f>PRODUCT(fact_daily_prices!$F492,fact_daily_prices!$G492)</f>
        <v>15627593.520000001</v>
      </c>
      <c r="J492" s="18" t="str">
        <f>_xlfn.XLOOKUP(fact_daily_prices!$B492,dim_company[company_id],dim_company[sector_id])</f>
        <v>SEC04</v>
      </c>
      <c r="K492" s="19" t="str">
        <f>_xlfn.XLOOKUP(fact_daily_prices!$J492,dim_sector[sector_id],dim_sector[sector_name])</f>
        <v>Energy</v>
      </c>
      <c r="L492" t="str">
        <v>COMP004-26-05-2025</v>
      </c>
      <c r="M492" t="str">
        <f>_xlfn.CONCAT(A491," ",B491)</f>
        <v>45800 COMP004</v>
      </c>
    </row>
    <row r="493" spans="1:13" x14ac:dyDescent="0.3">
      <c r="A493" s="20">
        <v>45804</v>
      </c>
      <c r="B493" s="7" t="s">
        <v>18</v>
      </c>
      <c r="C493" s="7">
        <v>669.99</v>
      </c>
      <c r="D493" s="7">
        <v>676.12</v>
      </c>
      <c r="E493" s="7">
        <v>663.85</v>
      </c>
      <c r="F493" s="7">
        <v>669.68</v>
      </c>
      <c r="G493" s="7">
        <v>26279</v>
      </c>
      <c r="H493" s="7">
        <f t="shared" si="9"/>
        <v>4.2706964520366443E-3</v>
      </c>
      <c r="I493" s="7">
        <f>PRODUCT(fact_daily_prices!$F493,fact_daily_prices!$G493)</f>
        <v>17598520.719999999</v>
      </c>
      <c r="J493" s="7" t="str">
        <f>_xlfn.XLOOKUP(fact_daily_prices!$B493,dim_company[company_id],dim_company[sector_id])</f>
        <v>SEC04</v>
      </c>
      <c r="K493" s="21" t="str">
        <f>_xlfn.XLOOKUP(fact_daily_prices!$J493,dim_sector[sector_id],dim_sector[sector_name])</f>
        <v>Energy</v>
      </c>
      <c r="L493" t="str">
        <v>COMP004-27-05-2025</v>
      </c>
      <c r="M493" t="str">
        <f>_xlfn.CONCAT(A492," ",B492)</f>
        <v>45803 COMP004</v>
      </c>
    </row>
    <row r="494" spans="1:13" x14ac:dyDescent="0.3">
      <c r="A494" s="17">
        <v>45805</v>
      </c>
      <c r="B494" s="18" t="s">
        <v>18</v>
      </c>
      <c r="C494" s="18">
        <v>666.55</v>
      </c>
      <c r="D494" s="18">
        <v>670.64</v>
      </c>
      <c r="E494" s="18">
        <v>662.45</v>
      </c>
      <c r="F494" s="18">
        <v>664.23</v>
      </c>
      <c r="G494" s="18">
        <v>20715</v>
      </c>
      <c r="H494" s="18">
        <f t="shared" si="9"/>
        <v>-8.2049892356562213E-3</v>
      </c>
      <c r="I494" s="18">
        <f>PRODUCT(fact_daily_prices!$F494,fact_daily_prices!$G494)</f>
        <v>13759524.450000001</v>
      </c>
      <c r="J494" s="18" t="str">
        <f>_xlfn.XLOOKUP(fact_daily_prices!$B494,dim_company[company_id],dim_company[sector_id])</f>
        <v>SEC04</v>
      </c>
      <c r="K494" s="19" t="str">
        <f>_xlfn.XLOOKUP(fact_daily_prices!$J494,dim_sector[sector_id],dim_sector[sector_name])</f>
        <v>Energy</v>
      </c>
      <c r="L494" t="str">
        <v>COMP004-28-05-2025</v>
      </c>
      <c r="M494" t="str">
        <f>_xlfn.CONCAT(A493," ",B493)</f>
        <v>45804 COMP004</v>
      </c>
    </row>
    <row r="495" spans="1:13" x14ac:dyDescent="0.3">
      <c r="A495" s="20">
        <v>45806</v>
      </c>
      <c r="B495" s="7" t="s">
        <v>18</v>
      </c>
      <c r="C495" s="7">
        <v>667</v>
      </c>
      <c r="D495" s="7">
        <v>673.41</v>
      </c>
      <c r="E495" s="7">
        <v>660.58</v>
      </c>
      <c r="F495" s="7">
        <v>672.74</v>
      </c>
      <c r="G495" s="7">
        <v>30312</v>
      </c>
      <c r="H495" s="7">
        <f t="shared" si="9"/>
        <v>1.2649760680203334E-2</v>
      </c>
      <c r="I495" s="7">
        <f>PRODUCT(fact_daily_prices!$F495,fact_daily_prices!$G495)</f>
        <v>20392094.879999999</v>
      </c>
      <c r="J495" s="7" t="str">
        <f>_xlfn.XLOOKUP(fact_daily_prices!$B495,dim_company[company_id],dim_company[sector_id])</f>
        <v>SEC04</v>
      </c>
      <c r="K495" s="21" t="str">
        <f>_xlfn.XLOOKUP(fact_daily_prices!$J495,dim_sector[sector_id],dim_sector[sector_name])</f>
        <v>Energy</v>
      </c>
      <c r="L495" t="str">
        <v>COMP004-29-05-2025</v>
      </c>
      <c r="M495" t="str">
        <f>_xlfn.CONCAT(A494," ",B494)</f>
        <v>45805 COMP004</v>
      </c>
    </row>
    <row r="496" spans="1:13" x14ac:dyDescent="0.3">
      <c r="A496" s="17">
        <v>45807</v>
      </c>
      <c r="B496" s="18" t="s">
        <v>18</v>
      </c>
      <c r="C496" s="18">
        <v>676.61</v>
      </c>
      <c r="D496" s="18">
        <v>681.9</v>
      </c>
      <c r="E496" s="18">
        <v>671.33</v>
      </c>
      <c r="F496" s="18">
        <v>671.42</v>
      </c>
      <c r="G496" s="18">
        <v>14493</v>
      </c>
      <c r="H496" s="18">
        <f t="shared" si="9"/>
        <v>-1.9659825444580891E-3</v>
      </c>
      <c r="I496" s="18">
        <f>PRODUCT(fact_daily_prices!$F496,fact_daily_prices!$G496)</f>
        <v>9730890.0599999987</v>
      </c>
      <c r="J496" s="18" t="str">
        <f>_xlfn.XLOOKUP(fact_daily_prices!$B496,dim_company[company_id],dim_company[sector_id])</f>
        <v>SEC04</v>
      </c>
      <c r="K496" s="19" t="str">
        <f>_xlfn.XLOOKUP(fact_daily_prices!$J496,dim_sector[sector_id],dim_sector[sector_name])</f>
        <v>Energy</v>
      </c>
      <c r="L496" t="str">
        <v>COMP004-30-05-2025</v>
      </c>
      <c r="M496" t="str">
        <f>_xlfn.CONCAT(A495," ",B495)</f>
        <v>45806 COMP004</v>
      </c>
    </row>
    <row r="497" spans="1:13" x14ac:dyDescent="0.3">
      <c r="A497" s="20">
        <v>45810</v>
      </c>
      <c r="B497" s="7" t="s">
        <v>18</v>
      </c>
      <c r="C497" s="7">
        <v>665.84</v>
      </c>
      <c r="D497" s="7">
        <v>668.21</v>
      </c>
      <c r="E497" s="7">
        <v>663.47</v>
      </c>
      <c r="F497" s="7">
        <v>665.22</v>
      </c>
      <c r="G497" s="7">
        <v>8736</v>
      </c>
      <c r="H497" s="7">
        <f t="shared" si="9"/>
        <v>-9.3202248880068714E-3</v>
      </c>
      <c r="I497" s="7">
        <f>PRODUCT(fact_daily_prices!$F497,fact_daily_prices!$G497)</f>
        <v>5811361.9199999999</v>
      </c>
      <c r="J497" s="7" t="str">
        <f>_xlfn.XLOOKUP(fact_daily_prices!$B497,dim_company[company_id],dim_company[sector_id])</f>
        <v>SEC04</v>
      </c>
      <c r="K497" s="21" t="str">
        <f>_xlfn.XLOOKUP(fact_daily_prices!$J497,dim_sector[sector_id],dim_sector[sector_name])</f>
        <v>Energy</v>
      </c>
      <c r="L497" t="str">
        <v>COMP004-02-06-2025</v>
      </c>
      <c r="M497" t="str">
        <f>_xlfn.CONCAT(A496," ",B496)</f>
        <v>45807 COMP004</v>
      </c>
    </row>
    <row r="498" spans="1:13" x14ac:dyDescent="0.3">
      <c r="A498" s="17">
        <v>45811</v>
      </c>
      <c r="B498" s="18" t="s">
        <v>18</v>
      </c>
      <c r="C498" s="18">
        <v>670.52</v>
      </c>
      <c r="D498" s="18">
        <v>679.95</v>
      </c>
      <c r="E498" s="18">
        <v>661.09</v>
      </c>
      <c r="F498" s="18">
        <v>669.89</v>
      </c>
      <c r="G498" s="18">
        <v>46603</v>
      </c>
      <c r="H498" s="18">
        <f t="shared" si="9"/>
        <v>6.9712937945035141E-3</v>
      </c>
      <c r="I498" s="18">
        <f>PRODUCT(fact_daily_prices!$F498,fact_daily_prices!$G498)</f>
        <v>31218883.669999998</v>
      </c>
      <c r="J498" s="18" t="str">
        <f>_xlfn.XLOOKUP(fact_daily_prices!$B498,dim_company[company_id],dim_company[sector_id])</f>
        <v>SEC04</v>
      </c>
      <c r="K498" s="19" t="str">
        <f>_xlfn.XLOOKUP(fact_daily_prices!$J498,dim_sector[sector_id],dim_sector[sector_name])</f>
        <v>Energy</v>
      </c>
      <c r="L498" t="str">
        <v>COMP004-03-06-2025</v>
      </c>
      <c r="M498" t="str">
        <f>_xlfn.CONCAT(A497," ",B497)</f>
        <v>45810 COMP004</v>
      </c>
    </row>
    <row r="499" spans="1:13" x14ac:dyDescent="0.3">
      <c r="A499" s="20">
        <v>45812</v>
      </c>
      <c r="B499" s="7" t="s">
        <v>18</v>
      </c>
      <c r="C499" s="7">
        <v>660.72</v>
      </c>
      <c r="D499" s="7">
        <v>662.68</v>
      </c>
      <c r="E499" s="7">
        <v>658.76</v>
      </c>
      <c r="F499" s="7">
        <v>662.51</v>
      </c>
      <c r="G499" s="7">
        <v>38481</v>
      </c>
      <c r="H499" s="7">
        <f t="shared" si="9"/>
        <v>-1.1139454498800012E-2</v>
      </c>
      <c r="I499" s="7">
        <f>PRODUCT(fact_daily_prices!$F499,fact_daily_prices!$G499)</f>
        <v>25494047.309999999</v>
      </c>
      <c r="J499" s="7" t="str">
        <f>_xlfn.XLOOKUP(fact_daily_prices!$B499,dim_company[company_id],dim_company[sector_id])</f>
        <v>SEC04</v>
      </c>
      <c r="K499" s="21" t="str">
        <f>_xlfn.XLOOKUP(fact_daily_prices!$J499,dim_sector[sector_id],dim_sector[sector_name])</f>
        <v>Energy</v>
      </c>
      <c r="L499" t="str">
        <v>COMP004-04-06-2025</v>
      </c>
      <c r="M499" t="str">
        <f>_xlfn.CONCAT(A498," ",B498)</f>
        <v>45811 COMP004</v>
      </c>
    </row>
    <row r="500" spans="1:13" x14ac:dyDescent="0.3">
      <c r="A500" s="17">
        <v>45813</v>
      </c>
      <c r="B500" s="18" t="s">
        <v>18</v>
      </c>
      <c r="C500" s="18">
        <v>663.03</v>
      </c>
      <c r="D500" s="18">
        <v>666.64</v>
      </c>
      <c r="E500" s="18">
        <v>659.43</v>
      </c>
      <c r="F500" s="18">
        <v>662.9</v>
      </c>
      <c r="G500" s="18">
        <v>1162</v>
      </c>
      <c r="H500" s="18">
        <f t="shared" si="9"/>
        <v>5.8832403077385177E-4</v>
      </c>
      <c r="I500" s="18">
        <f>PRODUCT(fact_daily_prices!$F500,fact_daily_prices!$G500)</f>
        <v>770289.79999999993</v>
      </c>
      <c r="J500" s="18" t="str">
        <f>_xlfn.XLOOKUP(fact_daily_prices!$B500,dim_company[company_id],dim_company[sector_id])</f>
        <v>SEC04</v>
      </c>
      <c r="K500" s="19" t="str">
        <f>_xlfn.XLOOKUP(fact_daily_prices!$J500,dim_sector[sector_id],dim_sector[sector_name])</f>
        <v>Energy</v>
      </c>
      <c r="L500" t="str">
        <v>COMP004-05-06-2025</v>
      </c>
      <c r="M500" t="str">
        <f>_xlfn.CONCAT(A499," ",B499)</f>
        <v>45812 COMP004</v>
      </c>
    </row>
    <row r="501" spans="1:13" x14ac:dyDescent="0.3">
      <c r="A501" s="20">
        <v>45814</v>
      </c>
      <c r="B501" s="7" t="s">
        <v>18</v>
      </c>
      <c r="C501" s="7">
        <v>659.59</v>
      </c>
      <c r="D501" s="7">
        <v>666.63</v>
      </c>
      <c r="E501" s="7">
        <v>652.54</v>
      </c>
      <c r="F501" s="7">
        <v>662.98</v>
      </c>
      <c r="G501" s="7">
        <v>33591</v>
      </c>
      <c r="H501" s="7">
        <f t="shared" si="9"/>
        <v>1.2066729011439399E-4</v>
      </c>
      <c r="I501" s="7">
        <f>PRODUCT(fact_daily_prices!$F501,fact_daily_prices!$G501)</f>
        <v>22270161.18</v>
      </c>
      <c r="J501" s="7" t="str">
        <f>_xlfn.XLOOKUP(fact_daily_prices!$B501,dim_company[company_id],dim_company[sector_id])</f>
        <v>SEC04</v>
      </c>
      <c r="K501" s="21" t="str">
        <f>_xlfn.XLOOKUP(fact_daily_prices!$J501,dim_sector[sector_id],dim_sector[sector_name])</f>
        <v>Energy</v>
      </c>
      <c r="L501" t="str">
        <v>COMP004-06-06-2025</v>
      </c>
      <c r="M501" t="str">
        <f>_xlfn.CONCAT(A500," ",B500)</f>
        <v>45813 COMP004</v>
      </c>
    </row>
    <row r="502" spans="1:13" x14ac:dyDescent="0.3">
      <c r="A502" s="17">
        <v>45817</v>
      </c>
      <c r="B502" s="18" t="s">
        <v>18</v>
      </c>
      <c r="C502" s="18">
        <v>671.88</v>
      </c>
      <c r="D502" s="18">
        <v>677.26</v>
      </c>
      <c r="E502" s="18">
        <v>666.51</v>
      </c>
      <c r="F502" s="18">
        <v>672.27</v>
      </c>
      <c r="G502" s="18">
        <v>8896</v>
      </c>
      <c r="H502" s="18">
        <f t="shared" si="9"/>
        <v>1.3818852544364562E-2</v>
      </c>
      <c r="I502" s="18">
        <f>PRODUCT(fact_daily_prices!$F502,fact_daily_prices!$G502)</f>
        <v>5980513.9199999999</v>
      </c>
      <c r="J502" s="18" t="str">
        <f>_xlfn.XLOOKUP(fact_daily_prices!$B502,dim_company[company_id],dim_company[sector_id])</f>
        <v>SEC04</v>
      </c>
      <c r="K502" s="19" t="str">
        <f>_xlfn.XLOOKUP(fact_daily_prices!$J502,dim_sector[sector_id],dim_sector[sector_name])</f>
        <v>Energy</v>
      </c>
      <c r="L502" t="str">
        <v>COMP004-09-06-2025</v>
      </c>
      <c r="M502" t="str">
        <f>_xlfn.CONCAT(A501," ",B501)</f>
        <v>45814 COMP004</v>
      </c>
    </row>
    <row r="503" spans="1:13" x14ac:dyDescent="0.3">
      <c r="A503" s="20">
        <v>45818</v>
      </c>
      <c r="B503" s="7" t="s">
        <v>18</v>
      </c>
      <c r="C503" s="7">
        <v>681.28</v>
      </c>
      <c r="D503" s="7">
        <v>686.97</v>
      </c>
      <c r="E503" s="7">
        <v>675.58</v>
      </c>
      <c r="F503" s="7">
        <v>676.47</v>
      </c>
      <c r="G503" s="7">
        <v>31508</v>
      </c>
      <c r="H503" s="7">
        <f t="shared" si="9"/>
        <v>6.2087010510444591E-3</v>
      </c>
      <c r="I503" s="7">
        <f>PRODUCT(fact_daily_prices!$F503,fact_daily_prices!$G503)</f>
        <v>21314216.760000002</v>
      </c>
      <c r="J503" s="7" t="str">
        <f>_xlfn.XLOOKUP(fact_daily_prices!$B503,dim_company[company_id],dim_company[sector_id])</f>
        <v>SEC04</v>
      </c>
      <c r="K503" s="21" t="str">
        <f>_xlfn.XLOOKUP(fact_daily_prices!$J503,dim_sector[sector_id],dim_sector[sector_name])</f>
        <v>Energy</v>
      </c>
      <c r="L503" t="str">
        <v>COMP004-10-06-2025</v>
      </c>
      <c r="M503" t="str">
        <f>_xlfn.CONCAT(A502," ",B502)</f>
        <v>45817 COMP004</v>
      </c>
    </row>
    <row r="504" spans="1:13" x14ac:dyDescent="0.3">
      <c r="A504" s="17">
        <v>45819</v>
      </c>
      <c r="B504" s="18" t="s">
        <v>18</v>
      </c>
      <c r="C504" s="18">
        <v>681.87</v>
      </c>
      <c r="D504" s="18">
        <v>687.95</v>
      </c>
      <c r="E504" s="18">
        <v>675.78</v>
      </c>
      <c r="F504" s="18">
        <v>676.41</v>
      </c>
      <c r="G504" s="18">
        <v>41785</v>
      </c>
      <c r="H504" s="18">
        <f t="shared" si="9"/>
        <v>-8.8703596930942943E-5</v>
      </c>
      <c r="I504" s="18">
        <f>PRODUCT(fact_daily_prices!$F504,fact_daily_prices!$G504)</f>
        <v>28263791.849999998</v>
      </c>
      <c r="J504" s="18" t="str">
        <f>_xlfn.XLOOKUP(fact_daily_prices!$B504,dim_company[company_id],dim_company[sector_id])</f>
        <v>SEC04</v>
      </c>
      <c r="K504" s="19" t="str">
        <f>_xlfn.XLOOKUP(fact_daily_prices!$J504,dim_sector[sector_id],dim_sector[sector_name])</f>
        <v>Energy</v>
      </c>
      <c r="L504" t="str">
        <v>COMP004-11-06-2025</v>
      </c>
      <c r="M504" t="str">
        <f>_xlfn.CONCAT(A503," ",B503)</f>
        <v>45818 COMP004</v>
      </c>
    </row>
    <row r="505" spans="1:13" x14ac:dyDescent="0.3">
      <c r="A505" s="20">
        <v>45820</v>
      </c>
      <c r="B505" s="7" t="s">
        <v>18</v>
      </c>
      <c r="C505" s="7">
        <v>688.83</v>
      </c>
      <c r="D505" s="7">
        <v>695.97</v>
      </c>
      <c r="E505" s="7">
        <v>681.68</v>
      </c>
      <c r="F505" s="7">
        <v>683.58</v>
      </c>
      <c r="G505" s="7">
        <v>48299</v>
      </c>
      <c r="H505" s="7">
        <f t="shared" si="9"/>
        <v>1.048889669095069E-2</v>
      </c>
      <c r="I505" s="7">
        <f>PRODUCT(fact_daily_prices!$F505,fact_daily_prices!$G505)</f>
        <v>33016230.420000002</v>
      </c>
      <c r="J505" s="7" t="str">
        <f>_xlfn.XLOOKUP(fact_daily_prices!$B505,dim_company[company_id],dim_company[sector_id])</f>
        <v>SEC04</v>
      </c>
      <c r="K505" s="21" t="str">
        <f>_xlfn.XLOOKUP(fact_daily_prices!$J505,dim_sector[sector_id],dim_sector[sector_name])</f>
        <v>Energy</v>
      </c>
      <c r="L505" t="str">
        <v>COMP004-12-06-2025</v>
      </c>
      <c r="M505" t="str">
        <f>_xlfn.CONCAT(A504," ",B504)</f>
        <v>45819 COMP004</v>
      </c>
    </row>
    <row r="506" spans="1:13" x14ac:dyDescent="0.3">
      <c r="A506" s="17">
        <v>45821</v>
      </c>
      <c r="B506" s="18" t="s">
        <v>18</v>
      </c>
      <c r="C506" s="18">
        <v>692.65</v>
      </c>
      <c r="D506" s="18">
        <v>700.21</v>
      </c>
      <c r="E506" s="18">
        <v>685.08</v>
      </c>
      <c r="F506" s="18">
        <v>695.83</v>
      </c>
      <c r="G506" s="18">
        <v>32358</v>
      </c>
      <c r="H506" s="18">
        <f t="shared" si="9"/>
        <v>1.7604874753891036E-2</v>
      </c>
      <c r="I506" s="18">
        <f>PRODUCT(fact_daily_prices!$F506,fact_daily_prices!$G506)</f>
        <v>22515667.140000001</v>
      </c>
      <c r="J506" s="18" t="str">
        <f>_xlfn.XLOOKUP(fact_daily_prices!$B506,dim_company[company_id],dim_company[sector_id])</f>
        <v>SEC04</v>
      </c>
      <c r="K506" s="19" t="str">
        <f>_xlfn.XLOOKUP(fact_daily_prices!$J506,dim_sector[sector_id],dim_sector[sector_name])</f>
        <v>Energy</v>
      </c>
      <c r="L506" t="str">
        <v>COMP004-13-06-2025</v>
      </c>
      <c r="M506" t="str">
        <f>_xlfn.CONCAT(A505," ",B505)</f>
        <v>45820 COMP004</v>
      </c>
    </row>
    <row r="507" spans="1:13" x14ac:dyDescent="0.3">
      <c r="A507" s="20">
        <v>45824</v>
      </c>
      <c r="B507" s="7" t="s">
        <v>18</v>
      </c>
      <c r="C507" s="7">
        <v>697.43</v>
      </c>
      <c r="D507" s="7">
        <v>704.22</v>
      </c>
      <c r="E507" s="7">
        <v>690.63</v>
      </c>
      <c r="F507" s="7">
        <v>700.9</v>
      </c>
      <c r="G507" s="7">
        <v>49330</v>
      </c>
      <c r="H507" s="7">
        <f t="shared" si="9"/>
        <v>7.2335568554714458E-3</v>
      </c>
      <c r="I507" s="7">
        <f>PRODUCT(fact_daily_prices!$F507,fact_daily_prices!$G507)</f>
        <v>34575397</v>
      </c>
      <c r="J507" s="7" t="str">
        <f>_xlfn.XLOOKUP(fact_daily_prices!$B507,dim_company[company_id],dim_company[sector_id])</f>
        <v>SEC04</v>
      </c>
      <c r="K507" s="21" t="str">
        <f>_xlfn.XLOOKUP(fact_daily_prices!$J507,dim_sector[sector_id],dim_sector[sector_name])</f>
        <v>Energy</v>
      </c>
      <c r="L507" t="str">
        <v>COMP004-16-06-2025</v>
      </c>
      <c r="M507" t="str">
        <f>_xlfn.CONCAT(A506," ",B506)</f>
        <v>45821 COMP004</v>
      </c>
    </row>
    <row r="508" spans="1:13" x14ac:dyDescent="0.3">
      <c r="A508" s="17">
        <v>45825</v>
      </c>
      <c r="B508" s="18" t="s">
        <v>18</v>
      </c>
      <c r="C508" s="18">
        <v>703.99</v>
      </c>
      <c r="D508" s="18">
        <v>714.67</v>
      </c>
      <c r="E508" s="18">
        <v>693.3</v>
      </c>
      <c r="F508" s="18">
        <v>701.16</v>
      </c>
      <c r="G508" s="18">
        <v>40110</v>
      </c>
      <c r="H508" s="18">
        <f t="shared" si="9"/>
        <v>3.7081407952534504E-4</v>
      </c>
      <c r="I508" s="18">
        <f>PRODUCT(fact_daily_prices!$F508,fact_daily_prices!$G508)</f>
        <v>28123527.599999998</v>
      </c>
      <c r="J508" s="18" t="str">
        <f>_xlfn.XLOOKUP(fact_daily_prices!$B508,dim_company[company_id],dim_company[sector_id])</f>
        <v>SEC04</v>
      </c>
      <c r="K508" s="19" t="str">
        <f>_xlfn.XLOOKUP(fact_daily_prices!$J508,dim_sector[sector_id],dim_sector[sector_name])</f>
        <v>Energy</v>
      </c>
      <c r="L508" t="str">
        <v>COMP004-17-06-2025</v>
      </c>
      <c r="M508" t="str">
        <f>_xlfn.CONCAT(A507," ",B507)</f>
        <v>45824 COMP004</v>
      </c>
    </row>
    <row r="509" spans="1:13" x14ac:dyDescent="0.3">
      <c r="A509" s="20">
        <v>45826</v>
      </c>
      <c r="B509" s="7" t="s">
        <v>18</v>
      </c>
      <c r="C509" s="7">
        <v>686.83</v>
      </c>
      <c r="D509" s="7">
        <v>695.26</v>
      </c>
      <c r="E509" s="7">
        <v>678.41</v>
      </c>
      <c r="F509" s="7">
        <v>689.83</v>
      </c>
      <c r="G509" s="7">
        <v>37727</v>
      </c>
      <c r="H509" s="7">
        <f t="shared" si="9"/>
        <v>-1.6424336430714708E-2</v>
      </c>
      <c r="I509" s="7">
        <f>PRODUCT(fact_daily_prices!$F509,fact_daily_prices!$G509)</f>
        <v>26025216.41</v>
      </c>
      <c r="J509" s="7" t="str">
        <f>_xlfn.XLOOKUP(fact_daily_prices!$B509,dim_company[company_id],dim_company[sector_id])</f>
        <v>SEC04</v>
      </c>
      <c r="K509" s="21" t="str">
        <f>_xlfn.XLOOKUP(fact_daily_prices!$J509,dim_sector[sector_id],dim_sector[sector_name])</f>
        <v>Energy</v>
      </c>
      <c r="L509" t="str">
        <v>COMP004-18-06-2025</v>
      </c>
      <c r="M509" t="str">
        <f>_xlfn.CONCAT(A508," ",B508)</f>
        <v>45825 COMP004</v>
      </c>
    </row>
    <row r="510" spans="1:13" x14ac:dyDescent="0.3">
      <c r="A510" s="17">
        <v>45827</v>
      </c>
      <c r="B510" s="18" t="s">
        <v>18</v>
      </c>
      <c r="C510" s="18">
        <v>677.59</v>
      </c>
      <c r="D510" s="18">
        <v>684.34</v>
      </c>
      <c r="E510" s="18">
        <v>670.85</v>
      </c>
      <c r="F510" s="18">
        <v>680.8</v>
      </c>
      <c r="G510" s="18">
        <v>19745</v>
      </c>
      <c r="H510" s="18">
        <f t="shared" si="9"/>
        <v>-1.3263807285546544E-2</v>
      </c>
      <c r="I510" s="18">
        <f>PRODUCT(fact_daily_prices!$F510,fact_daily_prices!$G510)</f>
        <v>13442396</v>
      </c>
      <c r="J510" s="18" t="str">
        <f>_xlfn.XLOOKUP(fact_daily_prices!$B510,dim_company[company_id],dim_company[sector_id])</f>
        <v>SEC04</v>
      </c>
      <c r="K510" s="19" t="str">
        <f>_xlfn.XLOOKUP(fact_daily_prices!$J510,dim_sector[sector_id],dim_sector[sector_name])</f>
        <v>Energy</v>
      </c>
      <c r="L510" t="str">
        <v>COMP004-19-06-2025</v>
      </c>
      <c r="M510" t="str">
        <f>_xlfn.CONCAT(A509," ",B509)</f>
        <v>45826 COMP004</v>
      </c>
    </row>
    <row r="511" spans="1:13" x14ac:dyDescent="0.3">
      <c r="A511" s="20">
        <v>45828</v>
      </c>
      <c r="B511" s="7" t="s">
        <v>18</v>
      </c>
      <c r="C511" s="7">
        <v>684.01</v>
      </c>
      <c r="D511" s="7">
        <v>691.63</v>
      </c>
      <c r="E511" s="7">
        <v>676.38</v>
      </c>
      <c r="F511" s="7">
        <v>678.34</v>
      </c>
      <c r="G511" s="7">
        <v>35521</v>
      </c>
      <c r="H511" s="7">
        <f t="shared" si="9"/>
        <v>-3.6264999852580158E-3</v>
      </c>
      <c r="I511" s="7">
        <f>PRODUCT(fact_daily_prices!$F511,fact_daily_prices!$G511)</f>
        <v>24095315.140000001</v>
      </c>
      <c r="J511" s="7" t="str">
        <f>_xlfn.XLOOKUP(fact_daily_prices!$B511,dim_company[company_id],dim_company[sector_id])</f>
        <v>SEC04</v>
      </c>
      <c r="K511" s="21" t="str">
        <f>_xlfn.XLOOKUP(fact_daily_prices!$J511,dim_sector[sector_id],dim_sector[sector_name])</f>
        <v>Energy</v>
      </c>
      <c r="L511" t="str">
        <v>COMP004-20-06-2025</v>
      </c>
      <c r="M511" t="str">
        <f>_xlfn.CONCAT(A510," ",B510)</f>
        <v>45827 COMP004</v>
      </c>
    </row>
    <row r="512" spans="1:13" x14ac:dyDescent="0.3">
      <c r="A512" s="17">
        <v>45831</v>
      </c>
      <c r="B512" s="18" t="s">
        <v>18</v>
      </c>
      <c r="C512" s="18">
        <v>672.33</v>
      </c>
      <c r="D512" s="18">
        <v>675.89</v>
      </c>
      <c r="E512" s="18">
        <v>668.76</v>
      </c>
      <c r="F512" s="18">
        <v>673.32</v>
      </c>
      <c r="G512" s="18">
        <v>23360</v>
      </c>
      <c r="H512" s="18">
        <f t="shared" si="9"/>
        <v>-7.4555931800629437E-3</v>
      </c>
      <c r="I512" s="18">
        <f>PRODUCT(fact_daily_prices!$F512,fact_daily_prices!$G512)</f>
        <v>15728755.200000001</v>
      </c>
      <c r="J512" s="18" t="str">
        <f>_xlfn.XLOOKUP(fact_daily_prices!$B512,dim_company[company_id],dim_company[sector_id])</f>
        <v>SEC04</v>
      </c>
      <c r="K512" s="19" t="str">
        <f>_xlfn.XLOOKUP(fact_daily_prices!$J512,dim_sector[sector_id],dim_sector[sector_name])</f>
        <v>Energy</v>
      </c>
      <c r="L512" t="str">
        <v>COMP004-23-06-2025</v>
      </c>
      <c r="M512" t="str">
        <f>_xlfn.CONCAT(A511," ",B511)</f>
        <v>45828 COMP004</v>
      </c>
    </row>
    <row r="513" spans="1:13" x14ac:dyDescent="0.3">
      <c r="A513" s="20">
        <v>45832</v>
      </c>
      <c r="B513" s="7" t="s">
        <v>18</v>
      </c>
      <c r="C513" s="7">
        <v>671.76</v>
      </c>
      <c r="D513" s="7">
        <v>684.62</v>
      </c>
      <c r="E513" s="7">
        <v>658.89</v>
      </c>
      <c r="F513" s="7">
        <v>671.89</v>
      </c>
      <c r="G513" s="7">
        <v>7588</v>
      </c>
      <c r="H513" s="7">
        <f t="shared" si="9"/>
        <v>-2.1283245769397724E-3</v>
      </c>
      <c r="I513" s="7">
        <f>PRODUCT(fact_daily_prices!$F513,fact_daily_prices!$G513)</f>
        <v>5098301.32</v>
      </c>
      <c r="J513" s="7" t="str">
        <f>_xlfn.XLOOKUP(fact_daily_prices!$B513,dim_company[company_id],dim_company[sector_id])</f>
        <v>SEC04</v>
      </c>
      <c r="K513" s="21" t="str">
        <f>_xlfn.XLOOKUP(fact_daily_prices!$J513,dim_sector[sector_id],dim_sector[sector_name])</f>
        <v>Energy</v>
      </c>
      <c r="L513" t="str">
        <v>COMP004-24-06-2025</v>
      </c>
      <c r="M513" t="str">
        <f>_xlfn.CONCAT(A512," ",B512)</f>
        <v>45831 COMP004</v>
      </c>
    </row>
    <row r="514" spans="1:13" x14ac:dyDescent="0.3">
      <c r="A514" s="17">
        <v>45833</v>
      </c>
      <c r="B514" s="18" t="s">
        <v>18</v>
      </c>
      <c r="C514" s="18">
        <v>672.28</v>
      </c>
      <c r="D514" s="18">
        <v>674.07</v>
      </c>
      <c r="E514" s="18">
        <v>670.5</v>
      </c>
      <c r="F514" s="18">
        <v>672.53</v>
      </c>
      <c r="G514" s="18">
        <v>25259</v>
      </c>
      <c r="H514" s="18">
        <f t="shared" si="9"/>
        <v>9.5163041053928656E-4</v>
      </c>
      <c r="I514" s="18">
        <f>PRODUCT(fact_daily_prices!$F514,fact_daily_prices!$G514)</f>
        <v>16987435.27</v>
      </c>
      <c r="J514" s="18" t="str">
        <f>_xlfn.XLOOKUP(fact_daily_prices!$B514,dim_company[company_id],dim_company[sector_id])</f>
        <v>SEC04</v>
      </c>
      <c r="K514" s="19" t="str">
        <f>_xlfn.XLOOKUP(fact_daily_prices!$J514,dim_sector[sector_id],dim_sector[sector_name])</f>
        <v>Energy</v>
      </c>
      <c r="L514" t="str">
        <v>COMP004-25-06-2025</v>
      </c>
      <c r="M514" t="str">
        <f>_xlfn.CONCAT(A513," ",B513)</f>
        <v>45832 COMP004</v>
      </c>
    </row>
    <row r="515" spans="1:13" x14ac:dyDescent="0.3">
      <c r="A515" s="20">
        <v>45834</v>
      </c>
      <c r="B515" s="7" t="s">
        <v>18</v>
      </c>
      <c r="C515" s="7">
        <v>679.42</v>
      </c>
      <c r="D515" s="7">
        <v>682.86</v>
      </c>
      <c r="E515" s="7">
        <v>675.99</v>
      </c>
      <c r="F515" s="7">
        <v>677.2</v>
      </c>
      <c r="G515" s="7">
        <v>34365</v>
      </c>
      <c r="H515" s="7">
        <f t="shared" si="9"/>
        <v>6.8960425280568107E-3</v>
      </c>
      <c r="I515" s="7">
        <f>PRODUCT(fact_daily_prices!$F515,fact_daily_prices!$G515)</f>
        <v>23271978</v>
      </c>
      <c r="J515" s="7" t="str">
        <f>_xlfn.XLOOKUP(fact_daily_prices!$B515,dim_company[company_id],dim_company[sector_id])</f>
        <v>SEC04</v>
      </c>
      <c r="K515" s="21" t="str">
        <f>_xlfn.XLOOKUP(fact_daily_prices!$J515,dim_sector[sector_id],dim_sector[sector_name])</f>
        <v>Energy</v>
      </c>
      <c r="L515" t="str">
        <v>COMP004-26-06-2025</v>
      </c>
      <c r="M515" t="str">
        <f>_xlfn.CONCAT(A514," ",B514)</f>
        <v>45833 COMP004</v>
      </c>
    </row>
    <row r="516" spans="1:13" x14ac:dyDescent="0.3">
      <c r="A516" s="17">
        <v>45835</v>
      </c>
      <c r="B516" s="18" t="s">
        <v>18</v>
      </c>
      <c r="C516" s="18">
        <v>677.01</v>
      </c>
      <c r="D516" s="18">
        <v>684.35</v>
      </c>
      <c r="E516" s="18">
        <v>669.67</v>
      </c>
      <c r="F516" s="18">
        <v>676.76</v>
      </c>
      <c r="G516" s="18">
        <v>33316</v>
      </c>
      <c r="H516" s="18">
        <f t="shared" ref="H516:H579" si="10">(F516-F515)/F516</f>
        <v>-6.5015662864243535E-4</v>
      </c>
      <c r="I516" s="18">
        <f>PRODUCT(fact_daily_prices!$F516,fact_daily_prices!$G516)</f>
        <v>22546936.16</v>
      </c>
      <c r="J516" s="18" t="str">
        <f>_xlfn.XLOOKUP(fact_daily_prices!$B516,dim_company[company_id],dim_company[sector_id])</f>
        <v>SEC04</v>
      </c>
      <c r="K516" s="19" t="str">
        <f>_xlfn.XLOOKUP(fact_daily_prices!$J516,dim_sector[sector_id],dim_sector[sector_name])</f>
        <v>Energy</v>
      </c>
      <c r="L516" t="str">
        <v>COMP004-27-06-2025</v>
      </c>
      <c r="M516" t="str">
        <f>_xlfn.CONCAT(A515," ",B515)</f>
        <v>45834 COMP004</v>
      </c>
    </row>
    <row r="517" spans="1:13" x14ac:dyDescent="0.3">
      <c r="A517" s="20">
        <v>45838</v>
      </c>
      <c r="B517" s="7" t="s">
        <v>18</v>
      </c>
      <c r="C517" s="7">
        <v>679.88</v>
      </c>
      <c r="D517" s="7">
        <v>684.18</v>
      </c>
      <c r="E517" s="7">
        <v>675.58</v>
      </c>
      <c r="F517" s="7">
        <v>681.08</v>
      </c>
      <c r="G517" s="7">
        <v>19474</v>
      </c>
      <c r="H517" s="7">
        <f t="shared" si="10"/>
        <v>6.3428672109004077E-3</v>
      </c>
      <c r="I517" s="7">
        <f>PRODUCT(fact_daily_prices!$F517,fact_daily_prices!$G517)</f>
        <v>13263351.92</v>
      </c>
      <c r="J517" s="7" t="str">
        <f>_xlfn.XLOOKUP(fact_daily_prices!$B517,dim_company[company_id],dim_company[sector_id])</f>
        <v>SEC04</v>
      </c>
      <c r="K517" s="21" t="str">
        <f>_xlfn.XLOOKUP(fact_daily_prices!$J517,dim_sector[sector_id],dim_sector[sector_name])</f>
        <v>Energy</v>
      </c>
      <c r="L517" t="str">
        <v>COMP004-30-06-2025</v>
      </c>
      <c r="M517" t="str">
        <f>_xlfn.CONCAT(A516," ",B516)</f>
        <v>45835 COMP004</v>
      </c>
    </row>
    <row r="518" spans="1:13" x14ac:dyDescent="0.3">
      <c r="A518" s="17">
        <v>45658</v>
      </c>
      <c r="B518" s="18" t="s">
        <v>22</v>
      </c>
      <c r="C518" s="18">
        <v>228.35</v>
      </c>
      <c r="D518" s="18">
        <v>231.47</v>
      </c>
      <c r="E518" s="18">
        <v>225.23</v>
      </c>
      <c r="F518" s="18">
        <v>229.72</v>
      </c>
      <c r="G518" s="18">
        <v>13109</v>
      </c>
      <c r="H518" s="18">
        <v>0</v>
      </c>
      <c r="I518" s="18">
        <f>PRODUCT(fact_daily_prices!$F518,fact_daily_prices!$G518)</f>
        <v>3011399.48</v>
      </c>
      <c r="J518" s="18" t="str">
        <f>_xlfn.XLOOKUP(fact_daily_prices!$B518,dim_company[company_id],dim_company[sector_id])</f>
        <v>SEC01</v>
      </c>
      <c r="K518" s="19" t="str">
        <f>_xlfn.XLOOKUP(fact_daily_prices!$J518,dim_sector[sector_id],dim_sector[sector_name])</f>
        <v>Information Technology</v>
      </c>
      <c r="L518" t="str">
        <v>COMP005-01-01-2025</v>
      </c>
      <c r="M518" t="str">
        <f>_xlfn.CONCAT(A517," ",B517)</f>
        <v>45838 COMP004</v>
      </c>
    </row>
    <row r="519" spans="1:13" x14ac:dyDescent="0.3">
      <c r="A519" s="20">
        <v>45659</v>
      </c>
      <c r="B519" s="7" t="s">
        <v>22</v>
      </c>
      <c r="C519" s="7">
        <v>236.16</v>
      </c>
      <c r="D519" s="7">
        <v>237.33</v>
      </c>
      <c r="E519" s="7">
        <v>234.99</v>
      </c>
      <c r="F519" s="7">
        <v>235.08</v>
      </c>
      <c r="G519" s="7">
        <v>24383</v>
      </c>
      <c r="H519" s="7">
        <f t="shared" si="10"/>
        <v>2.280074868130004E-2</v>
      </c>
      <c r="I519" s="7">
        <f>PRODUCT(fact_daily_prices!$F519,fact_daily_prices!$G519)</f>
        <v>5731955.6400000006</v>
      </c>
      <c r="J519" s="7" t="str">
        <f>_xlfn.XLOOKUP(fact_daily_prices!$B519,dim_company[company_id],dim_company[sector_id])</f>
        <v>SEC01</v>
      </c>
      <c r="K519" s="21" t="str">
        <f>_xlfn.XLOOKUP(fact_daily_prices!$J519,dim_sector[sector_id],dim_sector[sector_name])</f>
        <v>Information Technology</v>
      </c>
      <c r="L519" t="str">
        <v>COMP005-02-01-2025</v>
      </c>
      <c r="M519" t="str">
        <f>_xlfn.CONCAT(A518," ",B518)</f>
        <v>45658 COMP005</v>
      </c>
    </row>
    <row r="520" spans="1:13" x14ac:dyDescent="0.3">
      <c r="A520" s="17">
        <v>45660</v>
      </c>
      <c r="B520" s="18" t="s">
        <v>22</v>
      </c>
      <c r="C520" s="18">
        <v>232.68</v>
      </c>
      <c r="D520" s="18">
        <v>235.02</v>
      </c>
      <c r="E520" s="18">
        <v>230.35</v>
      </c>
      <c r="F520" s="18">
        <v>234.89</v>
      </c>
      <c r="G520" s="18">
        <v>19351</v>
      </c>
      <c r="H520" s="18">
        <f t="shared" si="10"/>
        <v>-8.088892673167277E-4</v>
      </c>
      <c r="I520" s="18">
        <f>PRODUCT(fact_daily_prices!$F520,fact_daily_prices!$G520)</f>
        <v>4545356.3899999997</v>
      </c>
      <c r="J520" s="18" t="str">
        <f>_xlfn.XLOOKUP(fact_daily_prices!$B520,dim_company[company_id],dim_company[sector_id])</f>
        <v>SEC01</v>
      </c>
      <c r="K520" s="19" t="str">
        <f>_xlfn.XLOOKUP(fact_daily_prices!$J520,dim_sector[sector_id],dim_sector[sector_name])</f>
        <v>Information Technology</v>
      </c>
      <c r="L520" t="str">
        <v>COMP005-03-01-2025</v>
      </c>
      <c r="M520" t="str">
        <f>_xlfn.CONCAT(A519," ",B519)</f>
        <v>45659 COMP005</v>
      </c>
    </row>
    <row r="521" spans="1:13" x14ac:dyDescent="0.3">
      <c r="A521" s="20">
        <v>45663</v>
      </c>
      <c r="B521" s="7" t="s">
        <v>22</v>
      </c>
      <c r="C521" s="7">
        <v>231.89</v>
      </c>
      <c r="D521" s="7">
        <v>235.8</v>
      </c>
      <c r="E521" s="7">
        <v>227.98</v>
      </c>
      <c r="F521" s="7">
        <v>232.51</v>
      </c>
      <c r="G521" s="7">
        <v>20330</v>
      </c>
      <c r="H521" s="7">
        <f t="shared" si="10"/>
        <v>-1.0236118876607438E-2</v>
      </c>
      <c r="I521" s="7">
        <f>PRODUCT(fact_daily_prices!$F521,fact_daily_prices!$G521)</f>
        <v>4726928.3</v>
      </c>
      <c r="J521" s="7" t="str">
        <f>_xlfn.XLOOKUP(fact_daily_prices!$B521,dim_company[company_id],dim_company[sector_id])</f>
        <v>SEC01</v>
      </c>
      <c r="K521" s="21" t="str">
        <f>_xlfn.XLOOKUP(fact_daily_prices!$J521,dim_sector[sector_id],dim_sector[sector_name])</f>
        <v>Information Technology</v>
      </c>
      <c r="L521" t="str">
        <v>COMP005-06-01-2025</v>
      </c>
      <c r="M521" t="str">
        <f>_xlfn.CONCAT(A520," ",B520)</f>
        <v>45660 COMP005</v>
      </c>
    </row>
    <row r="522" spans="1:13" x14ac:dyDescent="0.3">
      <c r="A522" s="17">
        <v>45664</v>
      </c>
      <c r="B522" s="18" t="s">
        <v>22</v>
      </c>
      <c r="C522" s="18">
        <v>228.76</v>
      </c>
      <c r="D522" s="18">
        <v>232.33</v>
      </c>
      <c r="E522" s="18">
        <v>225.2</v>
      </c>
      <c r="F522" s="18">
        <v>228.88</v>
      </c>
      <c r="G522" s="18">
        <v>6075</v>
      </c>
      <c r="H522" s="18">
        <f t="shared" si="10"/>
        <v>-1.5859839217056953E-2</v>
      </c>
      <c r="I522" s="18">
        <f>PRODUCT(fact_daily_prices!$F522,fact_daily_prices!$G522)</f>
        <v>1390446</v>
      </c>
      <c r="J522" s="18" t="str">
        <f>_xlfn.XLOOKUP(fact_daily_prices!$B522,dim_company[company_id],dim_company[sector_id])</f>
        <v>SEC01</v>
      </c>
      <c r="K522" s="19" t="str">
        <f>_xlfn.XLOOKUP(fact_daily_prices!$J522,dim_sector[sector_id],dim_sector[sector_name])</f>
        <v>Information Technology</v>
      </c>
      <c r="L522" t="str">
        <v>COMP005-07-01-2025</v>
      </c>
      <c r="M522" t="str">
        <f>_xlfn.CONCAT(A521," ",B521)</f>
        <v>45663 COMP005</v>
      </c>
    </row>
    <row r="523" spans="1:13" x14ac:dyDescent="0.3">
      <c r="A523" s="20">
        <v>45665</v>
      </c>
      <c r="B523" s="7" t="s">
        <v>22</v>
      </c>
      <c r="C523" s="7">
        <v>229.59</v>
      </c>
      <c r="D523" s="7">
        <v>233.26</v>
      </c>
      <c r="E523" s="7">
        <v>225.92</v>
      </c>
      <c r="F523" s="7">
        <v>228.77</v>
      </c>
      <c r="G523" s="7">
        <v>49200</v>
      </c>
      <c r="H523" s="7">
        <f t="shared" si="10"/>
        <v>-4.8083227695932689E-4</v>
      </c>
      <c r="I523" s="7">
        <f>PRODUCT(fact_daily_prices!$F523,fact_daily_prices!$G523)</f>
        <v>11255484</v>
      </c>
      <c r="J523" s="7" t="str">
        <f>_xlfn.XLOOKUP(fact_daily_prices!$B523,dim_company[company_id],dim_company[sector_id])</f>
        <v>SEC01</v>
      </c>
      <c r="K523" s="21" t="str">
        <f>_xlfn.XLOOKUP(fact_daily_prices!$J523,dim_sector[sector_id],dim_sector[sector_name])</f>
        <v>Information Technology</v>
      </c>
      <c r="L523" t="str">
        <v>COMP005-08-01-2025</v>
      </c>
      <c r="M523" t="str">
        <f>_xlfn.CONCAT(A522," ",B522)</f>
        <v>45664 COMP005</v>
      </c>
    </row>
    <row r="524" spans="1:13" x14ac:dyDescent="0.3">
      <c r="A524" s="17">
        <v>45666</v>
      </c>
      <c r="B524" s="18" t="s">
        <v>22</v>
      </c>
      <c r="C524" s="18">
        <v>226.34</v>
      </c>
      <c r="D524" s="18">
        <v>228.92</v>
      </c>
      <c r="E524" s="18">
        <v>223.76</v>
      </c>
      <c r="F524" s="18">
        <v>227.53</v>
      </c>
      <c r="G524" s="18">
        <v>14074</v>
      </c>
      <c r="H524" s="18">
        <f t="shared" si="10"/>
        <v>-5.4498307915440119E-3</v>
      </c>
      <c r="I524" s="18">
        <f>PRODUCT(fact_daily_prices!$F524,fact_daily_prices!$G524)</f>
        <v>3202257.22</v>
      </c>
      <c r="J524" s="18" t="str">
        <f>_xlfn.XLOOKUP(fact_daily_prices!$B524,dim_company[company_id],dim_company[sector_id])</f>
        <v>SEC01</v>
      </c>
      <c r="K524" s="19" t="str">
        <f>_xlfn.XLOOKUP(fact_daily_prices!$J524,dim_sector[sector_id],dim_sector[sector_name])</f>
        <v>Information Technology</v>
      </c>
      <c r="L524" t="str">
        <v>COMP005-09-01-2025</v>
      </c>
      <c r="M524" t="str">
        <f>_xlfn.CONCAT(A523," ",B523)</f>
        <v>45665 COMP005</v>
      </c>
    </row>
    <row r="525" spans="1:13" x14ac:dyDescent="0.3">
      <c r="A525" s="20">
        <v>45667</v>
      </c>
      <c r="B525" s="7" t="s">
        <v>22</v>
      </c>
      <c r="C525" s="7">
        <v>235.2</v>
      </c>
      <c r="D525" s="7">
        <v>237.5</v>
      </c>
      <c r="E525" s="7">
        <v>232.9</v>
      </c>
      <c r="F525" s="7">
        <v>233.42</v>
      </c>
      <c r="G525" s="7">
        <v>35228</v>
      </c>
      <c r="H525" s="7">
        <f t="shared" si="10"/>
        <v>2.5233484705680691E-2</v>
      </c>
      <c r="I525" s="7">
        <f>PRODUCT(fact_daily_prices!$F525,fact_daily_prices!$G525)</f>
        <v>8222919.7599999998</v>
      </c>
      <c r="J525" s="7" t="str">
        <f>_xlfn.XLOOKUP(fact_daily_prices!$B525,dim_company[company_id],dim_company[sector_id])</f>
        <v>SEC01</v>
      </c>
      <c r="K525" s="21" t="str">
        <f>_xlfn.XLOOKUP(fact_daily_prices!$J525,dim_sector[sector_id],dim_sector[sector_name])</f>
        <v>Information Technology</v>
      </c>
      <c r="L525" t="str">
        <v>COMP005-10-01-2025</v>
      </c>
      <c r="M525" t="str">
        <f>_xlfn.CONCAT(A524," ",B524)</f>
        <v>45666 COMP005</v>
      </c>
    </row>
    <row r="526" spans="1:13" x14ac:dyDescent="0.3">
      <c r="A526" s="17">
        <v>45670</v>
      </c>
      <c r="B526" s="18" t="s">
        <v>22</v>
      </c>
      <c r="C526" s="18">
        <v>239.8</v>
      </c>
      <c r="D526" s="18">
        <v>241.33</v>
      </c>
      <c r="E526" s="18">
        <v>238.28</v>
      </c>
      <c r="F526" s="18">
        <v>238.74</v>
      </c>
      <c r="G526" s="18">
        <v>7816</v>
      </c>
      <c r="H526" s="18">
        <f t="shared" si="10"/>
        <v>2.2283655859931396E-2</v>
      </c>
      <c r="I526" s="18">
        <f>PRODUCT(fact_daily_prices!$F526,fact_daily_prices!$G526)</f>
        <v>1865991.84</v>
      </c>
      <c r="J526" s="18" t="str">
        <f>_xlfn.XLOOKUP(fact_daily_prices!$B526,dim_company[company_id],dim_company[sector_id])</f>
        <v>SEC01</v>
      </c>
      <c r="K526" s="19" t="str">
        <f>_xlfn.XLOOKUP(fact_daily_prices!$J526,dim_sector[sector_id],dim_sector[sector_name])</f>
        <v>Information Technology</v>
      </c>
      <c r="L526" t="str">
        <v>COMP005-13-01-2025</v>
      </c>
      <c r="M526" t="str">
        <f>_xlfn.CONCAT(A525," ",B525)</f>
        <v>45667 COMP005</v>
      </c>
    </row>
    <row r="527" spans="1:13" x14ac:dyDescent="0.3">
      <c r="A527" s="20">
        <v>45671</v>
      </c>
      <c r="B527" s="7" t="s">
        <v>22</v>
      </c>
      <c r="C527" s="7">
        <v>236.1</v>
      </c>
      <c r="D527" s="7">
        <v>237.92</v>
      </c>
      <c r="E527" s="7">
        <v>234.29</v>
      </c>
      <c r="F527" s="7">
        <v>235.71</v>
      </c>
      <c r="G527" s="7">
        <v>30492</v>
      </c>
      <c r="H527" s="7">
        <f t="shared" si="10"/>
        <v>-1.2854779177803238E-2</v>
      </c>
      <c r="I527" s="7">
        <f>PRODUCT(fact_daily_prices!$F527,fact_daily_prices!$G527)</f>
        <v>7187269.3200000003</v>
      </c>
      <c r="J527" s="7" t="str">
        <f>_xlfn.XLOOKUP(fact_daily_prices!$B527,dim_company[company_id],dim_company[sector_id])</f>
        <v>SEC01</v>
      </c>
      <c r="K527" s="21" t="str">
        <f>_xlfn.XLOOKUP(fact_daily_prices!$J527,dim_sector[sector_id],dim_sector[sector_name])</f>
        <v>Information Technology</v>
      </c>
      <c r="L527" t="str">
        <v>COMP005-14-01-2025</v>
      </c>
      <c r="M527" t="str">
        <f>_xlfn.CONCAT(A526," ",B526)</f>
        <v>45670 COMP005</v>
      </c>
    </row>
    <row r="528" spans="1:13" x14ac:dyDescent="0.3">
      <c r="A528" s="17">
        <v>45672</v>
      </c>
      <c r="B528" s="18" t="s">
        <v>22</v>
      </c>
      <c r="C528" s="18">
        <v>233.66</v>
      </c>
      <c r="D528" s="18">
        <v>235.05</v>
      </c>
      <c r="E528" s="18">
        <v>232.26</v>
      </c>
      <c r="F528" s="18">
        <v>233.66</v>
      </c>
      <c r="G528" s="18">
        <v>33808</v>
      </c>
      <c r="H528" s="18">
        <f t="shared" si="10"/>
        <v>-8.7734314816400386E-3</v>
      </c>
      <c r="I528" s="18">
        <f>PRODUCT(fact_daily_prices!$F528,fact_daily_prices!$G528)</f>
        <v>7899577.2800000003</v>
      </c>
      <c r="J528" s="18" t="str">
        <f>_xlfn.XLOOKUP(fact_daily_prices!$B528,dim_company[company_id],dim_company[sector_id])</f>
        <v>SEC01</v>
      </c>
      <c r="K528" s="19" t="str">
        <f>_xlfn.XLOOKUP(fact_daily_prices!$J528,dim_sector[sector_id],dim_sector[sector_name])</f>
        <v>Information Technology</v>
      </c>
      <c r="L528" t="str">
        <v>COMP005-15-01-2025</v>
      </c>
      <c r="M528" t="str">
        <f>_xlfn.CONCAT(A527," ",B527)</f>
        <v>45671 COMP005</v>
      </c>
    </row>
    <row r="529" spans="1:13" x14ac:dyDescent="0.3">
      <c r="A529" s="20">
        <v>45673</v>
      </c>
      <c r="B529" s="7" t="s">
        <v>22</v>
      </c>
      <c r="C529" s="7">
        <v>231.94</v>
      </c>
      <c r="D529" s="7">
        <v>234.16</v>
      </c>
      <c r="E529" s="7">
        <v>229.71</v>
      </c>
      <c r="F529" s="7">
        <v>233.94</v>
      </c>
      <c r="G529" s="7">
        <v>15849</v>
      </c>
      <c r="H529" s="7">
        <f t="shared" si="10"/>
        <v>1.1968880909634999E-3</v>
      </c>
      <c r="I529" s="7">
        <f>PRODUCT(fact_daily_prices!$F529,fact_daily_prices!$G529)</f>
        <v>3707715.06</v>
      </c>
      <c r="J529" s="7" t="str">
        <f>_xlfn.XLOOKUP(fact_daily_prices!$B529,dim_company[company_id],dim_company[sector_id])</f>
        <v>SEC01</v>
      </c>
      <c r="K529" s="21" t="str">
        <f>_xlfn.XLOOKUP(fact_daily_prices!$J529,dim_sector[sector_id],dim_sector[sector_name])</f>
        <v>Information Technology</v>
      </c>
      <c r="L529" t="str">
        <v>COMP005-16-01-2025</v>
      </c>
      <c r="M529" t="str">
        <f>_xlfn.CONCAT(A528," ",B528)</f>
        <v>45672 COMP005</v>
      </c>
    </row>
    <row r="530" spans="1:13" x14ac:dyDescent="0.3">
      <c r="A530" s="17">
        <v>45674</v>
      </c>
      <c r="B530" s="18" t="s">
        <v>22</v>
      </c>
      <c r="C530" s="18">
        <v>238.32</v>
      </c>
      <c r="D530" s="18">
        <v>241.33</v>
      </c>
      <c r="E530" s="18">
        <v>235.32</v>
      </c>
      <c r="F530" s="18">
        <v>238.15</v>
      </c>
      <c r="G530" s="18">
        <v>6374</v>
      </c>
      <c r="H530" s="18">
        <f t="shared" si="10"/>
        <v>1.7677934075162747E-2</v>
      </c>
      <c r="I530" s="18">
        <f>PRODUCT(fact_daily_prices!$F530,fact_daily_prices!$G530)</f>
        <v>1517968.1</v>
      </c>
      <c r="J530" s="18" t="str">
        <f>_xlfn.XLOOKUP(fact_daily_prices!$B530,dim_company[company_id],dim_company[sector_id])</f>
        <v>SEC01</v>
      </c>
      <c r="K530" s="19" t="str">
        <f>_xlfn.XLOOKUP(fact_daily_prices!$J530,dim_sector[sector_id],dim_sector[sector_name])</f>
        <v>Information Technology</v>
      </c>
      <c r="L530" t="str">
        <v>COMP005-17-01-2025</v>
      </c>
      <c r="M530" t="str">
        <f>_xlfn.CONCAT(A529," ",B529)</f>
        <v>45673 COMP005</v>
      </c>
    </row>
    <row r="531" spans="1:13" x14ac:dyDescent="0.3">
      <c r="A531" s="20">
        <v>45677</v>
      </c>
      <c r="B531" s="7" t="s">
        <v>22</v>
      </c>
      <c r="C531" s="7">
        <v>237.99</v>
      </c>
      <c r="D531" s="7">
        <v>238.75</v>
      </c>
      <c r="E531" s="7">
        <v>237.23</v>
      </c>
      <c r="F531" s="7">
        <v>238.38</v>
      </c>
      <c r="G531" s="7">
        <v>32600</v>
      </c>
      <c r="H531" s="7">
        <f t="shared" si="10"/>
        <v>9.6484604413117614E-4</v>
      </c>
      <c r="I531" s="7">
        <f>PRODUCT(fact_daily_prices!$F531,fact_daily_prices!$G531)</f>
        <v>7771188</v>
      </c>
      <c r="J531" s="7" t="str">
        <f>_xlfn.XLOOKUP(fact_daily_prices!$B531,dim_company[company_id],dim_company[sector_id])</f>
        <v>SEC01</v>
      </c>
      <c r="K531" s="21" t="str">
        <f>_xlfn.XLOOKUP(fact_daily_prices!$J531,dim_sector[sector_id],dim_sector[sector_name])</f>
        <v>Information Technology</v>
      </c>
      <c r="L531" t="str">
        <v>COMP005-20-01-2025</v>
      </c>
      <c r="M531" t="str">
        <f>_xlfn.CONCAT(A530," ",B530)</f>
        <v>45674 COMP005</v>
      </c>
    </row>
    <row r="532" spans="1:13" x14ac:dyDescent="0.3">
      <c r="A532" s="17">
        <v>45678</v>
      </c>
      <c r="B532" s="18" t="s">
        <v>22</v>
      </c>
      <c r="C532" s="18">
        <v>236.16</v>
      </c>
      <c r="D532" s="18">
        <v>237.84</v>
      </c>
      <c r="E532" s="18">
        <v>234.47</v>
      </c>
      <c r="F532" s="18">
        <v>236.5</v>
      </c>
      <c r="G532" s="18">
        <v>1778</v>
      </c>
      <c r="H532" s="18">
        <f t="shared" si="10"/>
        <v>-7.949260042283279E-3</v>
      </c>
      <c r="I532" s="18">
        <f>PRODUCT(fact_daily_prices!$F532,fact_daily_prices!$G532)</f>
        <v>420497</v>
      </c>
      <c r="J532" s="18" t="str">
        <f>_xlfn.XLOOKUP(fact_daily_prices!$B532,dim_company[company_id],dim_company[sector_id])</f>
        <v>SEC01</v>
      </c>
      <c r="K532" s="19" t="str">
        <f>_xlfn.XLOOKUP(fact_daily_prices!$J532,dim_sector[sector_id],dim_sector[sector_name])</f>
        <v>Information Technology</v>
      </c>
      <c r="L532" t="str">
        <v>COMP005-21-01-2025</v>
      </c>
      <c r="M532" t="str">
        <f>_xlfn.CONCAT(A531," ",B531)</f>
        <v>45677 COMP005</v>
      </c>
    </row>
    <row r="533" spans="1:13" x14ac:dyDescent="0.3">
      <c r="A533" s="20">
        <v>45679</v>
      </c>
      <c r="B533" s="7" t="s">
        <v>22</v>
      </c>
      <c r="C533" s="7">
        <v>236.71</v>
      </c>
      <c r="D533" s="7">
        <v>241.08</v>
      </c>
      <c r="E533" s="7">
        <v>232.33</v>
      </c>
      <c r="F533" s="7">
        <v>236.38</v>
      </c>
      <c r="G533" s="7">
        <v>31462</v>
      </c>
      <c r="H533" s="7">
        <f t="shared" si="10"/>
        <v>-5.076571621964826E-4</v>
      </c>
      <c r="I533" s="7">
        <f>PRODUCT(fact_daily_prices!$F533,fact_daily_prices!$G533)</f>
        <v>7436987.5599999996</v>
      </c>
      <c r="J533" s="7" t="str">
        <f>_xlfn.XLOOKUP(fact_daily_prices!$B533,dim_company[company_id],dim_company[sector_id])</f>
        <v>SEC01</v>
      </c>
      <c r="K533" s="21" t="str">
        <f>_xlfn.XLOOKUP(fact_daily_prices!$J533,dim_sector[sector_id],dim_sector[sector_name])</f>
        <v>Information Technology</v>
      </c>
      <c r="L533" t="str">
        <v>COMP005-22-01-2025</v>
      </c>
      <c r="M533" t="str">
        <f>_xlfn.CONCAT(A532," ",B532)</f>
        <v>45678 COMP005</v>
      </c>
    </row>
    <row r="534" spans="1:13" x14ac:dyDescent="0.3">
      <c r="A534" s="17">
        <v>45680</v>
      </c>
      <c r="B534" s="18" t="s">
        <v>22</v>
      </c>
      <c r="C534" s="18">
        <v>235.52</v>
      </c>
      <c r="D534" s="18">
        <v>237.66</v>
      </c>
      <c r="E534" s="18">
        <v>233.38</v>
      </c>
      <c r="F534" s="18">
        <v>234.57</v>
      </c>
      <c r="G534" s="18">
        <v>45900</v>
      </c>
      <c r="H534" s="18">
        <f t="shared" si="10"/>
        <v>-7.7162467493712E-3</v>
      </c>
      <c r="I534" s="18">
        <f>PRODUCT(fact_daily_prices!$F534,fact_daily_prices!$G534)</f>
        <v>10766763</v>
      </c>
      <c r="J534" s="18" t="str">
        <f>_xlfn.XLOOKUP(fact_daily_prices!$B534,dim_company[company_id],dim_company[sector_id])</f>
        <v>SEC01</v>
      </c>
      <c r="K534" s="19" t="str">
        <f>_xlfn.XLOOKUP(fact_daily_prices!$J534,dim_sector[sector_id],dim_sector[sector_name])</f>
        <v>Information Technology</v>
      </c>
      <c r="L534" t="str">
        <v>COMP005-23-01-2025</v>
      </c>
      <c r="M534" t="str">
        <f>_xlfn.CONCAT(A533," ",B533)</f>
        <v>45679 COMP005</v>
      </c>
    </row>
    <row r="535" spans="1:13" x14ac:dyDescent="0.3">
      <c r="A535" s="20">
        <v>45681</v>
      </c>
      <c r="B535" s="7" t="s">
        <v>22</v>
      </c>
      <c r="C535" s="7">
        <v>237.56</v>
      </c>
      <c r="D535" s="7">
        <v>239.24</v>
      </c>
      <c r="E535" s="7">
        <v>235.87</v>
      </c>
      <c r="F535" s="7">
        <v>236.41</v>
      </c>
      <c r="G535" s="7">
        <v>3044</v>
      </c>
      <c r="H535" s="7">
        <f t="shared" si="10"/>
        <v>7.7830887018315786E-3</v>
      </c>
      <c r="I535" s="7">
        <f>PRODUCT(fact_daily_prices!$F535,fact_daily_prices!$G535)</f>
        <v>719632.04</v>
      </c>
      <c r="J535" s="7" t="str">
        <f>_xlfn.XLOOKUP(fact_daily_prices!$B535,dim_company[company_id],dim_company[sector_id])</f>
        <v>SEC01</v>
      </c>
      <c r="K535" s="21" t="str">
        <f>_xlfn.XLOOKUP(fact_daily_prices!$J535,dim_sector[sector_id],dim_sector[sector_name])</f>
        <v>Information Technology</v>
      </c>
      <c r="L535" t="str">
        <v>COMP005-24-01-2025</v>
      </c>
      <c r="M535" t="str">
        <f>_xlfn.CONCAT(A534," ",B534)</f>
        <v>45680 COMP005</v>
      </c>
    </row>
    <row r="536" spans="1:13" x14ac:dyDescent="0.3">
      <c r="A536" s="17">
        <v>45684</v>
      </c>
      <c r="B536" s="18" t="s">
        <v>22</v>
      </c>
      <c r="C536" s="18">
        <v>235.52</v>
      </c>
      <c r="D536" s="18">
        <v>236.83</v>
      </c>
      <c r="E536" s="18">
        <v>234.21</v>
      </c>
      <c r="F536" s="18">
        <v>234.36</v>
      </c>
      <c r="G536" s="18">
        <v>26634</v>
      </c>
      <c r="H536" s="18">
        <f t="shared" si="10"/>
        <v>-8.7472264891619005E-3</v>
      </c>
      <c r="I536" s="18">
        <f>PRODUCT(fact_daily_prices!$F536,fact_daily_prices!$G536)</f>
        <v>6241944.2400000002</v>
      </c>
      <c r="J536" s="18" t="str">
        <f>_xlfn.XLOOKUP(fact_daily_prices!$B536,dim_company[company_id],dim_company[sector_id])</f>
        <v>SEC01</v>
      </c>
      <c r="K536" s="19" t="str">
        <f>_xlfn.XLOOKUP(fact_daily_prices!$J536,dim_sector[sector_id],dim_sector[sector_name])</f>
        <v>Information Technology</v>
      </c>
      <c r="L536" t="str">
        <v>COMP005-27-01-2025</v>
      </c>
      <c r="M536" t="str">
        <f>_xlfn.CONCAT(A535," ",B535)</f>
        <v>45681 COMP005</v>
      </c>
    </row>
    <row r="537" spans="1:13" x14ac:dyDescent="0.3">
      <c r="A537" s="20">
        <v>45685</v>
      </c>
      <c r="B537" s="7" t="s">
        <v>22</v>
      </c>
      <c r="C537" s="7">
        <v>232.8</v>
      </c>
      <c r="D537" s="7">
        <v>236.78</v>
      </c>
      <c r="E537" s="7">
        <v>228.82</v>
      </c>
      <c r="F537" s="7">
        <v>232.92</v>
      </c>
      <c r="G537" s="7">
        <v>45096</v>
      </c>
      <c r="H537" s="7">
        <f t="shared" si="10"/>
        <v>-6.1823802163834202E-3</v>
      </c>
      <c r="I537" s="7">
        <f>PRODUCT(fact_daily_prices!$F537,fact_daily_prices!$G537)</f>
        <v>10503760.32</v>
      </c>
      <c r="J537" s="7" t="str">
        <f>_xlfn.XLOOKUP(fact_daily_prices!$B537,dim_company[company_id],dim_company[sector_id])</f>
        <v>SEC01</v>
      </c>
      <c r="K537" s="21" t="str">
        <f>_xlfn.XLOOKUP(fact_daily_prices!$J537,dim_sector[sector_id],dim_sector[sector_name])</f>
        <v>Information Technology</v>
      </c>
      <c r="L537" t="str">
        <v>COMP005-28-01-2025</v>
      </c>
      <c r="M537" t="str">
        <f>_xlfn.CONCAT(A536," ",B536)</f>
        <v>45684 COMP005</v>
      </c>
    </row>
    <row r="538" spans="1:13" x14ac:dyDescent="0.3">
      <c r="A538" s="17">
        <v>45686</v>
      </c>
      <c r="B538" s="18" t="s">
        <v>22</v>
      </c>
      <c r="C538" s="18">
        <v>234.83</v>
      </c>
      <c r="D538" s="18">
        <v>236.53</v>
      </c>
      <c r="E538" s="18">
        <v>233.13</v>
      </c>
      <c r="F538" s="18">
        <v>236.41</v>
      </c>
      <c r="G538" s="18">
        <v>35215</v>
      </c>
      <c r="H538" s="18">
        <f t="shared" si="10"/>
        <v>1.4762488896408819E-2</v>
      </c>
      <c r="I538" s="18">
        <f>PRODUCT(fact_daily_prices!$F538,fact_daily_prices!$G538)</f>
        <v>8325178.1499999994</v>
      </c>
      <c r="J538" s="18" t="str">
        <f>_xlfn.XLOOKUP(fact_daily_prices!$B538,dim_company[company_id],dim_company[sector_id])</f>
        <v>SEC01</v>
      </c>
      <c r="K538" s="19" t="str">
        <f>_xlfn.XLOOKUP(fact_daily_prices!$J538,dim_sector[sector_id],dim_sector[sector_name])</f>
        <v>Information Technology</v>
      </c>
      <c r="L538" t="str">
        <v>COMP005-29-01-2025</v>
      </c>
      <c r="M538" t="str">
        <f>_xlfn.CONCAT(A537," ",B537)</f>
        <v>45685 COMP005</v>
      </c>
    </row>
    <row r="539" spans="1:13" x14ac:dyDescent="0.3">
      <c r="A539" s="20">
        <v>45687</v>
      </c>
      <c r="B539" s="7" t="s">
        <v>22</v>
      </c>
      <c r="C539" s="7">
        <v>233.91</v>
      </c>
      <c r="D539" s="7">
        <v>235.67</v>
      </c>
      <c r="E539" s="7">
        <v>232.15</v>
      </c>
      <c r="F539" s="7">
        <v>234.19</v>
      </c>
      <c r="G539" s="7">
        <v>43856</v>
      </c>
      <c r="H539" s="7">
        <f t="shared" si="10"/>
        <v>-9.4794824714974964E-3</v>
      </c>
      <c r="I539" s="7">
        <f>PRODUCT(fact_daily_prices!$F539,fact_daily_prices!$G539)</f>
        <v>10270636.640000001</v>
      </c>
      <c r="J539" s="7" t="str">
        <f>_xlfn.XLOOKUP(fact_daily_prices!$B539,dim_company[company_id],dim_company[sector_id])</f>
        <v>SEC01</v>
      </c>
      <c r="K539" s="21" t="str">
        <f>_xlfn.XLOOKUP(fact_daily_prices!$J539,dim_sector[sector_id],dim_sector[sector_name])</f>
        <v>Information Technology</v>
      </c>
      <c r="L539" t="str">
        <v>COMP005-30-01-2025</v>
      </c>
      <c r="M539" t="str">
        <f>_xlfn.CONCAT(A538," ",B538)</f>
        <v>45686 COMP005</v>
      </c>
    </row>
    <row r="540" spans="1:13" x14ac:dyDescent="0.3">
      <c r="A540" s="17">
        <v>45688</v>
      </c>
      <c r="B540" s="18" t="s">
        <v>22</v>
      </c>
      <c r="C540" s="18">
        <v>230.42</v>
      </c>
      <c r="D540" s="18">
        <v>231.58</v>
      </c>
      <c r="E540" s="18">
        <v>229.26</v>
      </c>
      <c r="F540" s="18">
        <v>230.01</v>
      </c>
      <c r="G540" s="18">
        <v>17789</v>
      </c>
      <c r="H540" s="18">
        <f t="shared" si="10"/>
        <v>-1.8173122907699697E-2</v>
      </c>
      <c r="I540" s="18">
        <f>PRODUCT(fact_daily_prices!$F540,fact_daily_prices!$G540)</f>
        <v>4091647.8899999997</v>
      </c>
      <c r="J540" s="18" t="str">
        <f>_xlfn.XLOOKUP(fact_daily_prices!$B540,dim_company[company_id],dim_company[sector_id])</f>
        <v>SEC01</v>
      </c>
      <c r="K540" s="19" t="str">
        <f>_xlfn.XLOOKUP(fact_daily_prices!$J540,dim_sector[sector_id],dim_sector[sector_name])</f>
        <v>Information Technology</v>
      </c>
      <c r="L540" t="str">
        <v>COMP005-31-01-2025</v>
      </c>
      <c r="M540" t="str">
        <f>_xlfn.CONCAT(A539," ",B539)</f>
        <v>45687 COMP005</v>
      </c>
    </row>
    <row r="541" spans="1:13" x14ac:dyDescent="0.3">
      <c r="A541" s="20">
        <v>45691</v>
      </c>
      <c r="B541" s="7" t="s">
        <v>22</v>
      </c>
      <c r="C541" s="7">
        <v>230.29</v>
      </c>
      <c r="D541" s="7">
        <v>233.14</v>
      </c>
      <c r="E541" s="7">
        <v>227.44</v>
      </c>
      <c r="F541" s="7">
        <v>230.34</v>
      </c>
      <c r="G541" s="7">
        <v>31483</v>
      </c>
      <c r="H541" s="7">
        <f t="shared" si="10"/>
        <v>1.4326647564470456E-3</v>
      </c>
      <c r="I541" s="7">
        <f>PRODUCT(fact_daily_prices!$F541,fact_daily_prices!$G541)</f>
        <v>7251794.2199999997</v>
      </c>
      <c r="J541" s="7" t="str">
        <f>_xlfn.XLOOKUP(fact_daily_prices!$B541,dim_company[company_id],dim_company[sector_id])</f>
        <v>SEC01</v>
      </c>
      <c r="K541" s="21" t="str">
        <f>_xlfn.XLOOKUP(fact_daily_prices!$J541,dim_sector[sector_id],dim_sector[sector_name])</f>
        <v>Information Technology</v>
      </c>
      <c r="L541" t="str">
        <v>COMP005-03-02-2025</v>
      </c>
      <c r="M541" t="str">
        <f>_xlfn.CONCAT(A540," ",B540)</f>
        <v>45688 COMP005</v>
      </c>
    </row>
    <row r="542" spans="1:13" x14ac:dyDescent="0.3">
      <c r="A542" s="17">
        <v>45692</v>
      </c>
      <c r="B542" s="18" t="s">
        <v>22</v>
      </c>
      <c r="C542" s="18">
        <v>229.7</v>
      </c>
      <c r="D542" s="18">
        <v>232.97</v>
      </c>
      <c r="E542" s="18">
        <v>226.42</v>
      </c>
      <c r="F542" s="18">
        <v>229.36</v>
      </c>
      <c r="G542" s="18">
        <v>19230</v>
      </c>
      <c r="H542" s="18">
        <f t="shared" si="10"/>
        <v>-4.2727589815137329E-3</v>
      </c>
      <c r="I542" s="18">
        <f>PRODUCT(fact_daily_prices!$F542,fact_daily_prices!$G542)</f>
        <v>4410592.8</v>
      </c>
      <c r="J542" s="18" t="str">
        <f>_xlfn.XLOOKUP(fact_daily_prices!$B542,dim_company[company_id],dim_company[sector_id])</f>
        <v>SEC01</v>
      </c>
      <c r="K542" s="19" t="str">
        <f>_xlfn.XLOOKUP(fact_daily_prices!$J542,dim_sector[sector_id],dim_sector[sector_name])</f>
        <v>Information Technology</v>
      </c>
      <c r="L542" t="str">
        <v>COMP005-04-02-2025</v>
      </c>
      <c r="M542" t="str">
        <f>_xlfn.CONCAT(A541," ",B541)</f>
        <v>45691 COMP005</v>
      </c>
    </row>
    <row r="543" spans="1:13" x14ac:dyDescent="0.3">
      <c r="A543" s="20">
        <v>45693</v>
      </c>
      <c r="B543" s="7" t="s">
        <v>22</v>
      </c>
      <c r="C543" s="7">
        <v>231.83</v>
      </c>
      <c r="D543" s="7">
        <v>233.26</v>
      </c>
      <c r="E543" s="7">
        <v>230.41</v>
      </c>
      <c r="F543" s="7">
        <v>230.89</v>
      </c>
      <c r="G543" s="7">
        <v>22909</v>
      </c>
      <c r="H543" s="7">
        <f t="shared" si="10"/>
        <v>6.6265321148597719E-3</v>
      </c>
      <c r="I543" s="7">
        <f>PRODUCT(fact_daily_prices!$F543,fact_daily_prices!$G543)</f>
        <v>5289459.01</v>
      </c>
      <c r="J543" s="7" t="str">
        <f>_xlfn.XLOOKUP(fact_daily_prices!$B543,dim_company[company_id],dim_company[sector_id])</f>
        <v>SEC01</v>
      </c>
      <c r="K543" s="21" t="str">
        <f>_xlfn.XLOOKUP(fact_daily_prices!$J543,dim_sector[sector_id],dim_sector[sector_name])</f>
        <v>Information Technology</v>
      </c>
      <c r="L543" t="str">
        <v>COMP005-05-02-2025</v>
      </c>
      <c r="M543" t="str">
        <f>_xlfn.CONCAT(A542," ",B542)</f>
        <v>45692 COMP005</v>
      </c>
    </row>
    <row r="544" spans="1:13" x14ac:dyDescent="0.3">
      <c r="A544" s="17">
        <v>45694</v>
      </c>
      <c r="B544" s="18" t="s">
        <v>22</v>
      </c>
      <c r="C544" s="18">
        <v>231.45</v>
      </c>
      <c r="D544" s="18">
        <v>235.52</v>
      </c>
      <c r="E544" s="18">
        <v>227.37</v>
      </c>
      <c r="F544" s="18">
        <v>231.87</v>
      </c>
      <c r="G544" s="18">
        <v>47571</v>
      </c>
      <c r="H544" s="18">
        <f t="shared" si="10"/>
        <v>4.2265062319403902E-3</v>
      </c>
      <c r="I544" s="18">
        <f>PRODUCT(fact_daily_prices!$F544,fact_daily_prices!$G544)</f>
        <v>11030287.77</v>
      </c>
      <c r="J544" s="18" t="str">
        <f>_xlfn.XLOOKUP(fact_daily_prices!$B544,dim_company[company_id],dim_company[sector_id])</f>
        <v>SEC01</v>
      </c>
      <c r="K544" s="19" t="str">
        <f>_xlfn.XLOOKUP(fact_daily_prices!$J544,dim_sector[sector_id],dim_sector[sector_name])</f>
        <v>Information Technology</v>
      </c>
      <c r="L544" t="str">
        <v>COMP005-06-02-2025</v>
      </c>
      <c r="M544" t="str">
        <f>_xlfn.CONCAT(A543," ",B543)</f>
        <v>45693 COMP005</v>
      </c>
    </row>
    <row r="545" spans="1:13" x14ac:dyDescent="0.3">
      <c r="A545" s="20">
        <v>45695</v>
      </c>
      <c r="B545" s="7" t="s">
        <v>22</v>
      </c>
      <c r="C545" s="7">
        <v>232.65</v>
      </c>
      <c r="D545" s="7">
        <v>236.24</v>
      </c>
      <c r="E545" s="7">
        <v>229.05</v>
      </c>
      <c r="F545" s="7">
        <v>231.84</v>
      </c>
      <c r="G545" s="7">
        <v>12190</v>
      </c>
      <c r="H545" s="7">
        <f t="shared" si="10"/>
        <v>-1.2939958592132994E-4</v>
      </c>
      <c r="I545" s="7">
        <f>PRODUCT(fact_daily_prices!$F545,fact_daily_prices!$G545)</f>
        <v>2826129.6</v>
      </c>
      <c r="J545" s="7" t="str">
        <f>_xlfn.XLOOKUP(fact_daily_prices!$B545,dim_company[company_id],dim_company[sector_id])</f>
        <v>SEC01</v>
      </c>
      <c r="K545" s="21" t="str">
        <f>_xlfn.XLOOKUP(fact_daily_prices!$J545,dim_sector[sector_id],dim_sector[sector_name])</f>
        <v>Information Technology</v>
      </c>
      <c r="L545" t="str">
        <v>COMP005-07-02-2025</v>
      </c>
      <c r="M545" t="str">
        <f>_xlfn.CONCAT(A544," ",B544)</f>
        <v>45694 COMP005</v>
      </c>
    </row>
    <row r="546" spans="1:13" x14ac:dyDescent="0.3">
      <c r="A546" s="17">
        <v>45698</v>
      </c>
      <c r="B546" s="18" t="s">
        <v>22</v>
      </c>
      <c r="C546" s="18">
        <v>233.37</v>
      </c>
      <c r="D546" s="18">
        <v>236.27</v>
      </c>
      <c r="E546" s="18">
        <v>230.47</v>
      </c>
      <c r="F546" s="18">
        <v>231.71</v>
      </c>
      <c r="G546" s="18">
        <v>21389</v>
      </c>
      <c r="H546" s="18">
        <f t="shared" si="10"/>
        <v>-5.6104613525525637E-4</v>
      </c>
      <c r="I546" s="18">
        <f>PRODUCT(fact_daily_prices!$F546,fact_daily_prices!$G546)</f>
        <v>4956045.1900000004</v>
      </c>
      <c r="J546" s="18" t="str">
        <f>_xlfn.XLOOKUP(fact_daily_prices!$B546,dim_company[company_id],dim_company[sector_id])</f>
        <v>SEC01</v>
      </c>
      <c r="K546" s="19" t="str">
        <f>_xlfn.XLOOKUP(fact_daily_prices!$J546,dim_sector[sector_id],dim_sector[sector_name])</f>
        <v>Information Technology</v>
      </c>
      <c r="L546" t="str">
        <v>COMP005-10-02-2025</v>
      </c>
      <c r="M546" t="str">
        <f>_xlfn.CONCAT(A545," ",B545)</f>
        <v>45695 COMP005</v>
      </c>
    </row>
    <row r="547" spans="1:13" x14ac:dyDescent="0.3">
      <c r="A547" s="20">
        <v>45699</v>
      </c>
      <c r="B547" s="7" t="s">
        <v>22</v>
      </c>
      <c r="C547" s="7">
        <v>229.21</v>
      </c>
      <c r="D547" s="7">
        <v>229.95</v>
      </c>
      <c r="E547" s="7">
        <v>228.46</v>
      </c>
      <c r="F547" s="7">
        <v>229.63</v>
      </c>
      <c r="G547" s="7">
        <v>27512</v>
      </c>
      <c r="H547" s="7">
        <f t="shared" si="10"/>
        <v>-9.0580499063711729E-3</v>
      </c>
      <c r="I547" s="7">
        <f>PRODUCT(fact_daily_prices!$F547,fact_daily_prices!$G547)</f>
        <v>6317580.5599999996</v>
      </c>
      <c r="J547" s="7" t="str">
        <f>_xlfn.XLOOKUP(fact_daily_prices!$B547,dim_company[company_id],dim_company[sector_id])</f>
        <v>SEC01</v>
      </c>
      <c r="K547" s="21" t="str">
        <f>_xlfn.XLOOKUP(fact_daily_prices!$J547,dim_sector[sector_id],dim_sector[sector_name])</f>
        <v>Information Technology</v>
      </c>
      <c r="L547" t="str">
        <v>COMP005-11-02-2025</v>
      </c>
      <c r="M547" t="str">
        <f>_xlfn.CONCAT(A546," ",B546)</f>
        <v>45698 COMP005</v>
      </c>
    </row>
    <row r="548" spans="1:13" x14ac:dyDescent="0.3">
      <c r="A548" s="17">
        <v>45700</v>
      </c>
      <c r="B548" s="18" t="s">
        <v>22</v>
      </c>
      <c r="C548" s="18">
        <v>228.63</v>
      </c>
      <c r="D548" s="18">
        <v>230.11</v>
      </c>
      <c r="E548" s="18">
        <v>227.15</v>
      </c>
      <c r="F548" s="18">
        <v>229.92</v>
      </c>
      <c r="G548" s="18">
        <v>5378</v>
      </c>
      <c r="H548" s="18">
        <f t="shared" si="10"/>
        <v>1.2613082811412321E-3</v>
      </c>
      <c r="I548" s="18">
        <f>PRODUCT(fact_daily_prices!$F548,fact_daily_prices!$G548)</f>
        <v>1236509.76</v>
      </c>
      <c r="J548" s="18" t="str">
        <f>_xlfn.XLOOKUP(fact_daily_prices!$B548,dim_company[company_id],dim_company[sector_id])</f>
        <v>SEC01</v>
      </c>
      <c r="K548" s="19" t="str">
        <f>_xlfn.XLOOKUP(fact_daily_prices!$J548,dim_sector[sector_id],dim_sector[sector_name])</f>
        <v>Information Technology</v>
      </c>
      <c r="L548" t="str">
        <v>COMP005-12-02-2025</v>
      </c>
      <c r="M548" t="str">
        <f>_xlfn.CONCAT(A547," ",B547)</f>
        <v>45699 COMP005</v>
      </c>
    </row>
    <row r="549" spans="1:13" x14ac:dyDescent="0.3">
      <c r="A549" s="20">
        <v>45701</v>
      </c>
      <c r="B549" s="7" t="s">
        <v>22</v>
      </c>
      <c r="C549" s="7">
        <v>232.23</v>
      </c>
      <c r="D549" s="7">
        <v>233.2</v>
      </c>
      <c r="E549" s="7">
        <v>231.26</v>
      </c>
      <c r="F549" s="7">
        <v>232.55</v>
      </c>
      <c r="G549" s="7">
        <v>25000</v>
      </c>
      <c r="H549" s="7">
        <f t="shared" si="10"/>
        <v>1.1309395828854112E-2</v>
      </c>
      <c r="I549" s="7">
        <f>PRODUCT(fact_daily_prices!$F549,fact_daily_prices!$G549)</f>
        <v>5813750</v>
      </c>
      <c r="J549" s="7" t="str">
        <f>_xlfn.XLOOKUP(fact_daily_prices!$B549,dim_company[company_id],dim_company[sector_id])</f>
        <v>SEC01</v>
      </c>
      <c r="K549" s="21" t="str">
        <f>_xlfn.XLOOKUP(fact_daily_prices!$J549,dim_sector[sector_id],dim_sector[sector_name])</f>
        <v>Information Technology</v>
      </c>
      <c r="L549" t="str">
        <v>COMP005-13-02-2025</v>
      </c>
      <c r="M549" t="str">
        <f>_xlfn.CONCAT(A548," ",B548)</f>
        <v>45700 COMP005</v>
      </c>
    </row>
    <row r="550" spans="1:13" x14ac:dyDescent="0.3">
      <c r="A550" s="17">
        <v>45702</v>
      </c>
      <c r="B550" s="18" t="s">
        <v>22</v>
      </c>
      <c r="C550" s="18">
        <v>229.72</v>
      </c>
      <c r="D550" s="18">
        <v>231.84</v>
      </c>
      <c r="E550" s="18">
        <v>227.59</v>
      </c>
      <c r="F550" s="18">
        <v>229.77</v>
      </c>
      <c r="G550" s="18">
        <v>30538</v>
      </c>
      <c r="H550" s="18">
        <f t="shared" si="10"/>
        <v>-1.2099055577316451E-2</v>
      </c>
      <c r="I550" s="18">
        <f>PRODUCT(fact_daily_prices!$F550,fact_daily_prices!$G550)</f>
        <v>7016716.2600000007</v>
      </c>
      <c r="J550" s="18" t="str">
        <f>_xlfn.XLOOKUP(fact_daily_prices!$B550,dim_company[company_id],dim_company[sector_id])</f>
        <v>SEC01</v>
      </c>
      <c r="K550" s="19" t="str">
        <f>_xlfn.XLOOKUP(fact_daily_prices!$J550,dim_sector[sector_id],dim_sector[sector_name])</f>
        <v>Information Technology</v>
      </c>
      <c r="L550" t="str">
        <v>COMP005-14-02-2025</v>
      </c>
      <c r="M550" t="str">
        <f>_xlfn.CONCAT(A549," ",B549)</f>
        <v>45701 COMP005</v>
      </c>
    </row>
    <row r="551" spans="1:13" x14ac:dyDescent="0.3">
      <c r="A551" s="20">
        <v>45705</v>
      </c>
      <c r="B551" s="7" t="s">
        <v>22</v>
      </c>
      <c r="C551" s="7">
        <v>228.85</v>
      </c>
      <c r="D551" s="7">
        <v>230.71</v>
      </c>
      <c r="E551" s="7">
        <v>227</v>
      </c>
      <c r="F551" s="7">
        <v>229.81</v>
      </c>
      <c r="G551" s="7">
        <v>31519</v>
      </c>
      <c r="H551" s="7">
        <f t="shared" si="10"/>
        <v>1.7405682955481502E-4</v>
      </c>
      <c r="I551" s="7">
        <f>PRODUCT(fact_daily_prices!$F551,fact_daily_prices!$G551)</f>
        <v>7243381.3899999997</v>
      </c>
      <c r="J551" s="7" t="str">
        <f>_xlfn.XLOOKUP(fact_daily_prices!$B551,dim_company[company_id],dim_company[sector_id])</f>
        <v>SEC01</v>
      </c>
      <c r="K551" s="21" t="str">
        <f>_xlfn.XLOOKUP(fact_daily_prices!$J551,dim_sector[sector_id],dim_sector[sector_name])</f>
        <v>Information Technology</v>
      </c>
      <c r="L551" t="str">
        <v>COMP005-17-02-2025</v>
      </c>
      <c r="M551" t="str">
        <f>_xlfn.CONCAT(A550," ",B550)</f>
        <v>45702 COMP005</v>
      </c>
    </row>
    <row r="552" spans="1:13" x14ac:dyDescent="0.3">
      <c r="A552" s="17">
        <v>45706</v>
      </c>
      <c r="B552" s="18" t="s">
        <v>22</v>
      </c>
      <c r="C552" s="18">
        <v>233.01</v>
      </c>
      <c r="D552" s="18">
        <v>235.64</v>
      </c>
      <c r="E552" s="18">
        <v>230.39</v>
      </c>
      <c r="F552" s="18">
        <v>232.89</v>
      </c>
      <c r="G552" s="18">
        <v>44056</v>
      </c>
      <c r="H552" s="18">
        <f t="shared" si="10"/>
        <v>1.3225127742711083E-2</v>
      </c>
      <c r="I552" s="18">
        <f>PRODUCT(fact_daily_prices!$F552,fact_daily_prices!$G552)</f>
        <v>10260201.84</v>
      </c>
      <c r="J552" s="18" t="str">
        <f>_xlfn.XLOOKUP(fact_daily_prices!$B552,dim_company[company_id],dim_company[sector_id])</f>
        <v>SEC01</v>
      </c>
      <c r="K552" s="19" t="str">
        <f>_xlfn.XLOOKUP(fact_daily_prices!$J552,dim_sector[sector_id],dim_sector[sector_name])</f>
        <v>Information Technology</v>
      </c>
      <c r="L552" t="str">
        <v>COMP005-18-02-2025</v>
      </c>
      <c r="M552" t="str">
        <f>_xlfn.CONCAT(A551," ",B551)</f>
        <v>45705 COMP005</v>
      </c>
    </row>
    <row r="553" spans="1:13" x14ac:dyDescent="0.3">
      <c r="A553" s="20">
        <v>45707</v>
      </c>
      <c r="B553" s="7" t="s">
        <v>22</v>
      </c>
      <c r="C553" s="7">
        <v>233.94</v>
      </c>
      <c r="D553" s="7">
        <v>234.47</v>
      </c>
      <c r="E553" s="7">
        <v>233.4</v>
      </c>
      <c r="F553" s="7">
        <v>234.43</v>
      </c>
      <c r="G553" s="7">
        <v>38418</v>
      </c>
      <c r="H553" s="7">
        <f t="shared" si="10"/>
        <v>6.5691251119738107E-3</v>
      </c>
      <c r="I553" s="7">
        <f>PRODUCT(fact_daily_prices!$F553,fact_daily_prices!$G553)</f>
        <v>9006331.7400000002</v>
      </c>
      <c r="J553" s="7" t="str">
        <f>_xlfn.XLOOKUP(fact_daily_prices!$B553,dim_company[company_id],dim_company[sector_id])</f>
        <v>SEC01</v>
      </c>
      <c r="K553" s="21" t="str">
        <f>_xlfn.XLOOKUP(fact_daily_prices!$J553,dim_sector[sector_id],dim_sector[sector_name])</f>
        <v>Information Technology</v>
      </c>
      <c r="L553" t="str">
        <v>COMP005-19-02-2025</v>
      </c>
      <c r="M553" t="str">
        <f>_xlfn.CONCAT(A552," ",B552)</f>
        <v>45706 COMP005</v>
      </c>
    </row>
    <row r="554" spans="1:13" x14ac:dyDescent="0.3">
      <c r="A554" s="17">
        <v>45708</v>
      </c>
      <c r="B554" s="18" t="s">
        <v>22</v>
      </c>
      <c r="C554" s="18">
        <v>239.72</v>
      </c>
      <c r="D554" s="18">
        <v>242.41</v>
      </c>
      <c r="E554" s="18">
        <v>237.03</v>
      </c>
      <c r="F554" s="18">
        <v>238.39</v>
      </c>
      <c r="G554" s="18">
        <v>31502</v>
      </c>
      <c r="H554" s="18">
        <f t="shared" si="10"/>
        <v>1.6611435043416167E-2</v>
      </c>
      <c r="I554" s="18">
        <f>PRODUCT(fact_daily_prices!$F554,fact_daily_prices!$G554)</f>
        <v>7509761.7799999993</v>
      </c>
      <c r="J554" s="18" t="str">
        <f>_xlfn.XLOOKUP(fact_daily_prices!$B554,dim_company[company_id],dim_company[sector_id])</f>
        <v>SEC01</v>
      </c>
      <c r="K554" s="19" t="str">
        <f>_xlfn.XLOOKUP(fact_daily_prices!$J554,dim_sector[sector_id],dim_sector[sector_name])</f>
        <v>Information Technology</v>
      </c>
      <c r="L554" t="str">
        <v>COMP005-20-02-2025</v>
      </c>
      <c r="M554" t="str">
        <f>_xlfn.CONCAT(A553," ",B553)</f>
        <v>45707 COMP005</v>
      </c>
    </row>
    <row r="555" spans="1:13" x14ac:dyDescent="0.3">
      <c r="A555" s="20">
        <v>45709</v>
      </c>
      <c r="B555" s="7" t="s">
        <v>22</v>
      </c>
      <c r="C555" s="7">
        <v>237.29</v>
      </c>
      <c r="D555" s="7">
        <v>240.54</v>
      </c>
      <c r="E555" s="7">
        <v>234.04</v>
      </c>
      <c r="F555" s="7">
        <v>236.74</v>
      </c>
      <c r="G555" s="7">
        <v>13605</v>
      </c>
      <c r="H555" s="7">
        <f t="shared" si="10"/>
        <v>-6.9696713694347269E-3</v>
      </c>
      <c r="I555" s="7">
        <f>PRODUCT(fact_daily_prices!$F555,fact_daily_prices!$G555)</f>
        <v>3220847.7</v>
      </c>
      <c r="J555" s="7" t="str">
        <f>_xlfn.XLOOKUP(fact_daily_prices!$B555,dim_company[company_id],dim_company[sector_id])</f>
        <v>SEC01</v>
      </c>
      <c r="K555" s="21" t="str">
        <f>_xlfn.XLOOKUP(fact_daily_prices!$J555,dim_sector[sector_id],dim_sector[sector_name])</f>
        <v>Information Technology</v>
      </c>
      <c r="L555" t="str">
        <v>COMP005-21-02-2025</v>
      </c>
      <c r="M555" t="str">
        <f>_xlfn.CONCAT(A554," ",B554)</f>
        <v>45708 COMP005</v>
      </c>
    </row>
    <row r="556" spans="1:13" x14ac:dyDescent="0.3">
      <c r="A556" s="17">
        <v>45712</v>
      </c>
      <c r="B556" s="18" t="s">
        <v>22</v>
      </c>
      <c r="C556" s="18">
        <v>232.22</v>
      </c>
      <c r="D556" s="18">
        <v>233.24</v>
      </c>
      <c r="E556" s="18">
        <v>231.2</v>
      </c>
      <c r="F556" s="18">
        <v>231.4</v>
      </c>
      <c r="G556" s="18">
        <v>23760</v>
      </c>
      <c r="H556" s="18">
        <f t="shared" si="10"/>
        <v>-2.3076923076923092E-2</v>
      </c>
      <c r="I556" s="18">
        <f>PRODUCT(fact_daily_prices!$F556,fact_daily_prices!$G556)</f>
        <v>5498064</v>
      </c>
      <c r="J556" s="18" t="str">
        <f>_xlfn.XLOOKUP(fact_daily_prices!$B556,dim_company[company_id],dim_company[sector_id])</f>
        <v>SEC01</v>
      </c>
      <c r="K556" s="19" t="str">
        <f>_xlfn.XLOOKUP(fact_daily_prices!$J556,dim_sector[sector_id],dim_sector[sector_name])</f>
        <v>Information Technology</v>
      </c>
      <c r="L556" t="str">
        <v>COMP005-24-02-2025</v>
      </c>
      <c r="M556" t="str">
        <f>_xlfn.CONCAT(A555," ",B555)</f>
        <v>45709 COMP005</v>
      </c>
    </row>
    <row r="557" spans="1:13" x14ac:dyDescent="0.3">
      <c r="A557" s="20">
        <v>45713</v>
      </c>
      <c r="B557" s="7" t="s">
        <v>22</v>
      </c>
      <c r="C557" s="7">
        <v>232.76</v>
      </c>
      <c r="D557" s="7">
        <v>233.88</v>
      </c>
      <c r="E557" s="7">
        <v>231.64</v>
      </c>
      <c r="F557" s="7">
        <v>232.04</v>
      </c>
      <c r="G557" s="7">
        <v>5648</v>
      </c>
      <c r="H557" s="7">
        <f t="shared" si="10"/>
        <v>2.7581451473883225E-3</v>
      </c>
      <c r="I557" s="7">
        <f>PRODUCT(fact_daily_prices!$F557,fact_daily_prices!$G557)</f>
        <v>1310561.92</v>
      </c>
      <c r="J557" s="7" t="str">
        <f>_xlfn.XLOOKUP(fact_daily_prices!$B557,dim_company[company_id],dim_company[sector_id])</f>
        <v>SEC01</v>
      </c>
      <c r="K557" s="21" t="str">
        <f>_xlfn.XLOOKUP(fact_daily_prices!$J557,dim_sector[sector_id],dim_sector[sector_name])</f>
        <v>Information Technology</v>
      </c>
      <c r="L557" t="str">
        <v>COMP005-25-02-2025</v>
      </c>
      <c r="M557" t="str">
        <f>_xlfn.CONCAT(A556," ",B556)</f>
        <v>45712 COMP005</v>
      </c>
    </row>
    <row r="558" spans="1:13" x14ac:dyDescent="0.3">
      <c r="A558" s="17">
        <v>45714</v>
      </c>
      <c r="B558" s="18" t="s">
        <v>22</v>
      </c>
      <c r="C558" s="18">
        <v>233.83</v>
      </c>
      <c r="D558" s="18">
        <v>236.98</v>
      </c>
      <c r="E558" s="18">
        <v>230.68</v>
      </c>
      <c r="F558" s="18">
        <v>233.16</v>
      </c>
      <c r="G558" s="18">
        <v>45602</v>
      </c>
      <c r="H558" s="18">
        <f t="shared" si="10"/>
        <v>4.8035683650712157E-3</v>
      </c>
      <c r="I558" s="18">
        <f>PRODUCT(fact_daily_prices!$F558,fact_daily_prices!$G558)</f>
        <v>10632562.32</v>
      </c>
      <c r="J558" s="18" t="str">
        <f>_xlfn.XLOOKUP(fact_daily_prices!$B558,dim_company[company_id],dim_company[sector_id])</f>
        <v>SEC01</v>
      </c>
      <c r="K558" s="19" t="str">
        <f>_xlfn.XLOOKUP(fact_daily_prices!$J558,dim_sector[sector_id],dim_sector[sector_name])</f>
        <v>Information Technology</v>
      </c>
      <c r="L558" t="str">
        <v>COMP005-26-02-2025</v>
      </c>
      <c r="M558" t="str">
        <f>_xlfn.CONCAT(A557," ",B557)</f>
        <v>45713 COMP005</v>
      </c>
    </row>
    <row r="559" spans="1:13" x14ac:dyDescent="0.3">
      <c r="A559" s="20">
        <v>45715</v>
      </c>
      <c r="B559" s="7" t="s">
        <v>22</v>
      </c>
      <c r="C559" s="7">
        <v>236.4</v>
      </c>
      <c r="D559" s="7">
        <v>239.68</v>
      </c>
      <c r="E559" s="7">
        <v>233.12</v>
      </c>
      <c r="F559" s="7">
        <v>237.27</v>
      </c>
      <c r="G559" s="7">
        <v>5492</v>
      </c>
      <c r="H559" s="7">
        <f t="shared" si="10"/>
        <v>1.7322038184347004E-2</v>
      </c>
      <c r="I559" s="7">
        <f>PRODUCT(fact_daily_prices!$F559,fact_daily_prices!$G559)</f>
        <v>1303086.8400000001</v>
      </c>
      <c r="J559" s="7" t="str">
        <f>_xlfn.XLOOKUP(fact_daily_prices!$B559,dim_company[company_id],dim_company[sector_id])</f>
        <v>SEC01</v>
      </c>
      <c r="K559" s="21" t="str">
        <f>_xlfn.XLOOKUP(fact_daily_prices!$J559,dim_sector[sector_id],dim_sector[sector_name])</f>
        <v>Information Technology</v>
      </c>
      <c r="L559" t="str">
        <v>COMP005-27-02-2025</v>
      </c>
      <c r="M559" t="str">
        <f>_xlfn.CONCAT(A558," ",B558)</f>
        <v>45714 COMP005</v>
      </c>
    </row>
    <row r="560" spans="1:13" x14ac:dyDescent="0.3">
      <c r="A560" s="17">
        <v>45716</v>
      </c>
      <c r="B560" s="18" t="s">
        <v>22</v>
      </c>
      <c r="C560" s="18">
        <v>242.43</v>
      </c>
      <c r="D560" s="18">
        <v>244.16</v>
      </c>
      <c r="E560" s="18">
        <v>240.69</v>
      </c>
      <c r="F560" s="18">
        <v>240.91</v>
      </c>
      <c r="G560" s="18">
        <v>22386</v>
      </c>
      <c r="H560" s="18">
        <f t="shared" si="10"/>
        <v>1.5109376945747318E-2</v>
      </c>
      <c r="I560" s="18">
        <f>PRODUCT(fact_daily_prices!$F560,fact_daily_prices!$G560)</f>
        <v>5393011.2599999998</v>
      </c>
      <c r="J560" s="18" t="str">
        <f>_xlfn.XLOOKUP(fact_daily_prices!$B560,dim_company[company_id],dim_company[sector_id])</f>
        <v>SEC01</v>
      </c>
      <c r="K560" s="19" t="str">
        <f>_xlfn.XLOOKUP(fact_daily_prices!$J560,dim_sector[sector_id],dim_sector[sector_name])</f>
        <v>Information Technology</v>
      </c>
      <c r="L560" t="str">
        <v>COMP005-28-02-2025</v>
      </c>
      <c r="M560" t="str">
        <f>_xlfn.CONCAT(A559," ",B559)</f>
        <v>45715 COMP005</v>
      </c>
    </row>
    <row r="561" spans="1:13" x14ac:dyDescent="0.3">
      <c r="A561" s="20">
        <v>45719</v>
      </c>
      <c r="B561" s="7" t="s">
        <v>22</v>
      </c>
      <c r="C561" s="7">
        <v>242.25</v>
      </c>
      <c r="D561" s="7">
        <v>243.24</v>
      </c>
      <c r="E561" s="7">
        <v>241.27</v>
      </c>
      <c r="F561" s="7">
        <v>242.6</v>
      </c>
      <c r="G561" s="7">
        <v>45199</v>
      </c>
      <c r="H561" s="7">
        <f t="shared" si="10"/>
        <v>6.9661995053586058E-3</v>
      </c>
      <c r="I561" s="7">
        <f>PRODUCT(fact_daily_prices!$F561,fact_daily_prices!$G561)</f>
        <v>10965277.4</v>
      </c>
      <c r="J561" s="7" t="str">
        <f>_xlfn.XLOOKUP(fact_daily_prices!$B561,dim_company[company_id],dim_company[sector_id])</f>
        <v>SEC01</v>
      </c>
      <c r="K561" s="21" t="str">
        <f>_xlfn.XLOOKUP(fact_daily_prices!$J561,dim_sector[sector_id],dim_sector[sector_name])</f>
        <v>Information Technology</v>
      </c>
      <c r="L561" t="str">
        <v>COMP005-03-03-2025</v>
      </c>
      <c r="M561" t="str">
        <f>_xlfn.CONCAT(A560," ",B560)</f>
        <v>45716 COMP005</v>
      </c>
    </row>
    <row r="562" spans="1:13" x14ac:dyDescent="0.3">
      <c r="A562" s="17">
        <v>45720</v>
      </c>
      <c r="B562" s="18" t="s">
        <v>22</v>
      </c>
      <c r="C562" s="18">
        <v>245.03</v>
      </c>
      <c r="D562" s="18">
        <v>247.07</v>
      </c>
      <c r="E562" s="18">
        <v>242.99</v>
      </c>
      <c r="F562" s="18">
        <v>245.01</v>
      </c>
      <c r="G562" s="18">
        <v>13743</v>
      </c>
      <c r="H562" s="18">
        <f t="shared" si="10"/>
        <v>9.8363332108893382E-3</v>
      </c>
      <c r="I562" s="18">
        <f>PRODUCT(fact_daily_prices!$F562,fact_daily_prices!$G562)</f>
        <v>3367172.4299999997</v>
      </c>
      <c r="J562" s="18" t="str">
        <f>_xlfn.XLOOKUP(fact_daily_prices!$B562,dim_company[company_id],dim_company[sector_id])</f>
        <v>SEC01</v>
      </c>
      <c r="K562" s="19" t="str">
        <f>_xlfn.XLOOKUP(fact_daily_prices!$J562,dim_sector[sector_id],dim_sector[sector_name])</f>
        <v>Information Technology</v>
      </c>
      <c r="L562" t="str">
        <v>COMP005-04-03-2025</v>
      </c>
      <c r="M562" t="str">
        <f>_xlfn.CONCAT(A561," ",B561)</f>
        <v>45719 COMP005</v>
      </c>
    </row>
    <row r="563" spans="1:13" x14ac:dyDescent="0.3">
      <c r="A563" s="20">
        <v>45721</v>
      </c>
      <c r="B563" s="7" t="s">
        <v>22</v>
      </c>
      <c r="C563" s="7">
        <v>245.48</v>
      </c>
      <c r="D563" s="7">
        <v>247.76</v>
      </c>
      <c r="E563" s="7">
        <v>243.21</v>
      </c>
      <c r="F563" s="7">
        <v>244.47</v>
      </c>
      <c r="G563" s="7">
        <v>7588</v>
      </c>
      <c r="H563" s="7">
        <f t="shared" si="10"/>
        <v>-2.2088599828199453E-3</v>
      </c>
      <c r="I563" s="7">
        <f>PRODUCT(fact_daily_prices!$F563,fact_daily_prices!$G563)</f>
        <v>1855038.36</v>
      </c>
      <c r="J563" s="7" t="str">
        <f>_xlfn.XLOOKUP(fact_daily_prices!$B563,dim_company[company_id],dim_company[sector_id])</f>
        <v>SEC01</v>
      </c>
      <c r="K563" s="21" t="str">
        <f>_xlfn.XLOOKUP(fact_daily_prices!$J563,dim_sector[sector_id],dim_sector[sector_name])</f>
        <v>Information Technology</v>
      </c>
      <c r="L563" t="str">
        <v>COMP005-05-03-2025</v>
      </c>
      <c r="M563" t="str">
        <f>_xlfn.CONCAT(A562," ",B562)</f>
        <v>45720 COMP005</v>
      </c>
    </row>
    <row r="564" spans="1:13" x14ac:dyDescent="0.3">
      <c r="A564" s="17">
        <v>45722</v>
      </c>
      <c r="B564" s="18" t="s">
        <v>22</v>
      </c>
      <c r="C564" s="18">
        <v>239.57</v>
      </c>
      <c r="D564" s="18">
        <v>242.3</v>
      </c>
      <c r="E564" s="18">
        <v>236.84</v>
      </c>
      <c r="F564" s="18">
        <v>240.81</v>
      </c>
      <c r="G564" s="18">
        <v>34755</v>
      </c>
      <c r="H564" s="18">
        <f t="shared" si="10"/>
        <v>-1.5198704372741982E-2</v>
      </c>
      <c r="I564" s="18">
        <f>PRODUCT(fact_daily_prices!$F564,fact_daily_prices!$G564)</f>
        <v>8369351.5499999998</v>
      </c>
      <c r="J564" s="18" t="str">
        <f>_xlfn.XLOOKUP(fact_daily_prices!$B564,dim_company[company_id],dim_company[sector_id])</f>
        <v>SEC01</v>
      </c>
      <c r="K564" s="19" t="str">
        <f>_xlfn.XLOOKUP(fact_daily_prices!$J564,dim_sector[sector_id],dim_sector[sector_name])</f>
        <v>Information Technology</v>
      </c>
      <c r="L564" t="str">
        <v>COMP005-06-03-2025</v>
      </c>
      <c r="M564" t="str">
        <f>_xlfn.CONCAT(A563," ",B563)</f>
        <v>45721 COMP005</v>
      </c>
    </row>
    <row r="565" spans="1:13" x14ac:dyDescent="0.3">
      <c r="A565" s="20">
        <v>45723</v>
      </c>
      <c r="B565" s="7" t="s">
        <v>22</v>
      </c>
      <c r="C565" s="7">
        <v>243.2</v>
      </c>
      <c r="D565" s="7">
        <v>245.18</v>
      </c>
      <c r="E565" s="7">
        <v>241.21</v>
      </c>
      <c r="F565" s="7">
        <v>241.22</v>
      </c>
      <c r="G565" s="7">
        <v>14146</v>
      </c>
      <c r="H565" s="7">
        <f t="shared" si="10"/>
        <v>1.6996932261006408E-3</v>
      </c>
      <c r="I565" s="7">
        <f>PRODUCT(fact_daily_prices!$F565,fact_daily_prices!$G565)</f>
        <v>3412298.12</v>
      </c>
      <c r="J565" s="7" t="str">
        <f>_xlfn.XLOOKUP(fact_daily_prices!$B565,dim_company[company_id],dim_company[sector_id])</f>
        <v>SEC01</v>
      </c>
      <c r="K565" s="21" t="str">
        <f>_xlfn.XLOOKUP(fact_daily_prices!$J565,dim_sector[sector_id],dim_sector[sector_name])</f>
        <v>Information Technology</v>
      </c>
      <c r="L565" t="str">
        <v>COMP005-07-03-2025</v>
      </c>
      <c r="M565" t="str">
        <f>_xlfn.CONCAT(A564," ",B564)</f>
        <v>45722 COMP005</v>
      </c>
    </row>
    <row r="566" spans="1:13" x14ac:dyDescent="0.3">
      <c r="A566" s="17">
        <v>45726</v>
      </c>
      <c r="B566" s="18" t="s">
        <v>22</v>
      </c>
      <c r="C566" s="18">
        <v>242.54</v>
      </c>
      <c r="D566" s="18">
        <v>244.29</v>
      </c>
      <c r="E566" s="18">
        <v>240.78</v>
      </c>
      <c r="F566" s="18">
        <v>244.28</v>
      </c>
      <c r="G566" s="18">
        <v>1726</v>
      </c>
      <c r="H566" s="18">
        <f t="shared" si="10"/>
        <v>1.2526608809562806E-2</v>
      </c>
      <c r="I566" s="18">
        <f>PRODUCT(fact_daily_prices!$F566,fact_daily_prices!$G566)</f>
        <v>421627.28</v>
      </c>
      <c r="J566" s="18" t="str">
        <f>_xlfn.XLOOKUP(fact_daily_prices!$B566,dim_company[company_id],dim_company[sector_id])</f>
        <v>SEC01</v>
      </c>
      <c r="K566" s="19" t="str">
        <f>_xlfn.XLOOKUP(fact_daily_prices!$J566,dim_sector[sector_id],dim_sector[sector_name])</f>
        <v>Information Technology</v>
      </c>
      <c r="L566" t="str">
        <v>COMP005-10-03-2025</v>
      </c>
      <c r="M566" t="str">
        <f>_xlfn.CONCAT(A565," ",B565)</f>
        <v>45723 COMP005</v>
      </c>
    </row>
    <row r="567" spans="1:13" x14ac:dyDescent="0.3">
      <c r="A567" s="20">
        <v>45727</v>
      </c>
      <c r="B567" s="7" t="s">
        <v>22</v>
      </c>
      <c r="C567" s="7">
        <v>244.32</v>
      </c>
      <c r="D567" s="7">
        <v>246.57</v>
      </c>
      <c r="E567" s="7">
        <v>242.08</v>
      </c>
      <c r="F567" s="7">
        <v>246.37</v>
      </c>
      <c r="G567" s="7">
        <v>47737</v>
      </c>
      <c r="H567" s="7">
        <f t="shared" si="10"/>
        <v>8.4831757113285038E-3</v>
      </c>
      <c r="I567" s="7">
        <f>PRODUCT(fact_daily_prices!$F567,fact_daily_prices!$G567)</f>
        <v>11760964.689999999</v>
      </c>
      <c r="J567" s="7" t="str">
        <f>_xlfn.XLOOKUP(fact_daily_prices!$B567,dim_company[company_id],dim_company[sector_id])</f>
        <v>SEC01</v>
      </c>
      <c r="K567" s="21" t="str">
        <f>_xlfn.XLOOKUP(fact_daily_prices!$J567,dim_sector[sector_id],dim_sector[sector_name])</f>
        <v>Information Technology</v>
      </c>
      <c r="L567" t="str">
        <v>COMP005-11-03-2025</v>
      </c>
      <c r="M567" t="str">
        <f>_xlfn.CONCAT(A566," ",B566)</f>
        <v>45726 COMP005</v>
      </c>
    </row>
    <row r="568" spans="1:13" x14ac:dyDescent="0.3">
      <c r="A568" s="17">
        <v>45728</v>
      </c>
      <c r="B568" s="18" t="s">
        <v>22</v>
      </c>
      <c r="C568" s="18">
        <v>248.36</v>
      </c>
      <c r="D568" s="18">
        <v>249.6</v>
      </c>
      <c r="E568" s="18">
        <v>247.12</v>
      </c>
      <c r="F568" s="18">
        <v>249.03</v>
      </c>
      <c r="G568" s="18">
        <v>25995</v>
      </c>
      <c r="H568" s="18">
        <f t="shared" si="10"/>
        <v>1.0681444002730581E-2</v>
      </c>
      <c r="I568" s="18">
        <f>PRODUCT(fact_daily_prices!$F568,fact_daily_prices!$G568)</f>
        <v>6473534.8499999996</v>
      </c>
      <c r="J568" s="18" t="str">
        <f>_xlfn.XLOOKUP(fact_daily_prices!$B568,dim_company[company_id],dim_company[sector_id])</f>
        <v>SEC01</v>
      </c>
      <c r="K568" s="19" t="str">
        <f>_xlfn.XLOOKUP(fact_daily_prices!$J568,dim_sector[sector_id],dim_sector[sector_name])</f>
        <v>Information Technology</v>
      </c>
      <c r="L568" t="str">
        <v>COMP005-12-03-2025</v>
      </c>
      <c r="M568" t="str">
        <f>_xlfn.CONCAT(A567," ",B567)</f>
        <v>45727 COMP005</v>
      </c>
    </row>
    <row r="569" spans="1:13" x14ac:dyDescent="0.3">
      <c r="A569" s="20">
        <v>45729</v>
      </c>
      <c r="B569" s="7" t="s">
        <v>22</v>
      </c>
      <c r="C569" s="7">
        <v>248.37</v>
      </c>
      <c r="D569" s="7">
        <v>249.58</v>
      </c>
      <c r="E569" s="7">
        <v>247.15</v>
      </c>
      <c r="F569" s="7">
        <v>247.75</v>
      </c>
      <c r="G569" s="7">
        <v>11651</v>
      </c>
      <c r="H569" s="7">
        <f t="shared" si="10"/>
        <v>-5.1664984863774013E-3</v>
      </c>
      <c r="I569" s="7">
        <f>PRODUCT(fact_daily_prices!$F569,fact_daily_prices!$G569)</f>
        <v>2886535.25</v>
      </c>
      <c r="J569" s="7" t="str">
        <f>_xlfn.XLOOKUP(fact_daily_prices!$B569,dim_company[company_id],dim_company[sector_id])</f>
        <v>SEC01</v>
      </c>
      <c r="K569" s="21" t="str">
        <f>_xlfn.XLOOKUP(fact_daily_prices!$J569,dim_sector[sector_id],dim_sector[sector_name])</f>
        <v>Information Technology</v>
      </c>
      <c r="L569" t="str">
        <v>COMP005-13-03-2025</v>
      </c>
      <c r="M569" t="str">
        <f>_xlfn.CONCAT(A568," ",B568)</f>
        <v>45728 COMP005</v>
      </c>
    </row>
    <row r="570" spans="1:13" x14ac:dyDescent="0.3">
      <c r="A570" s="17">
        <v>45730</v>
      </c>
      <c r="B570" s="18" t="s">
        <v>22</v>
      </c>
      <c r="C570" s="18">
        <v>246.12</v>
      </c>
      <c r="D570" s="18">
        <v>249.7</v>
      </c>
      <c r="E570" s="18">
        <v>242.54</v>
      </c>
      <c r="F570" s="18">
        <v>246.98</v>
      </c>
      <c r="G570" s="18">
        <v>17715</v>
      </c>
      <c r="H570" s="18">
        <f t="shared" si="10"/>
        <v>-3.1176613490971343E-3</v>
      </c>
      <c r="I570" s="18">
        <f>PRODUCT(fact_daily_prices!$F570,fact_daily_prices!$G570)</f>
        <v>4375250.7</v>
      </c>
      <c r="J570" s="18" t="str">
        <f>_xlfn.XLOOKUP(fact_daily_prices!$B570,dim_company[company_id],dim_company[sector_id])</f>
        <v>SEC01</v>
      </c>
      <c r="K570" s="19" t="str">
        <f>_xlfn.XLOOKUP(fact_daily_prices!$J570,dim_sector[sector_id],dim_sector[sector_name])</f>
        <v>Information Technology</v>
      </c>
      <c r="L570" t="str">
        <v>COMP005-14-03-2025</v>
      </c>
      <c r="M570" t="str">
        <f>_xlfn.CONCAT(A569," ",B569)</f>
        <v>45729 COMP005</v>
      </c>
    </row>
    <row r="571" spans="1:13" x14ac:dyDescent="0.3">
      <c r="A571" s="20">
        <v>45733</v>
      </c>
      <c r="B571" s="7" t="s">
        <v>22</v>
      </c>
      <c r="C571" s="7">
        <v>247.87</v>
      </c>
      <c r="D571" s="7">
        <v>248.95</v>
      </c>
      <c r="E571" s="7">
        <v>246.79</v>
      </c>
      <c r="F571" s="7">
        <v>248.55</v>
      </c>
      <c r="G571" s="7">
        <v>6889</v>
      </c>
      <c r="H571" s="7">
        <f t="shared" si="10"/>
        <v>6.316636491651666E-3</v>
      </c>
      <c r="I571" s="7">
        <f>PRODUCT(fact_daily_prices!$F571,fact_daily_prices!$G571)</f>
        <v>1712260.9500000002</v>
      </c>
      <c r="J571" s="7" t="str">
        <f>_xlfn.XLOOKUP(fact_daily_prices!$B571,dim_company[company_id],dim_company[sector_id])</f>
        <v>SEC01</v>
      </c>
      <c r="K571" s="21" t="str">
        <f>_xlfn.XLOOKUP(fact_daily_prices!$J571,dim_sector[sector_id],dim_sector[sector_name])</f>
        <v>Information Technology</v>
      </c>
      <c r="L571" t="str">
        <v>COMP005-17-03-2025</v>
      </c>
      <c r="M571" t="str">
        <f>_xlfn.CONCAT(A570," ",B570)</f>
        <v>45730 COMP005</v>
      </c>
    </row>
    <row r="572" spans="1:13" x14ac:dyDescent="0.3">
      <c r="A572" s="17">
        <v>45734</v>
      </c>
      <c r="B572" s="18" t="s">
        <v>22</v>
      </c>
      <c r="C572" s="18">
        <v>246.88</v>
      </c>
      <c r="D572" s="18">
        <v>250.21</v>
      </c>
      <c r="E572" s="18">
        <v>243.55</v>
      </c>
      <c r="F572" s="18">
        <v>246.9</v>
      </c>
      <c r="G572" s="18">
        <v>35610</v>
      </c>
      <c r="H572" s="18">
        <f t="shared" si="10"/>
        <v>-6.6828675577156969E-3</v>
      </c>
      <c r="I572" s="18">
        <f>PRODUCT(fact_daily_prices!$F572,fact_daily_prices!$G572)</f>
        <v>8792109</v>
      </c>
      <c r="J572" s="18" t="str">
        <f>_xlfn.XLOOKUP(fact_daily_prices!$B572,dim_company[company_id],dim_company[sector_id])</f>
        <v>SEC01</v>
      </c>
      <c r="K572" s="19" t="str">
        <f>_xlfn.XLOOKUP(fact_daily_prices!$J572,dim_sector[sector_id],dim_sector[sector_name])</f>
        <v>Information Technology</v>
      </c>
      <c r="L572" t="str">
        <v>COMP005-18-03-2025</v>
      </c>
      <c r="M572" t="str">
        <f>_xlfn.CONCAT(A571," ",B571)</f>
        <v>45733 COMP005</v>
      </c>
    </row>
    <row r="573" spans="1:13" x14ac:dyDescent="0.3">
      <c r="A573" s="20">
        <v>45735</v>
      </c>
      <c r="B573" s="7" t="s">
        <v>22</v>
      </c>
      <c r="C573" s="7">
        <v>246.8</v>
      </c>
      <c r="D573" s="7">
        <v>248.28</v>
      </c>
      <c r="E573" s="7">
        <v>245.31</v>
      </c>
      <c r="F573" s="7">
        <v>245.36</v>
      </c>
      <c r="G573" s="7">
        <v>13497</v>
      </c>
      <c r="H573" s="7">
        <f t="shared" si="10"/>
        <v>-6.2764916856863058E-3</v>
      </c>
      <c r="I573" s="7">
        <f>PRODUCT(fact_daily_prices!$F573,fact_daily_prices!$G573)</f>
        <v>3311623.9200000004</v>
      </c>
      <c r="J573" s="7" t="str">
        <f>_xlfn.XLOOKUP(fact_daily_prices!$B573,dim_company[company_id],dim_company[sector_id])</f>
        <v>SEC01</v>
      </c>
      <c r="K573" s="21" t="str">
        <f>_xlfn.XLOOKUP(fact_daily_prices!$J573,dim_sector[sector_id],dim_sector[sector_name])</f>
        <v>Information Technology</v>
      </c>
      <c r="L573" t="str">
        <v>COMP005-19-03-2025</v>
      </c>
      <c r="M573" t="str">
        <f>_xlfn.CONCAT(A572," ",B572)</f>
        <v>45734 COMP005</v>
      </c>
    </row>
    <row r="574" spans="1:13" x14ac:dyDescent="0.3">
      <c r="A574" s="17">
        <v>45736</v>
      </c>
      <c r="B574" s="18" t="s">
        <v>22</v>
      </c>
      <c r="C574" s="18">
        <v>246.4</v>
      </c>
      <c r="D574" s="18">
        <v>247.03</v>
      </c>
      <c r="E574" s="18">
        <v>245.78</v>
      </c>
      <c r="F574" s="18">
        <v>246.35</v>
      </c>
      <c r="G574" s="18">
        <v>41486</v>
      </c>
      <c r="H574" s="18">
        <f t="shared" si="10"/>
        <v>4.018672620255655E-3</v>
      </c>
      <c r="I574" s="18">
        <f>PRODUCT(fact_daily_prices!$F574,fact_daily_prices!$G574)</f>
        <v>10220076.1</v>
      </c>
      <c r="J574" s="18" t="str">
        <f>_xlfn.XLOOKUP(fact_daily_prices!$B574,dim_company[company_id],dim_company[sector_id])</f>
        <v>SEC01</v>
      </c>
      <c r="K574" s="19" t="str">
        <f>_xlfn.XLOOKUP(fact_daily_prices!$J574,dim_sector[sector_id],dim_sector[sector_name])</f>
        <v>Information Technology</v>
      </c>
      <c r="L574" t="str">
        <v>COMP005-20-03-2025</v>
      </c>
      <c r="M574" t="str">
        <f>_xlfn.CONCAT(A573," ",B573)</f>
        <v>45735 COMP005</v>
      </c>
    </row>
    <row r="575" spans="1:13" x14ac:dyDescent="0.3">
      <c r="A575" s="20">
        <v>45737</v>
      </c>
      <c r="B575" s="7" t="s">
        <v>22</v>
      </c>
      <c r="C575" s="7">
        <v>249.15</v>
      </c>
      <c r="D575" s="7">
        <v>253.12</v>
      </c>
      <c r="E575" s="7">
        <v>245.18</v>
      </c>
      <c r="F575" s="7">
        <v>248.78</v>
      </c>
      <c r="G575" s="7">
        <v>12777</v>
      </c>
      <c r="H575" s="7">
        <f t="shared" si="10"/>
        <v>9.7676662111102451E-3</v>
      </c>
      <c r="I575" s="7">
        <f>PRODUCT(fact_daily_prices!$F575,fact_daily_prices!$G575)</f>
        <v>3178662.06</v>
      </c>
      <c r="J575" s="7" t="str">
        <f>_xlfn.XLOOKUP(fact_daily_prices!$B575,dim_company[company_id],dim_company[sector_id])</f>
        <v>SEC01</v>
      </c>
      <c r="K575" s="21" t="str">
        <f>_xlfn.XLOOKUP(fact_daily_prices!$J575,dim_sector[sector_id],dim_sector[sector_name])</f>
        <v>Information Technology</v>
      </c>
      <c r="L575" t="str">
        <v>COMP005-21-03-2025</v>
      </c>
      <c r="M575" t="str">
        <f>_xlfn.CONCAT(A574," ",B574)</f>
        <v>45736 COMP005</v>
      </c>
    </row>
    <row r="576" spans="1:13" x14ac:dyDescent="0.3">
      <c r="A576" s="17">
        <v>45740</v>
      </c>
      <c r="B576" s="18" t="s">
        <v>22</v>
      </c>
      <c r="C576" s="18">
        <v>247.47</v>
      </c>
      <c r="D576" s="18">
        <v>250.84</v>
      </c>
      <c r="E576" s="18">
        <v>244.1</v>
      </c>
      <c r="F576" s="18">
        <v>248.21</v>
      </c>
      <c r="G576" s="18">
        <v>28997</v>
      </c>
      <c r="H576" s="18">
        <f t="shared" si="10"/>
        <v>-2.2964425285040618E-3</v>
      </c>
      <c r="I576" s="18">
        <f>PRODUCT(fact_daily_prices!$F576,fact_daily_prices!$G576)</f>
        <v>7197345.3700000001</v>
      </c>
      <c r="J576" s="18" t="str">
        <f>_xlfn.XLOOKUP(fact_daily_prices!$B576,dim_company[company_id],dim_company[sector_id])</f>
        <v>SEC01</v>
      </c>
      <c r="K576" s="19" t="str">
        <f>_xlfn.XLOOKUP(fact_daily_prices!$J576,dim_sector[sector_id],dim_sector[sector_name])</f>
        <v>Information Technology</v>
      </c>
      <c r="L576" t="str">
        <v>COMP005-24-03-2025</v>
      </c>
      <c r="M576" t="str">
        <f>_xlfn.CONCAT(A575," ",B575)</f>
        <v>45737 COMP005</v>
      </c>
    </row>
    <row r="577" spans="1:13" x14ac:dyDescent="0.3">
      <c r="A577" s="20">
        <v>45741</v>
      </c>
      <c r="B577" s="7" t="s">
        <v>22</v>
      </c>
      <c r="C577" s="7">
        <v>244.98</v>
      </c>
      <c r="D577" s="7">
        <v>245.36</v>
      </c>
      <c r="E577" s="7">
        <v>244.6</v>
      </c>
      <c r="F577" s="7">
        <v>244.66</v>
      </c>
      <c r="G577" s="7">
        <v>29669</v>
      </c>
      <c r="H577" s="7">
        <f t="shared" si="10"/>
        <v>-1.4509932150739849E-2</v>
      </c>
      <c r="I577" s="7">
        <f>PRODUCT(fact_daily_prices!$F577,fact_daily_prices!$G577)</f>
        <v>7258817.54</v>
      </c>
      <c r="J577" s="7" t="str">
        <f>_xlfn.XLOOKUP(fact_daily_prices!$B577,dim_company[company_id],dim_company[sector_id])</f>
        <v>SEC01</v>
      </c>
      <c r="K577" s="21" t="str">
        <f>_xlfn.XLOOKUP(fact_daily_prices!$J577,dim_sector[sector_id],dim_sector[sector_name])</f>
        <v>Information Technology</v>
      </c>
      <c r="L577" t="str">
        <v>COMP005-25-03-2025</v>
      </c>
      <c r="M577" t="str">
        <f>_xlfn.CONCAT(A576," ",B576)</f>
        <v>45740 COMP005</v>
      </c>
    </row>
    <row r="578" spans="1:13" x14ac:dyDescent="0.3">
      <c r="A578" s="17">
        <v>45742</v>
      </c>
      <c r="B578" s="18" t="s">
        <v>22</v>
      </c>
      <c r="C578" s="18">
        <v>242.66</v>
      </c>
      <c r="D578" s="18">
        <v>245.04</v>
      </c>
      <c r="E578" s="18">
        <v>240.28</v>
      </c>
      <c r="F578" s="18">
        <v>242.46</v>
      </c>
      <c r="G578" s="18">
        <v>49438</v>
      </c>
      <c r="H578" s="18">
        <f t="shared" si="10"/>
        <v>-9.0736616349088046E-3</v>
      </c>
      <c r="I578" s="18">
        <f>PRODUCT(fact_daily_prices!$F578,fact_daily_prices!$G578)</f>
        <v>11986737.48</v>
      </c>
      <c r="J578" s="18" t="str">
        <f>_xlfn.XLOOKUP(fact_daily_prices!$B578,dim_company[company_id],dim_company[sector_id])</f>
        <v>SEC01</v>
      </c>
      <c r="K578" s="19" t="str">
        <f>_xlfn.XLOOKUP(fact_daily_prices!$J578,dim_sector[sector_id],dim_sector[sector_name])</f>
        <v>Information Technology</v>
      </c>
      <c r="L578" t="str">
        <v>COMP005-26-03-2025</v>
      </c>
      <c r="M578" t="str">
        <f>_xlfn.CONCAT(A577," ",B577)</f>
        <v>45741 COMP005</v>
      </c>
    </row>
    <row r="579" spans="1:13" x14ac:dyDescent="0.3">
      <c r="A579" s="20">
        <v>45743</v>
      </c>
      <c r="B579" s="7" t="s">
        <v>22</v>
      </c>
      <c r="C579" s="7">
        <v>244.44</v>
      </c>
      <c r="D579" s="7">
        <v>245.95</v>
      </c>
      <c r="E579" s="7">
        <v>242.93</v>
      </c>
      <c r="F579" s="7">
        <v>243.14</v>
      </c>
      <c r="G579" s="7">
        <v>10428</v>
      </c>
      <c r="H579" s="7">
        <f t="shared" si="10"/>
        <v>2.7967426174219726E-3</v>
      </c>
      <c r="I579" s="7">
        <f>PRODUCT(fact_daily_prices!$F579,fact_daily_prices!$G579)</f>
        <v>2535463.92</v>
      </c>
      <c r="J579" s="7" t="str">
        <f>_xlfn.XLOOKUP(fact_daily_prices!$B579,dim_company[company_id],dim_company[sector_id])</f>
        <v>SEC01</v>
      </c>
      <c r="K579" s="21" t="str">
        <f>_xlfn.XLOOKUP(fact_daily_prices!$J579,dim_sector[sector_id],dim_sector[sector_name])</f>
        <v>Information Technology</v>
      </c>
      <c r="L579" t="str">
        <v>COMP005-27-03-2025</v>
      </c>
      <c r="M579" t="str">
        <f>_xlfn.CONCAT(A578," ",B578)</f>
        <v>45742 COMP005</v>
      </c>
    </row>
    <row r="580" spans="1:13" x14ac:dyDescent="0.3">
      <c r="A580" s="17">
        <v>45744</v>
      </c>
      <c r="B580" s="18" t="s">
        <v>22</v>
      </c>
      <c r="C580" s="18">
        <v>245.23</v>
      </c>
      <c r="D580" s="18">
        <v>247.73</v>
      </c>
      <c r="E580" s="18">
        <v>242.73</v>
      </c>
      <c r="F580" s="18">
        <v>243.79</v>
      </c>
      <c r="G580" s="18">
        <v>40832</v>
      </c>
      <c r="H580" s="18">
        <f t="shared" ref="H580:H643" si="11">(F580-F579)/F580</f>
        <v>2.6662291316297045E-3</v>
      </c>
      <c r="I580" s="18">
        <f>PRODUCT(fact_daily_prices!$F580,fact_daily_prices!$G580)</f>
        <v>9954433.2799999993</v>
      </c>
      <c r="J580" s="18" t="str">
        <f>_xlfn.XLOOKUP(fact_daily_prices!$B580,dim_company[company_id],dim_company[sector_id])</f>
        <v>SEC01</v>
      </c>
      <c r="K580" s="19" t="str">
        <f>_xlfn.XLOOKUP(fact_daily_prices!$J580,dim_sector[sector_id],dim_sector[sector_name])</f>
        <v>Information Technology</v>
      </c>
      <c r="L580" t="str">
        <v>COMP005-28-03-2025</v>
      </c>
      <c r="M580" t="str">
        <f>_xlfn.CONCAT(A579," ",B579)</f>
        <v>45743 COMP005</v>
      </c>
    </row>
    <row r="581" spans="1:13" x14ac:dyDescent="0.3">
      <c r="A581" s="20">
        <v>45747</v>
      </c>
      <c r="B581" s="7" t="s">
        <v>22</v>
      </c>
      <c r="C581" s="7">
        <v>244.77</v>
      </c>
      <c r="D581" s="7">
        <v>248.15</v>
      </c>
      <c r="E581" s="7">
        <v>241.4</v>
      </c>
      <c r="F581" s="7">
        <v>244.59</v>
      </c>
      <c r="G581" s="7">
        <v>35587</v>
      </c>
      <c r="H581" s="7">
        <f t="shared" si="11"/>
        <v>3.2707796721043844E-3</v>
      </c>
      <c r="I581" s="7">
        <f>PRODUCT(fact_daily_prices!$F581,fact_daily_prices!$G581)</f>
        <v>8704224.3300000001</v>
      </c>
      <c r="J581" s="7" t="str">
        <f>_xlfn.XLOOKUP(fact_daily_prices!$B581,dim_company[company_id],dim_company[sector_id])</f>
        <v>SEC01</v>
      </c>
      <c r="K581" s="21" t="str">
        <f>_xlfn.XLOOKUP(fact_daily_prices!$J581,dim_sector[sector_id],dim_sector[sector_name])</f>
        <v>Information Technology</v>
      </c>
      <c r="L581" t="str">
        <v>COMP005-31-03-2025</v>
      </c>
      <c r="M581" t="str">
        <f>_xlfn.CONCAT(A580," ",B580)</f>
        <v>45744 COMP005</v>
      </c>
    </row>
    <row r="582" spans="1:13" x14ac:dyDescent="0.3">
      <c r="A582" s="17">
        <v>45748</v>
      </c>
      <c r="B582" s="18" t="s">
        <v>22</v>
      </c>
      <c r="C582" s="18">
        <v>245.11</v>
      </c>
      <c r="D582" s="18">
        <v>248.16</v>
      </c>
      <c r="E582" s="18">
        <v>242.06</v>
      </c>
      <c r="F582" s="18">
        <v>246.26</v>
      </c>
      <c r="G582" s="18">
        <v>36426</v>
      </c>
      <c r="H582" s="18">
        <f t="shared" si="11"/>
        <v>6.7814504994720519E-3</v>
      </c>
      <c r="I582" s="18">
        <f>PRODUCT(fact_daily_prices!$F582,fact_daily_prices!$G582)</f>
        <v>8970266.7599999998</v>
      </c>
      <c r="J582" s="18" t="str">
        <f>_xlfn.XLOOKUP(fact_daily_prices!$B582,dim_company[company_id],dim_company[sector_id])</f>
        <v>SEC01</v>
      </c>
      <c r="K582" s="19" t="str">
        <f>_xlfn.XLOOKUP(fact_daily_prices!$J582,dim_sector[sector_id],dim_sector[sector_name])</f>
        <v>Information Technology</v>
      </c>
      <c r="L582" t="str">
        <v>COMP005-01-04-2025</v>
      </c>
      <c r="M582" t="str">
        <f>_xlfn.CONCAT(A581," ",B581)</f>
        <v>45747 COMP005</v>
      </c>
    </row>
    <row r="583" spans="1:13" x14ac:dyDescent="0.3">
      <c r="A583" s="20">
        <v>45749</v>
      </c>
      <c r="B583" s="7" t="s">
        <v>22</v>
      </c>
      <c r="C583" s="7">
        <v>245.19</v>
      </c>
      <c r="D583" s="7">
        <v>246.72</v>
      </c>
      <c r="E583" s="7">
        <v>243.66</v>
      </c>
      <c r="F583" s="7">
        <v>246.33</v>
      </c>
      <c r="G583" s="7">
        <v>11213</v>
      </c>
      <c r="H583" s="7">
        <f t="shared" si="11"/>
        <v>2.8417163967044855E-4</v>
      </c>
      <c r="I583" s="7">
        <f>PRODUCT(fact_daily_prices!$F583,fact_daily_prices!$G583)</f>
        <v>2762098.29</v>
      </c>
      <c r="J583" s="7" t="str">
        <f>_xlfn.XLOOKUP(fact_daily_prices!$B583,dim_company[company_id],dim_company[sector_id])</f>
        <v>SEC01</v>
      </c>
      <c r="K583" s="21" t="str">
        <f>_xlfn.XLOOKUP(fact_daily_prices!$J583,dim_sector[sector_id],dim_sector[sector_name])</f>
        <v>Information Technology</v>
      </c>
      <c r="L583" t="str">
        <v>COMP005-02-04-2025</v>
      </c>
      <c r="M583" t="str">
        <f>_xlfn.CONCAT(A582," ",B582)</f>
        <v>45748 COMP005</v>
      </c>
    </row>
    <row r="584" spans="1:13" x14ac:dyDescent="0.3">
      <c r="A584" s="17">
        <v>45750</v>
      </c>
      <c r="B584" s="18" t="s">
        <v>22</v>
      </c>
      <c r="C584" s="18">
        <v>248.06</v>
      </c>
      <c r="D584" s="18">
        <v>251.12</v>
      </c>
      <c r="E584" s="18">
        <v>245.01</v>
      </c>
      <c r="F584" s="18">
        <v>247.22</v>
      </c>
      <c r="G584" s="18">
        <v>43849</v>
      </c>
      <c r="H584" s="18">
        <f t="shared" si="11"/>
        <v>3.6000323598413815E-3</v>
      </c>
      <c r="I584" s="18">
        <f>PRODUCT(fact_daily_prices!$F584,fact_daily_prices!$G584)</f>
        <v>10840349.779999999</v>
      </c>
      <c r="J584" s="18" t="str">
        <f>_xlfn.XLOOKUP(fact_daily_prices!$B584,dim_company[company_id],dim_company[sector_id])</f>
        <v>SEC01</v>
      </c>
      <c r="K584" s="19" t="str">
        <f>_xlfn.XLOOKUP(fact_daily_prices!$J584,dim_sector[sector_id],dim_sector[sector_name])</f>
        <v>Information Technology</v>
      </c>
      <c r="L584" t="str">
        <v>COMP005-03-04-2025</v>
      </c>
      <c r="M584" t="str">
        <f>_xlfn.CONCAT(A583," ",B583)</f>
        <v>45749 COMP005</v>
      </c>
    </row>
    <row r="585" spans="1:13" x14ac:dyDescent="0.3">
      <c r="A585" s="20">
        <v>45751</v>
      </c>
      <c r="B585" s="7" t="s">
        <v>22</v>
      </c>
      <c r="C585" s="7">
        <v>246.97</v>
      </c>
      <c r="D585" s="7">
        <v>249.03</v>
      </c>
      <c r="E585" s="7">
        <v>244.91</v>
      </c>
      <c r="F585" s="7">
        <v>247.13</v>
      </c>
      <c r="G585" s="7">
        <v>40758</v>
      </c>
      <c r="H585" s="7">
        <f t="shared" si="11"/>
        <v>-3.641807955327294E-4</v>
      </c>
      <c r="I585" s="7">
        <f>PRODUCT(fact_daily_prices!$F585,fact_daily_prices!$G585)</f>
        <v>10072524.539999999</v>
      </c>
      <c r="J585" s="7" t="str">
        <f>_xlfn.XLOOKUP(fact_daily_prices!$B585,dim_company[company_id],dim_company[sector_id])</f>
        <v>SEC01</v>
      </c>
      <c r="K585" s="21" t="str">
        <f>_xlfn.XLOOKUP(fact_daily_prices!$J585,dim_sector[sector_id],dim_sector[sector_name])</f>
        <v>Information Technology</v>
      </c>
      <c r="L585" t="str">
        <v>COMP005-04-04-2025</v>
      </c>
      <c r="M585" t="str">
        <f>_xlfn.CONCAT(A584," ",B584)</f>
        <v>45750 COMP005</v>
      </c>
    </row>
    <row r="586" spans="1:13" x14ac:dyDescent="0.3">
      <c r="A586" s="17">
        <v>45754</v>
      </c>
      <c r="B586" s="18" t="s">
        <v>22</v>
      </c>
      <c r="C586" s="18">
        <v>252.45</v>
      </c>
      <c r="D586" s="18">
        <v>254.61</v>
      </c>
      <c r="E586" s="18">
        <v>250.3</v>
      </c>
      <c r="F586" s="18">
        <v>250.8</v>
      </c>
      <c r="G586" s="18">
        <v>16434</v>
      </c>
      <c r="H586" s="18">
        <f t="shared" si="11"/>
        <v>1.4633173843700222E-2</v>
      </c>
      <c r="I586" s="18">
        <f>PRODUCT(fact_daily_prices!$F586,fact_daily_prices!$G586)</f>
        <v>4121647.2</v>
      </c>
      <c r="J586" s="18" t="str">
        <f>_xlfn.XLOOKUP(fact_daily_prices!$B586,dim_company[company_id],dim_company[sector_id])</f>
        <v>SEC01</v>
      </c>
      <c r="K586" s="19" t="str">
        <f>_xlfn.XLOOKUP(fact_daily_prices!$J586,dim_sector[sector_id],dim_sector[sector_name])</f>
        <v>Information Technology</v>
      </c>
      <c r="L586" t="str">
        <v>COMP005-07-04-2025</v>
      </c>
      <c r="M586" t="str">
        <f>_xlfn.CONCAT(A585," ",B585)</f>
        <v>45751 COMP005</v>
      </c>
    </row>
    <row r="587" spans="1:13" x14ac:dyDescent="0.3">
      <c r="A587" s="20">
        <v>45755</v>
      </c>
      <c r="B587" s="7" t="s">
        <v>22</v>
      </c>
      <c r="C587" s="7">
        <v>255.96</v>
      </c>
      <c r="D587" s="7">
        <v>258.39999999999998</v>
      </c>
      <c r="E587" s="7">
        <v>253.53</v>
      </c>
      <c r="F587" s="7">
        <v>255.42</v>
      </c>
      <c r="G587" s="7">
        <v>2141</v>
      </c>
      <c r="H587" s="7">
        <f t="shared" si="11"/>
        <v>1.8087855297157531E-2</v>
      </c>
      <c r="I587" s="7">
        <f>PRODUCT(fact_daily_prices!$F587,fact_daily_prices!$G587)</f>
        <v>546854.22</v>
      </c>
      <c r="J587" s="7" t="str">
        <f>_xlfn.XLOOKUP(fact_daily_prices!$B587,dim_company[company_id],dim_company[sector_id])</f>
        <v>SEC01</v>
      </c>
      <c r="K587" s="21" t="str">
        <f>_xlfn.XLOOKUP(fact_daily_prices!$J587,dim_sector[sector_id],dim_sector[sector_name])</f>
        <v>Information Technology</v>
      </c>
      <c r="L587" t="str">
        <v>COMP005-08-04-2025</v>
      </c>
      <c r="M587" t="str">
        <f>_xlfn.CONCAT(A586," ",B586)</f>
        <v>45754 COMP005</v>
      </c>
    </row>
    <row r="588" spans="1:13" x14ac:dyDescent="0.3">
      <c r="A588" s="17">
        <v>45756</v>
      </c>
      <c r="B588" s="18" t="s">
        <v>22</v>
      </c>
      <c r="C588" s="18">
        <v>251.73</v>
      </c>
      <c r="D588" s="18">
        <v>255.24</v>
      </c>
      <c r="E588" s="18">
        <v>248.22</v>
      </c>
      <c r="F588" s="18">
        <v>251.69</v>
      </c>
      <c r="G588" s="18">
        <v>46734</v>
      </c>
      <c r="H588" s="18">
        <f t="shared" si="11"/>
        <v>-1.4819818030116373E-2</v>
      </c>
      <c r="I588" s="18">
        <f>PRODUCT(fact_daily_prices!$F588,fact_daily_prices!$G588)</f>
        <v>11762480.459999999</v>
      </c>
      <c r="J588" s="18" t="str">
        <f>_xlfn.XLOOKUP(fact_daily_prices!$B588,dim_company[company_id],dim_company[sector_id])</f>
        <v>SEC01</v>
      </c>
      <c r="K588" s="19" t="str">
        <f>_xlfn.XLOOKUP(fact_daily_prices!$J588,dim_sector[sector_id],dim_sector[sector_name])</f>
        <v>Information Technology</v>
      </c>
      <c r="L588" t="str">
        <v>COMP005-09-04-2025</v>
      </c>
      <c r="M588" t="str">
        <f>_xlfn.CONCAT(A587," ",B587)</f>
        <v>45755 COMP005</v>
      </c>
    </row>
    <row r="589" spans="1:13" x14ac:dyDescent="0.3">
      <c r="A589" s="20">
        <v>45757</v>
      </c>
      <c r="B589" s="7" t="s">
        <v>22</v>
      </c>
      <c r="C589" s="7">
        <v>251.81</v>
      </c>
      <c r="D589" s="7">
        <v>253.51</v>
      </c>
      <c r="E589" s="7">
        <v>250.11</v>
      </c>
      <c r="F589" s="7">
        <v>250.94</v>
      </c>
      <c r="G589" s="7">
        <v>17390</v>
      </c>
      <c r="H589" s="7">
        <f t="shared" si="11"/>
        <v>-2.9887622539252409E-3</v>
      </c>
      <c r="I589" s="7">
        <f>PRODUCT(fact_daily_prices!$F589,fact_daily_prices!$G589)</f>
        <v>4363846.5999999996</v>
      </c>
      <c r="J589" s="7" t="str">
        <f>_xlfn.XLOOKUP(fact_daily_prices!$B589,dim_company[company_id],dim_company[sector_id])</f>
        <v>SEC01</v>
      </c>
      <c r="K589" s="21" t="str">
        <f>_xlfn.XLOOKUP(fact_daily_prices!$J589,dim_sector[sector_id],dim_sector[sector_name])</f>
        <v>Information Technology</v>
      </c>
      <c r="L589" t="str">
        <v>COMP005-10-04-2025</v>
      </c>
      <c r="M589" t="str">
        <f>_xlfn.CONCAT(A588," ",B588)</f>
        <v>45756 COMP005</v>
      </c>
    </row>
    <row r="590" spans="1:13" x14ac:dyDescent="0.3">
      <c r="A590" s="17">
        <v>45758</v>
      </c>
      <c r="B590" s="18" t="s">
        <v>22</v>
      </c>
      <c r="C590" s="18">
        <v>249.22</v>
      </c>
      <c r="D590" s="18">
        <v>251.82</v>
      </c>
      <c r="E590" s="18">
        <v>246.63</v>
      </c>
      <c r="F590" s="18">
        <v>251.1</v>
      </c>
      <c r="G590" s="18">
        <v>28840</v>
      </c>
      <c r="H590" s="18">
        <f t="shared" si="11"/>
        <v>6.3719633612105376E-4</v>
      </c>
      <c r="I590" s="18">
        <f>PRODUCT(fact_daily_prices!$F590,fact_daily_prices!$G590)</f>
        <v>7241724</v>
      </c>
      <c r="J590" s="18" t="str">
        <f>_xlfn.XLOOKUP(fact_daily_prices!$B590,dim_company[company_id],dim_company[sector_id])</f>
        <v>SEC01</v>
      </c>
      <c r="K590" s="19" t="str">
        <f>_xlfn.XLOOKUP(fact_daily_prices!$J590,dim_sector[sector_id],dim_sector[sector_name])</f>
        <v>Information Technology</v>
      </c>
      <c r="L590" t="str">
        <v>COMP005-11-04-2025</v>
      </c>
      <c r="M590" t="str">
        <f>_xlfn.CONCAT(A589," ",B589)</f>
        <v>45757 COMP005</v>
      </c>
    </row>
    <row r="591" spans="1:13" x14ac:dyDescent="0.3">
      <c r="A591" s="20">
        <v>45761</v>
      </c>
      <c r="B591" s="7" t="s">
        <v>22</v>
      </c>
      <c r="C591" s="7">
        <v>251.84</v>
      </c>
      <c r="D591" s="7">
        <v>255.06</v>
      </c>
      <c r="E591" s="7">
        <v>248.62</v>
      </c>
      <c r="F591" s="7">
        <v>250.32</v>
      </c>
      <c r="G591" s="7">
        <v>41379</v>
      </c>
      <c r="H591" s="7">
        <f t="shared" si="11"/>
        <v>-3.1160115052732548E-3</v>
      </c>
      <c r="I591" s="7">
        <f>PRODUCT(fact_daily_prices!$F591,fact_daily_prices!$G591)</f>
        <v>10357991.279999999</v>
      </c>
      <c r="J591" s="7" t="str">
        <f>_xlfn.XLOOKUP(fact_daily_prices!$B591,dim_company[company_id],dim_company[sector_id])</f>
        <v>SEC01</v>
      </c>
      <c r="K591" s="21" t="str">
        <f>_xlfn.XLOOKUP(fact_daily_prices!$J591,dim_sector[sector_id],dim_sector[sector_name])</f>
        <v>Information Technology</v>
      </c>
      <c r="L591" t="str">
        <v>COMP005-14-04-2025</v>
      </c>
      <c r="M591" t="str">
        <f>_xlfn.CONCAT(A590," ",B590)</f>
        <v>45758 COMP005</v>
      </c>
    </row>
    <row r="592" spans="1:13" x14ac:dyDescent="0.3">
      <c r="A592" s="17">
        <v>45762</v>
      </c>
      <c r="B592" s="18" t="s">
        <v>22</v>
      </c>
      <c r="C592" s="18">
        <v>257.05</v>
      </c>
      <c r="D592" s="18">
        <v>258.04000000000002</v>
      </c>
      <c r="E592" s="18">
        <v>256.06</v>
      </c>
      <c r="F592" s="18">
        <v>256.10000000000002</v>
      </c>
      <c r="G592" s="18">
        <v>45014</v>
      </c>
      <c r="H592" s="18">
        <f t="shared" si="11"/>
        <v>2.256930886372522E-2</v>
      </c>
      <c r="I592" s="18">
        <f>PRODUCT(fact_daily_prices!$F592,fact_daily_prices!$G592)</f>
        <v>11528085.4</v>
      </c>
      <c r="J592" s="18" t="str">
        <f>_xlfn.XLOOKUP(fact_daily_prices!$B592,dim_company[company_id],dim_company[sector_id])</f>
        <v>SEC01</v>
      </c>
      <c r="K592" s="19" t="str">
        <f>_xlfn.XLOOKUP(fact_daily_prices!$J592,dim_sector[sector_id],dim_sector[sector_name])</f>
        <v>Information Technology</v>
      </c>
      <c r="L592" t="str">
        <v>COMP005-15-04-2025</v>
      </c>
      <c r="M592" t="str">
        <f>_xlfn.CONCAT(A591," ",B591)</f>
        <v>45761 COMP005</v>
      </c>
    </row>
    <row r="593" spans="1:13" x14ac:dyDescent="0.3">
      <c r="A593" s="20">
        <v>45763</v>
      </c>
      <c r="B593" s="7" t="s">
        <v>22</v>
      </c>
      <c r="C593" s="7">
        <v>256.01</v>
      </c>
      <c r="D593" s="7">
        <v>257.25</v>
      </c>
      <c r="E593" s="7">
        <v>254.78</v>
      </c>
      <c r="F593" s="7">
        <v>256.88</v>
      </c>
      <c r="G593" s="7">
        <v>12120</v>
      </c>
      <c r="H593" s="7">
        <f t="shared" si="11"/>
        <v>3.0364372469634565E-3</v>
      </c>
      <c r="I593" s="7">
        <f>PRODUCT(fact_daily_prices!$F593,fact_daily_prices!$G593)</f>
        <v>3113385.6</v>
      </c>
      <c r="J593" s="7" t="str">
        <f>_xlfn.XLOOKUP(fact_daily_prices!$B593,dim_company[company_id],dim_company[sector_id])</f>
        <v>SEC01</v>
      </c>
      <c r="K593" s="21" t="str">
        <f>_xlfn.XLOOKUP(fact_daily_prices!$J593,dim_sector[sector_id],dim_sector[sector_name])</f>
        <v>Information Technology</v>
      </c>
      <c r="L593" t="str">
        <v>COMP005-16-04-2025</v>
      </c>
      <c r="M593" t="str">
        <f>_xlfn.CONCAT(A592," ",B592)</f>
        <v>45762 COMP005</v>
      </c>
    </row>
    <row r="594" spans="1:13" x14ac:dyDescent="0.3">
      <c r="A594" s="17">
        <v>45764</v>
      </c>
      <c r="B594" s="18" t="s">
        <v>22</v>
      </c>
      <c r="C594" s="18">
        <v>254.53</v>
      </c>
      <c r="D594" s="18">
        <v>257.79000000000002</v>
      </c>
      <c r="E594" s="18">
        <v>251.27</v>
      </c>
      <c r="F594" s="18">
        <v>254.35</v>
      </c>
      <c r="G594" s="18">
        <v>1929</v>
      </c>
      <c r="H594" s="18">
        <f t="shared" si="11"/>
        <v>-9.9469235305681188E-3</v>
      </c>
      <c r="I594" s="18">
        <f>PRODUCT(fact_daily_prices!$F594,fact_daily_prices!$G594)</f>
        <v>490641.14999999997</v>
      </c>
      <c r="J594" s="18" t="str">
        <f>_xlfn.XLOOKUP(fact_daily_prices!$B594,dim_company[company_id],dim_company[sector_id])</f>
        <v>SEC01</v>
      </c>
      <c r="K594" s="19" t="str">
        <f>_xlfn.XLOOKUP(fact_daily_prices!$J594,dim_sector[sector_id],dim_sector[sector_name])</f>
        <v>Information Technology</v>
      </c>
      <c r="L594" t="str">
        <v>COMP005-17-04-2025</v>
      </c>
      <c r="M594" t="str">
        <f>_xlfn.CONCAT(A593," ",B593)</f>
        <v>45763 COMP005</v>
      </c>
    </row>
    <row r="595" spans="1:13" x14ac:dyDescent="0.3">
      <c r="A595" s="20">
        <v>45765</v>
      </c>
      <c r="B595" s="7" t="s">
        <v>22</v>
      </c>
      <c r="C595" s="7">
        <v>257</v>
      </c>
      <c r="D595" s="7">
        <v>260.64</v>
      </c>
      <c r="E595" s="7">
        <v>253.36</v>
      </c>
      <c r="F595" s="7">
        <v>256.33</v>
      </c>
      <c r="G595" s="7">
        <v>49613</v>
      </c>
      <c r="H595" s="7">
        <f t="shared" si="11"/>
        <v>7.724417742753442E-3</v>
      </c>
      <c r="I595" s="7">
        <f>PRODUCT(fact_daily_prices!$F595,fact_daily_prices!$G595)</f>
        <v>12717300.289999999</v>
      </c>
      <c r="J595" s="7" t="str">
        <f>_xlfn.XLOOKUP(fact_daily_prices!$B595,dim_company[company_id],dim_company[sector_id])</f>
        <v>SEC01</v>
      </c>
      <c r="K595" s="21" t="str">
        <f>_xlfn.XLOOKUP(fact_daily_prices!$J595,dim_sector[sector_id],dim_sector[sector_name])</f>
        <v>Information Technology</v>
      </c>
      <c r="L595" t="str">
        <v>COMP005-18-04-2025</v>
      </c>
      <c r="M595" t="str">
        <f>_xlfn.CONCAT(A594," ",B594)</f>
        <v>45764 COMP005</v>
      </c>
    </row>
    <row r="596" spans="1:13" x14ac:dyDescent="0.3">
      <c r="A596" s="17">
        <v>45768</v>
      </c>
      <c r="B596" s="18" t="s">
        <v>22</v>
      </c>
      <c r="C596" s="18">
        <v>256.66000000000003</v>
      </c>
      <c r="D596" s="18">
        <v>259.60000000000002</v>
      </c>
      <c r="E596" s="18">
        <v>253.73</v>
      </c>
      <c r="F596" s="18">
        <v>257.27</v>
      </c>
      <c r="G596" s="18">
        <v>19284</v>
      </c>
      <c r="H596" s="18">
        <f t="shared" si="11"/>
        <v>3.6537489796711542E-3</v>
      </c>
      <c r="I596" s="18">
        <f>PRODUCT(fact_daily_prices!$F596,fact_daily_prices!$G596)</f>
        <v>4961194.68</v>
      </c>
      <c r="J596" s="18" t="str">
        <f>_xlfn.XLOOKUP(fact_daily_prices!$B596,dim_company[company_id],dim_company[sector_id])</f>
        <v>SEC01</v>
      </c>
      <c r="K596" s="19" t="str">
        <f>_xlfn.XLOOKUP(fact_daily_prices!$J596,dim_sector[sector_id],dim_sector[sector_name])</f>
        <v>Information Technology</v>
      </c>
      <c r="L596" t="str">
        <v>COMP005-21-04-2025</v>
      </c>
      <c r="M596" t="str">
        <f>_xlfn.CONCAT(A595," ",B595)</f>
        <v>45765 COMP005</v>
      </c>
    </row>
    <row r="597" spans="1:13" x14ac:dyDescent="0.3">
      <c r="A597" s="20">
        <v>45769</v>
      </c>
      <c r="B597" s="7" t="s">
        <v>22</v>
      </c>
      <c r="C597" s="7">
        <v>260.24</v>
      </c>
      <c r="D597" s="7">
        <v>263.33999999999997</v>
      </c>
      <c r="E597" s="7">
        <v>257.14</v>
      </c>
      <c r="F597" s="7">
        <v>258.32</v>
      </c>
      <c r="G597" s="7">
        <v>20799</v>
      </c>
      <c r="H597" s="7">
        <f t="shared" si="11"/>
        <v>4.06472592133792E-3</v>
      </c>
      <c r="I597" s="7">
        <f>PRODUCT(fact_daily_prices!$F597,fact_daily_prices!$G597)</f>
        <v>5372797.6799999997</v>
      </c>
      <c r="J597" s="7" t="str">
        <f>_xlfn.XLOOKUP(fact_daily_prices!$B597,dim_company[company_id],dim_company[sector_id])</f>
        <v>SEC01</v>
      </c>
      <c r="K597" s="21" t="str">
        <f>_xlfn.XLOOKUP(fact_daily_prices!$J597,dim_sector[sector_id],dim_sector[sector_name])</f>
        <v>Information Technology</v>
      </c>
      <c r="L597" t="str">
        <v>COMP005-22-04-2025</v>
      </c>
      <c r="M597" t="str">
        <f>_xlfn.CONCAT(A596," ",B596)</f>
        <v>45768 COMP005</v>
      </c>
    </row>
    <row r="598" spans="1:13" x14ac:dyDescent="0.3">
      <c r="A598" s="17">
        <v>45770</v>
      </c>
      <c r="B598" s="18" t="s">
        <v>22</v>
      </c>
      <c r="C598" s="18">
        <v>263.12</v>
      </c>
      <c r="D598" s="18">
        <v>267</v>
      </c>
      <c r="E598" s="18">
        <v>259.23</v>
      </c>
      <c r="F598" s="18">
        <v>264.33</v>
      </c>
      <c r="G598" s="18">
        <v>25323</v>
      </c>
      <c r="H598" s="18">
        <f t="shared" si="11"/>
        <v>2.2736730601899107E-2</v>
      </c>
      <c r="I598" s="18">
        <f>PRODUCT(fact_daily_prices!$F598,fact_daily_prices!$G598)</f>
        <v>6693628.5899999999</v>
      </c>
      <c r="J598" s="18" t="str">
        <f>_xlfn.XLOOKUP(fact_daily_prices!$B598,dim_company[company_id],dim_company[sector_id])</f>
        <v>SEC01</v>
      </c>
      <c r="K598" s="19" t="str">
        <f>_xlfn.XLOOKUP(fact_daily_prices!$J598,dim_sector[sector_id],dim_sector[sector_name])</f>
        <v>Information Technology</v>
      </c>
      <c r="L598" t="str">
        <v>COMP005-23-04-2025</v>
      </c>
      <c r="M598" t="str">
        <f>_xlfn.CONCAT(A597," ",B597)</f>
        <v>45769 COMP005</v>
      </c>
    </row>
    <row r="599" spans="1:13" x14ac:dyDescent="0.3">
      <c r="A599" s="20">
        <v>45771</v>
      </c>
      <c r="B599" s="7" t="s">
        <v>22</v>
      </c>
      <c r="C599" s="7">
        <v>265.27</v>
      </c>
      <c r="D599" s="7">
        <v>266.08999999999997</v>
      </c>
      <c r="E599" s="7">
        <v>264.45999999999998</v>
      </c>
      <c r="F599" s="7">
        <v>265.57</v>
      </c>
      <c r="G599" s="7">
        <v>38226</v>
      </c>
      <c r="H599" s="7">
        <f t="shared" si="11"/>
        <v>4.6692020936100051E-3</v>
      </c>
      <c r="I599" s="7">
        <f>PRODUCT(fact_daily_prices!$F599,fact_daily_prices!$G599)</f>
        <v>10151678.82</v>
      </c>
      <c r="J599" s="7" t="str">
        <f>_xlfn.XLOOKUP(fact_daily_prices!$B599,dim_company[company_id],dim_company[sector_id])</f>
        <v>SEC01</v>
      </c>
      <c r="K599" s="21" t="str">
        <f>_xlfn.XLOOKUP(fact_daily_prices!$J599,dim_sector[sector_id],dim_sector[sector_name])</f>
        <v>Information Technology</v>
      </c>
      <c r="L599" t="str">
        <v>COMP005-24-04-2025</v>
      </c>
      <c r="M599" t="str">
        <f>_xlfn.CONCAT(A598," ",B598)</f>
        <v>45770 COMP005</v>
      </c>
    </row>
    <row r="600" spans="1:13" x14ac:dyDescent="0.3">
      <c r="A600" s="17">
        <v>45772</v>
      </c>
      <c r="B600" s="18" t="s">
        <v>22</v>
      </c>
      <c r="C600" s="18">
        <v>265.22000000000003</v>
      </c>
      <c r="D600" s="18">
        <v>266.67</v>
      </c>
      <c r="E600" s="18">
        <v>263.77</v>
      </c>
      <c r="F600" s="18">
        <v>264.61</v>
      </c>
      <c r="G600" s="18">
        <v>27417</v>
      </c>
      <c r="H600" s="18">
        <f t="shared" si="11"/>
        <v>-3.6279808019348456E-3</v>
      </c>
      <c r="I600" s="18">
        <f>PRODUCT(fact_daily_prices!$F600,fact_daily_prices!$G600)</f>
        <v>7254812.3700000001</v>
      </c>
      <c r="J600" s="18" t="str">
        <f>_xlfn.XLOOKUP(fact_daily_prices!$B600,dim_company[company_id],dim_company[sector_id])</f>
        <v>SEC01</v>
      </c>
      <c r="K600" s="19" t="str">
        <f>_xlfn.XLOOKUP(fact_daily_prices!$J600,dim_sector[sector_id],dim_sector[sector_name])</f>
        <v>Information Technology</v>
      </c>
      <c r="L600" t="str">
        <v>COMP005-25-04-2025</v>
      </c>
      <c r="M600" t="str">
        <f>_xlfn.CONCAT(A599," ",B599)</f>
        <v>45771 COMP005</v>
      </c>
    </row>
    <row r="601" spans="1:13" x14ac:dyDescent="0.3">
      <c r="A601" s="20">
        <v>45775</v>
      </c>
      <c r="B601" s="7" t="s">
        <v>22</v>
      </c>
      <c r="C601" s="7">
        <v>258.67</v>
      </c>
      <c r="D601" s="7">
        <v>259.85000000000002</v>
      </c>
      <c r="E601" s="7">
        <v>257.48</v>
      </c>
      <c r="F601" s="7">
        <v>258.24</v>
      </c>
      <c r="G601" s="7">
        <v>3169</v>
      </c>
      <c r="H601" s="7">
        <f t="shared" si="11"/>
        <v>-2.4666976456009931E-2</v>
      </c>
      <c r="I601" s="7">
        <f>PRODUCT(fact_daily_prices!$F601,fact_daily_prices!$G601)</f>
        <v>818362.56</v>
      </c>
      <c r="J601" s="7" t="str">
        <f>_xlfn.XLOOKUP(fact_daily_prices!$B601,dim_company[company_id],dim_company[sector_id])</f>
        <v>SEC01</v>
      </c>
      <c r="K601" s="21" t="str">
        <f>_xlfn.XLOOKUP(fact_daily_prices!$J601,dim_sector[sector_id],dim_sector[sector_name])</f>
        <v>Information Technology</v>
      </c>
      <c r="L601" t="str">
        <v>COMP005-28-04-2025</v>
      </c>
      <c r="M601" t="str">
        <f>_xlfn.CONCAT(A600," ",B600)</f>
        <v>45772 COMP005</v>
      </c>
    </row>
    <row r="602" spans="1:13" x14ac:dyDescent="0.3">
      <c r="A602" s="17">
        <v>45776</v>
      </c>
      <c r="B602" s="18" t="s">
        <v>22</v>
      </c>
      <c r="C602" s="18">
        <v>255.6</v>
      </c>
      <c r="D602" s="18">
        <v>258.36</v>
      </c>
      <c r="E602" s="18">
        <v>252.83</v>
      </c>
      <c r="F602" s="18">
        <v>257.76</v>
      </c>
      <c r="G602" s="18">
        <v>9036</v>
      </c>
      <c r="H602" s="18">
        <f t="shared" si="11"/>
        <v>-1.8621973929237206E-3</v>
      </c>
      <c r="I602" s="18">
        <f>PRODUCT(fact_daily_prices!$F602,fact_daily_prices!$G602)</f>
        <v>2329119.36</v>
      </c>
      <c r="J602" s="18" t="str">
        <f>_xlfn.XLOOKUP(fact_daily_prices!$B602,dim_company[company_id],dim_company[sector_id])</f>
        <v>SEC01</v>
      </c>
      <c r="K602" s="19" t="str">
        <f>_xlfn.XLOOKUP(fact_daily_prices!$J602,dim_sector[sector_id],dim_sector[sector_name])</f>
        <v>Information Technology</v>
      </c>
      <c r="L602" t="str">
        <v>COMP005-29-04-2025</v>
      </c>
      <c r="M602" t="str">
        <f>_xlfn.CONCAT(A601," ",B601)</f>
        <v>45775 COMP005</v>
      </c>
    </row>
    <row r="603" spans="1:13" x14ac:dyDescent="0.3">
      <c r="A603" s="20">
        <v>45777</v>
      </c>
      <c r="B603" s="7" t="s">
        <v>22</v>
      </c>
      <c r="C603" s="7">
        <v>262.18</v>
      </c>
      <c r="D603" s="7">
        <v>264.58</v>
      </c>
      <c r="E603" s="7">
        <v>259.77</v>
      </c>
      <c r="F603" s="7">
        <v>262.10000000000002</v>
      </c>
      <c r="G603" s="7">
        <v>1785</v>
      </c>
      <c r="H603" s="7">
        <f t="shared" si="11"/>
        <v>1.6558565433040944E-2</v>
      </c>
      <c r="I603" s="7">
        <f>PRODUCT(fact_daily_prices!$F603,fact_daily_prices!$G603)</f>
        <v>467848.50000000006</v>
      </c>
      <c r="J603" s="7" t="str">
        <f>_xlfn.XLOOKUP(fact_daily_prices!$B603,dim_company[company_id],dim_company[sector_id])</f>
        <v>SEC01</v>
      </c>
      <c r="K603" s="21" t="str">
        <f>_xlfn.XLOOKUP(fact_daily_prices!$J603,dim_sector[sector_id],dim_sector[sector_name])</f>
        <v>Information Technology</v>
      </c>
      <c r="L603" t="str">
        <v>COMP005-30-04-2025</v>
      </c>
      <c r="M603" t="str">
        <f>_xlfn.CONCAT(A602," ",B602)</f>
        <v>45776 COMP005</v>
      </c>
    </row>
    <row r="604" spans="1:13" x14ac:dyDescent="0.3">
      <c r="A604" s="17">
        <v>45778</v>
      </c>
      <c r="B604" s="18" t="s">
        <v>22</v>
      </c>
      <c r="C604" s="18">
        <v>261.45</v>
      </c>
      <c r="D604" s="18">
        <v>266.19</v>
      </c>
      <c r="E604" s="18">
        <v>256.70999999999998</v>
      </c>
      <c r="F604" s="18">
        <v>261.86</v>
      </c>
      <c r="G604" s="18">
        <v>21538</v>
      </c>
      <c r="H604" s="18">
        <f t="shared" si="11"/>
        <v>-9.1652027801118567E-4</v>
      </c>
      <c r="I604" s="18">
        <f>PRODUCT(fact_daily_prices!$F604,fact_daily_prices!$G604)</f>
        <v>5639940.6800000006</v>
      </c>
      <c r="J604" s="18" t="str">
        <f>_xlfn.XLOOKUP(fact_daily_prices!$B604,dim_company[company_id],dim_company[sector_id])</f>
        <v>SEC01</v>
      </c>
      <c r="K604" s="19" t="str">
        <f>_xlfn.XLOOKUP(fact_daily_prices!$J604,dim_sector[sector_id],dim_sector[sector_name])</f>
        <v>Information Technology</v>
      </c>
      <c r="L604" t="str">
        <v>COMP005-01-05-2025</v>
      </c>
      <c r="M604" t="str">
        <f>_xlfn.CONCAT(A603," ",B603)</f>
        <v>45777 COMP005</v>
      </c>
    </row>
    <row r="605" spans="1:13" x14ac:dyDescent="0.3">
      <c r="A605" s="20">
        <v>45779</v>
      </c>
      <c r="B605" s="7" t="s">
        <v>22</v>
      </c>
      <c r="C605" s="7">
        <v>256.08999999999997</v>
      </c>
      <c r="D605" s="7">
        <v>259.52999999999997</v>
      </c>
      <c r="E605" s="7">
        <v>252.65</v>
      </c>
      <c r="F605" s="7">
        <v>254.63</v>
      </c>
      <c r="G605" s="7">
        <v>37575</v>
      </c>
      <c r="H605" s="7">
        <f t="shared" si="11"/>
        <v>-2.8394140517613863E-2</v>
      </c>
      <c r="I605" s="7">
        <f>PRODUCT(fact_daily_prices!$F605,fact_daily_prices!$G605)</f>
        <v>9567722.25</v>
      </c>
      <c r="J605" s="7" t="str">
        <f>_xlfn.XLOOKUP(fact_daily_prices!$B605,dim_company[company_id],dim_company[sector_id])</f>
        <v>SEC01</v>
      </c>
      <c r="K605" s="21" t="str">
        <f>_xlfn.XLOOKUP(fact_daily_prices!$J605,dim_sector[sector_id],dim_sector[sector_name])</f>
        <v>Information Technology</v>
      </c>
      <c r="L605" t="str">
        <v>COMP005-02-05-2025</v>
      </c>
      <c r="M605" t="str">
        <f>_xlfn.CONCAT(A604," ",B604)</f>
        <v>45778 COMP005</v>
      </c>
    </row>
    <row r="606" spans="1:13" x14ac:dyDescent="0.3">
      <c r="A606" s="17">
        <v>45782</v>
      </c>
      <c r="B606" s="18" t="s">
        <v>22</v>
      </c>
      <c r="C606" s="18">
        <v>252.59</v>
      </c>
      <c r="D606" s="18">
        <v>254.82</v>
      </c>
      <c r="E606" s="18">
        <v>250.36</v>
      </c>
      <c r="F606" s="18">
        <v>253.1</v>
      </c>
      <c r="G606" s="18">
        <v>4236</v>
      </c>
      <c r="H606" s="18">
        <f t="shared" si="11"/>
        <v>-6.0450414855788273E-3</v>
      </c>
      <c r="I606" s="18">
        <f>PRODUCT(fact_daily_prices!$F606,fact_daily_prices!$G606)</f>
        <v>1072131.5999999999</v>
      </c>
      <c r="J606" s="18" t="str">
        <f>_xlfn.XLOOKUP(fact_daily_prices!$B606,dim_company[company_id],dim_company[sector_id])</f>
        <v>SEC01</v>
      </c>
      <c r="K606" s="19" t="str">
        <f>_xlfn.XLOOKUP(fact_daily_prices!$J606,dim_sector[sector_id],dim_sector[sector_name])</f>
        <v>Information Technology</v>
      </c>
      <c r="L606" t="str">
        <v>COMP005-05-05-2025</v>
      </c>
      <c r="M606" t="str">
        <f>_xlfn.CONCAT(A605," ",B605)</f>
        <v>45779 COMP005</v>
      </c>
    </row>
    <row r="607" spans="1:13" x14ac:dyDescent="0.3">
      <c r="A607" s="20">
        <v>45783</v>
      </c>
      <c r="B607" s="7" t="s">
        <v>22</v>
      </c>
      <c r="C607" s="7">
        <v>256.20999999999998</v>
      </c>
      <c r="D607" s="7">
        <v>258.8</v>
      </c>
      <c r="E607" s="7">
        <v>253.62</v>
      </c>
      <c r="F607" s="7">
        <v>256.35000000000002</v>
      </c>
      <c r="G607" s="7">
        <v>9556</v>
      </c>
      <c r="H607" s="7">
        <f t="shared" si="11"/>
        <v>1.2677979325141519E-2</v>
      </c>
      <c r="I607" s="7">
        <f>PRODUCT(fact_daily_prices!$F607,fact_daily_prices!$G607)</f>
        <v>2449680.6</v>
      </c>
      <c r="J607" s="7" t="str">
        <f>_xlfn.XLOOKUP(fact_daily_prices!$B607,dim_company[company_id],dim_company[sector_id])</f>
        <v>SEC01</v>
      </c>
      <c r="K607" s="21" t="str">
        <f>_xlfn.XLOOKUP(fact_daily_prices!$J607,dim_sector[sector_id],dim_sector[sector_name])</f>
        <v>Information Technology</v>
      </c>
      <c r="L607" t="str">
        <v>COMP005-06-05-2025</v>
      </c>
      <c r="M607" t="str">
        <f>_xlfn.CONCAT(A606," ",B606)</f>
        <v>45782 COMP005</v>
      </c>
    </row>
    <row r="608" spans="1:13" x14ac:dyDescent="0.3">
      <c r="A608" s="17">
        <v>45784</v>
      </c>
      <c r="B608" s="18" t="s">
        <v>22</v>
      </c>
      <c r="C608" s="18">
        <v>257.99</v>
      </c>
      <c r="D608" s="18">
        <v>262.11</v>
      </c>
      <c r="E608" s="18">
        <v>253.87</v>
      </c>
      <c r="F608" s="18">
        <v>258.18</v>
      </c>
      <c r="G608" s="18">
        <v>47633</v>
      </c>
      <c r="H608" s="18">
        <f t="shared" si="11"/>
        <v>7.088078085056875E-3</v>
      </c>
      <c r="I608" s="18">
        <f>PRODUCT(fact_daily_prices!$F608,fact_daily_prices!$G608)</f>
        <v>12297887.939999999</v>
      </c>
      <c r="J608" s="18" t="str">
        <f>_xlfn.XLOOKUP(fact_daily_prices!$B608,dim_company[company_id],dim_company[sector_id])</f>
        <v>SEC01</v>
      </c>
      <c r="K608" s="19" t="str">
        <f>_xlfn.XLOOKUP(fact_daily_prices!$J608,dim_sector[sector_id],dim_sector[sector_name])</f>
        <v>Information Technology</v>
      </c>
      <c r="L608" t="str">
        <v>COMP005-07-05-2025</v>
      </c>
      <c r="M608" t="str">
        <f>_xlfn.CONCAT(A607," ",B607)</f>
        <v>45783 COMP005</v>
      </c>
    </row>
    <row r="609" spans="1:13" x14ac:dyDescent="0.3">
      <c r="A609" s="20">
        <v>45785</v>
      </c>
      <c r="B609" s="7" t="s">
        <v>22</v>
      </c>
      <c r="C609" s="7">
        <v>255.82</v>
      </c>
      <c r="D609" s="7">
        <v>259.75</v>
      </c>
      <c r="E609" s="7">
        <v>251.9</v>
      </c>
      <c r="F609" s="7">
        <v>255.52</v>
      </c>
      <c r="G609" s="7">
        <v>5857</v>
      </c>
      <c r="H609" s="7">
        <f t="shared" si="11"/>
        <v>-1.0410144020037556E-2</v>
      </c>
      <c r="I609" s="7">
        <f>PRODUCT(fact_daily_prices!$F609,fact_daily_prices!$G609)</f>
        <v>1496580.6400000001</v>
      </c>
      <c r="J609" s="7" t="str">
        <f>_xlfn.XLOOKUP(fact_daily_prices!$B609,dim_company[company_id],dim_company[sector_id])</f>
        <v>SEC01</v>
      </c>
      <c r="K609" s="21" t="str">
        <f>_xlfn.XLOOKUP(fact_daily_prices!$J609,dim_sector[sector_id],dim_sector[sector_name])</f>
        <v>Information Technology</v>
      </c>
      <c r="L609" t="str">
        <v>COMP005-08-05-2025</v>
      </c>
      <c r="M609" t="str">
        <f>_xlfn.CONCAT(A608," ",B608)</f>
        <v>45784 COMP005</v>
      </c>
    </row>
    <row r="610" spans="1:13" x14ac:dyDescent="0.3">
      <c r="A610" s="17">
        <v>45786</v>
      </c>
      <c r="B610" s="18" t="s">
        <v>22</v>
      </c>
      <c r="C610" s="18">
        <v>253.04</v>
      </c>
      <c r="D610" s="18">
        <v>254.06</v>
      </c>
      <c r="E610" s="18">
        <v>252.03</v>
      </c>
      <c r="F610" s="18">
        <v>253.77</v>
      </c>
      <c r="G610" s="18">
        <v>27132</v>
      </c>
      <c r="H610" s="18">
        <f t="shared" si="11"/>
        <v>-6.8960081963983129E-3</v>
      </c>
      <c r="I610" s="18">
        <f>PRODUCT(fact_daily_prices!$F610,fact_daily_prices!$G610)</f>
        <v>6885287.6400000006</v>
      </c>
      <c r="J610" s="18" t="str">
        <f>_xlfn.XLOOKUP(fact_daily_prices!$B610,dim_company[company_id],dim_company[sector_id])</f>
        <v>SEC01</v>
      </c>
      <c r="K610" s="19" t="str">
        <f>_xlfn.XLOOKUP(fact_daily_prices!$J610,dim_sector[sector_id],dim_sector[sector_name])</f>
        <v>Information Technology</v>
      </c>
      <c r="L610" t="str">
        <v>COMP005-09-05-2025</v>
      </c>
      <c r="M610" t="str">
        <f>_xlfn.CONCAT(A609," ",B609)</f>
        <v>45785 COMP005</v>
      </c>
    </row>
    <row r="611" spans="1:13" x14ac:dyDescent="0.3">
      <c r="A611" s="20">
        <v>45789</v>
      </c>
      <c r="B611" s="7" t="s">
        <v>22</v>
      </c>
      <c r="C611" s="7">
        <v>253.55</v>
      </c>
      <c r="D611" s="7">
        <v>257.39999999999998</v>
      </c>
      <c r="E611" s="7">
        <v>249.7</v>
      </c>
      <c r="F611" s="7">
        <v>252.52</v>
      </c>
      <c r="G611" s="7">
        <v>10714</v>
      </c>
      <c r="H611" s="7">
        <f t="shared" si="11"/>
        <v>-4.9501029621416125E-3</v>
      </c>
      <c r="I611" s="7">
        <f>PRODUCT(fact_daily_prices!$F611,fact_daily_prices!$G611)</f>
        <v>2705499.2800000003</v>
      </c>
      <c r="J611" s="7" t="str">
        <f>_xlfn.XLOOKUP(fact_daily_prices!$B611,dim_company[company_id],dim_company[sector_id])</f>
        <v>SEC01</v>
      </c>
      <c r="K611" s="21" t="str">
        <f>_xlfn.XLOOKUP(fact_daily_prices!$J611,dim_sector[sector_id],dim_sector[sector_name])</f>
        <v>Information Technology</v>
      </c>
      <c r="L611" t="str">
        <v>COMP005-12-05-2025</v>
      </c>
      <c r="M611" t="str">
        <f>_xlfn.CONCAT(A610," ",B610)</f>
        <v>45786 COMP005</v>
      </c>
    </row>
    <row r="612" spans="1:13" x14ac:dyDescent="0.3">
      <c r="A612" s="17">
        <v>45790</v>
      </c>
      <c r="B612" s="18" t="s">
        <v>22</v>
      </c>
      <c r="C612" s="18">
        <v>249.43</v>
      </c>
      <c r="D612" s="18">
        <v>251.31</v>
      </c>
      <c r="E612" s="18">
        <v>247.56</v>
      </c>
      <c r="F612" s="18">
        <v>250.48</v>
      </c>
      <c r="G612" s="18">
        <v>16996</v>
      </c>
      <c r="H612" s="18">
        <f t="shared" si="11"/>
        <v>-8.1443628233791934E-3</v>
      </c>
      <c r="I612" s="18">
        <f>PRODUCT(fact_daily_prices!$F612,fact_daily_prices!$G612)</f>
        <v>4257158.08</v>
      </c>
      <c r="J612" s="18" t="str">
        <f>_xlfn.XLOOKUP(fact_daily_prices!$B612,dim_company[company_id],dim_company[sector_id])</f>
        <v>SEC01</v>
      </c>
      <c r="K612" s="19" t="str">
        <f>_xlfn.XLOOKUP(fact_daily_prices!$J612,dim_sector[sector_id],dim_sector[sector_name])</f>
        <v>Information Technology</v>
      </c>
      <c r="L612" t="str">
        <v>COMP005-13-05-2025</v>
      </c>
      <c r="M612" t="str">
        <f>_xlfn.CONCAT(A611," ",B611)</f>
        <v>45789 COMP005</v>
      </c>
    </row>
    <row r="613" spans="1:13" x14ac:dyDescent="0.3">
      <c r="A613" s="20">
        <v>45791</v>
      </c>
      <c r="B613" s="7" t="s">
        <v>22</v>
      </c>
      <c r="C613" s="7">
        <v>243.77</v>
      </c>
      <c r="D613" s="7">
        <v>246.38</v>
      </c>
      <c r="E613" s="7">
        <v>241.15</v>
      </c>
      <c r="F613" s="7">
        <v>244.21</v>
      </c>
      <c r="G613" s="7">
        <v>27762</v>
      </c>
      <c r="H613" s="7">
        <f t="shared" si="11"/>
        <v>-2.5674624298759188E-2</v>
      </c>
      <c r="I613" s="7">
        <f>PRODUCT(fact_daily_prices!$F613,fact_daily_prices!$G613)</f>
        <v>6779758.0200000005</v>
      </c>
      <c r="J613" s="7" t="str">
        <f>_xlfn.XLOOKUP(fact_daily_prices!$B613,dim_company[company_id],dim_company[sector_id])</f>
        <v>SEC01</v>
      </c>
      <c r="K613" s="21" t="str">
        <f>_xlfn.XLOOKUP(fact_daily_prices!$J613,dim_sector[sector_id],dim_sector[sector_name])</f>
        <v>Information Technology</v>
      </c>
      <c r="L613" t="str">
        <v>COMP005-14-05-2025</v>
      </c>
      <c r="M613" t="str">
        <f>_xlfn.CONCAT(A612," ",B612)</f>
        <v>45790 COMP005</v>
      </c>
    </row>
    <row r="614" spans="1:13" x14ac:dyDescent="0.3">
      <c r="A614" s="17">
        <v>45792</v>
      </c>
      <c r="B614" s="18" t="s">
        <v>22</v>
      </c>
      <c r="C614" s="18">
        <v>245.21</v>
      </c>
      <c r="D614" s="18">
        <v>247.65</v>
      </c>
      <c r="E614" s="18">
        <v>242.77</v>
      </c>
      <c r="F614" s="18">
        <v>246.63</v>
      </c>
      <c r="G614" s="18">
        <v>20554</v>
      </c>
      <c r="H614" s="18">
        <f t="shared" si="11"/>
        <v>9.8122693913959679E-3</v>
      </c>
      <c r="I614" s="18">
        <f>PRODUCT(fact_daily_prices!$F614,fact_daily_prices!$G614)</f>
        <v>5069233.0199999996</v>
      </c>
      <c r="J614" s="18" t="str">
        <f>_xlfn.XLOOKUP(fact_daily_prices!$B614,dim_company[company_id],dim_company[sector_id])</f>
        <v>SEC01</v>
      </c>
      <c r="K614" s="19" t="str">
        <f>_xlfn.XLOOKUP(fact_daily_prices!$J614,dim_sector[sector_id],dim_sector[sector_name])</f>
        <v>Information Technology</v>
      </c>
      <c r="L614" t="str">
        <v>COMP005-15-05-2025</v>
      </c>
      <c r="M614" t="str">
        <f>_xlfn.CONCAT(A613," ",B613)</f>
        <v>45791 COMP005</v>
      </c>
    </row>
    <row r="615" spans="1:13" x14ac:dyDescent="0.3">
      <c r="A615" s="20">
        <v>45793</v>
      </c>
      <c r="B615" s="7" t="s">
        <v>22</v>
      </c>
      <c r="C615" s="7">
        <v>251.27</v>
      </c>
      <c r="D615" s="7">
        <v>255.04</v>
      </c>
      <c r="E615" s="7">
        <v>247.5</v>
      </c>
      <c r="F615" s="7">
        <v>250.63</v>
      </c>
      <c r="G615" s="7">
        <v>47840</v>
      </c>
      <c r="H615" s="7">
        <f t="shared" si="11"/>
        <v>1.5959781350995492E-2</v>
      </c>
      <c r="I615" s="7">
        <f>PRODUCT(fact_daily_prices!$F615,fact_daily_prices!$G615)</f>
        <v>11990139.199999999</v>
      </c>
      <c r="J615" s="7" t="str">
        <f>_xlfn.XLOOKUP(fact_daily_prices!$B615,dim_company[company_id],dim_company[sector_id])</f>
        <v>SEC01</v>
      </c>
      <c r="K615" s="21" t="str">
        <f>_xlfn.XLOOKUP(fact_daily_prices!$J615,dim_sector[sector_id],dim_sector[sector_name])</f>
        <v>Information Technology</v>
      </c>
      <c r="L615" t="str">
        <v>COMP005-16-05-2025</v>
      </c>
      <c r="M615" t="str">
        <f>_xlfn.CONCAT(A614," ",B614)</f>
        <v>45792 COMP005</v>
      </c>
    </row>
    <row r="616" spans="1:13" x14ac:dyDescent="0.3">
      <c r="A616" s="17">
        <v>45796</v>
      </c>
      <c r="B616" s="18" t="s">
        <v>22</v>
      </c>
      <c r="C616" s="18">
        <v>246.75</v>
      </c>
      <c r="D616" s="18">
        <v>249.84</v>
      </c>
      <c r="E616" s="18">
        <v>243.67</v>
      </c>
      <c r="F616" s="18">
        <v>245.94</v>
      </c>
      <c r="G616" s="18">
        <v>49980</v>
      </c>
      <c r="H616" s="18">
        <f t="shared" si="11"/>
        <v>-1.9069691794746678E-2</v>
      </c>
      <c r="I616" s="18">
        <f>PRODUCT(fact_daily_prices!$F616,fact_daily_prices!$G616)</f>
        <v>12292081.199999999</v>
      </c>
      <c r="J616" s="18" t="str">
        <f>_xlfn.XLOOKUP(fact_daily_prices!$B616,dim_company[company_id],dim_company[sector_id])</f>
        <v>SEC01</v>
      </c>
      <c r="K616" s="19" t="str">
        <f>_xlfn.XLOOKUP(fact_daily_prices!$J616,dim_sector[sector_id],dim_sector[sector_name])</f>
        <v>Information Technology</v>
      </c>
      <c r="L616" t="str">
        <v>COMP005-19-05-2025</v>
      </c>
      <c r="M616" t="str">
        <f>_xlfn.CONCAT(A615," ",B615)</f>
        <v>45793 COMP005</v>
      </c>
    </row>
    <row r="617" spans="1:13" x14ac:dyDescent="0.3">
      <c r="A617" s="20">
        <v>45797</v>
      </c>
      <c r="B617" s="7" t="s">
        <v>22</v>
      </c>
      <c r="C617" s="7">
        <v>248.12</v>
      </c>
      <c r="D617" s="7">
        <v>250.62</v>
      </c>
      <c r="E617" s="7">
        <v>245.62</v>
      </c>
      <c r="F617" s="7">
        <v>249.88</v>
      </c>
      <c r="G617" s="7">
        <v>36428</v>
      </c>
      <c r="H617" s="7">
        <f t="shared" si="11"/>
        <v>1.5767568432847757E-2</v>
      </c>
      <c r="I617" s="7">
        <f>PRODUCT(fact_daily_prices!$F617,fact_daily_prices!$G617)</f>
        <v>9102628.6400000006</v>
      </c>
      <c r="J617" s="7" t="str">
        <f>_xlfn.XLOOKUP(fact_daily_prices!$B617,dim_company[company_id],dim_company[sector_id])</f>
        <v>SEC01</v>
      </c>
      <c r="K617" s="21" t="str">
        <f>_xlfn.XLOOKUP(fact_daily_prices!$J617,dim_sector[sector_id],dim_sector[sector_name])</f>
        <v>Information Technology</v>
      </c>
      <c r="L617" t="str">
        <v>COMP005-20-05-2025</v>
      </c>
      <c r="M617" t="str">
        <f>_xlfn.CONCAT(A616," ",B616)</f>
        <v>45796 COMP005</v>
      </c>
    </row>
    <row r="618" spans="1:13" x14ac:dyDescent="0.3">
      <c r="A618" s="17">
        <v>45798</v>
      </c>
      <c r="B618" s="18" t="s">
        <v>22</v>
      </c>
      <c r="C618" s="18">
        <v>250.4</v>
      </c>
      <c r="D618" s="18">
        <v>252.33</v>
      </c>
      <c r="E618" s="18">
        <v>248.48</v>
      </c>
      <c r="F618" s="18">
        <v>249.62</v>
      </c>
      <c r="G618" s="18">
        <v>39975</v>
      </c>
      <c r="H618" s="18">
        <f t="shared" si="11"/>
        <v>-1.0415832064738038E-3</v>
      </c>
      <c r="I618" s="18">
        <f>PRODUCT(fact_daily_prices!$F618,fact_daily_prices!$G618)</f>
        <v>9978559.5</v>
      </c>
      <c r="J618" s="18" t="str">
        <f>_xlfn.XLOOKUP(fact_daily_prices!$B618,dim_company[company_id],dim_company[sector_id])</f>
        <v>SEC01</v>
      </c>
      <c r="K618" s="19" t="str">
        <f>_xlfn.XLOOKUP(fact_daily_prices!$J618,dim_sector[sector_id],dim_sector[sector_name])</f>
        <v>Information Technology</v>
      </c>
      <c r="L618" t="str">
        <v>COMP005-21-05-2025</v>
      </c>
      <c r="M618" t="str">
        <f>_xlfn.CONCAT(A617," ",B617)</f>
        <v>45797 COMP005</v>
      </c>
    </row>
    <row r="619" spans="1:13" x14ac:dyDescent="0.3">
      <c r="A619" s="20">
        <v>45799</v>
      </c>
      <c r="B619" s="7" t="s">
        <v>22</v>
      </c>
      <c r="C619" s="7">
        <v>253.54</v>
      </c>
      <c r="D619" s="7">
        <v>256.57</v>
      </c>
      <c r="E619" s="7">
        <v>250.52</v>
      </c>
      <c r="F619" s="7">
        <v>253.56</v>
      </c>
      <c r="G619" s="7">
        <v>27421</v>
      </c>
      <c r="H619" s="7">
        <f t="shared" si="11"/>
        <v>1.5538728506073504E-2</v>
      </c>
      <c r="I619" s="7">
        <f>PRODUCT(fact_daily_prices!$F619,fact_daily_prices!$G619)</f>
        <v>6952868.7599999998</v>
      </c>
      <c r="J619" s="7" t="str">
        <f>_xlfn.XLOOKUP(fact_daily_prices!$B619,dim_company[company_id],dim_company[sector_id])</f>
        <v>SEC01</v>
      </c>
      <c r="K619" s="21" t="str">
        <f>_xlfn.XLOOKUP(fact_daily_prices!$J619,dim_sector[sector_id],dim_sector[sector_name])</f>
        <v>Information Technology</v>
      </c>
      <c r="L619" t="str">
        <v>COMP005-22-05-2025</v>
      </c>
      <c r="M619" t="str">
        <f>_xlfn.CONCAT(A618," ",B618)</f>
        <v>45798 COMP005</v>
      </c>
    </row>
    <row r="620" spans="1:13" x14ac:dyDescent="0.3">
      <c r="A620" s="17">
        <v>45800</v>
      </c>
      <c r="B620" s="18" t="s">
        <v>22</v>
      </c>
      <c r="C620" s="18">
        <v>252.89</v>
      </c>
      <c r="D620" s="18">
        <v>256.45</v>
      </c>
      <c r="E620" s="18">
        <v>249.33</v>
      </c>
      <c r="F620" s="18">
        <v>253.74</v>
      </c>
      <c r="G620" s="18">
        <v>29308</v>
      </c>
      <c r="H620" s="18">
        <f t="shared" si="11"/>
        <v>7.0938756207143856E-4</v>
      </c>
      <c r="I620" s="18">
        <f>PRODUCT(fact_daily_prices!$F620,fact_daily_prices!$G620)</f>
        <v>7436611.9199999999</v>
      </c>
      <c r="J620" s="18" t="str">
        <f>_xlfn.XLOOKUP(fact_daily_prices!$B620,dim_company[company_id],dim_company[sector_id])</f>
        <v>SEC01</v>
      </c>
      <c r="K620" s="19" t="str">
        <f>_xlfn.XLOOKUP(fact_daily_prices!$J620,dim_sector[sector_id],dim_sector[sector_name])</f>
        <v>Information Technology</v>
      </c>
      <c r="L620" t="str">
        <v>COMP005-23-05-2025</v>
      </c>
      <c r="M620" t="str">
        <f>_xlfn.CONCAT(A619," ",B619)</f>
        <v>45799 COMP005</v>
      </c>
    </row>
    <row r="621" spans="1:13" x14ac:dyDescent="0.3">
      <c r="A621" s="20">
        <v>45803</v>
      </c>
      <c r="B621" s="7" t="s">
        <v>22</v>
      </c>
      <c r="C621" s="7">
        <v>254.74</v>
      </c>
      <c r="D621" s="7">
        <v>258.02999999999997</v>
      </c>
      <c r="E621" s="7">
        <v>251.44</v>
      </c>
      <c r="F621" s="7">
        <v>254.24</v>
      </c>
      <c r="G621" s="7">
        <v>8684</v>
      </c>
      <c r="H621" s="7">
        <f t="shared" si="11"/>
        <v>1.9666456891126493E-3</v>
      </c>
      <c r="I621" s="7">
        <f>PRODUCT(fact_daily_prices!$F621,fact_daily_prices!$G621)</f>
        <v>2207820.16</v>
      </c>
      <c r="J621" s="7" t="str">
        <f>_xlfn.XLOOKUP(fact_daily_prices!$B621,dim_company[company_id],dim_company[sector_id])</f>
        <v>SEC01</v>
      </c>
      <c r="K621" s="21" t="str">
        <f>_xlfn.XLOOKUP(fact_daily_prices!$J621,dim_sector[sector_id],dim_sector[sector_name])</f>
        <v>Information Technology</v>
      </c>
      <c r="L621" t="str">
        <v>COMP005-26-05-2025</v>
      </c>
      <c r="M621" t="str">
        <f>_xlfn.CONCAT(A620," ",B620)</f>
        <v>45800 COMP005</v>
      </c>
    </row>
    <row r="622" spans="1:13" x14ac:dyDescent="0.3">
      <c r="A622" s="17">
        <v>45804</v>
      </c>
      <c r="B622" s="18" t="s">
        <v>22</v>
      </c>
      <c r="C622" s="18">
        <v>256.82</v>
      </c>
      <c r="D622" s="18">
        <v>259.55</v>
      </c>
      <c r="E622" s="18">
        <v>254.08</v>
      </c>
      <c r="F622" s="18">
        <v>255.49</v>
      </c>
      <c r="G622" s="18">
        <v>1557</v>
      </c>
      <c r="H622" s="18">
        <f t="shared" si="11"/>
        <v>4.8925593956710631E-3</v>
      </c>
      <c r="I622" s="18">
        <f>PRODUCT(fact_daily_prices!$F622,fact_daily_prices!$G622)</f>
        <v>397797.93</v>
      </c>
      <c r="J622" s="18" t="str">
        <f>_xlfn.XLOOKUP(fact_daily_prices!$B622,dim_company[company_id],dim_company[sector_id])</f>
        <v>SEC01</v>
      </c>
      <c r="K622" s="19" t="str">
        <f>_xlfn.XLOOKUP(fact_daily_prices!$J622,dim_sector[sector_id],dim_sector[sector_name])</f>
        <v>Information Technology</v>
      </c>
      <c r="L622" t="str">
        <v>COMP005-27-05-2025</v>
      </c>
      <c r="M622" t="str">
        <f>_xlfn.CONCAT(A621," ",B621)</f>
        <v>45803 COMP005</v>
      </c>
    </row>
    <row r="623" spans="1:13" x14ac:dyDescent="0.3">
      <c r="A623" s="20">
        <v>45805</v>
      </c>
      <c r="B623" s="7" t="s">
        <v>22</v>
      </c>
      <c r="C623" s="7">
        <v>250.66</v>
      </c>
      <c r="D623" s="7">
        <v>253.2</v>
      </c>
      <c r="E623" s="7">
        <v>248.12</v>
      </c>
      <c r="F623" s="7">
        <v>253.02</v>
      </c>
      <c r="G623" s="7">
        <v>1882</v>
      </c>
      <c r="H623" s="7">
        <f t="shared" si="11"/>
        <v>-9.7620741443364117E-3</v>
      </c>
      <c r="I623" s="7">
        <f>PRODUCT(fact_daily_prices!$F623,fact_daily_prices!$G623)</f>
        <v>476183.64</v>
      </c>
      <c r="J623" s="7" t="str">
        <f>_xlfn.XLOOKUP(fact_daily_prices!$B623,dim_company[company_id],dim_company[sector_id])</f>
        <v>SEC01</v>
      </c>
      <c r="K623" s="21" t="str">
        <f>_xlfn.XLOOKUP(fact_daily_prices!$J623,dim_sector[sector_id],dim_sector[sector_name])</f>
        <v>Information Technology</v>
      </c>
      <c r="L623" t="str">
        <v>COMP005-28-05-2025</v>
      </c>
      <c r="M623" t="str">
        <f>_xlfn.CONCAT(A622," ",B622)</f>
        <v>45804 COMP005</v>
      </c>
    </row>
    <row r="624" spans="1:13" x14ac:dyDescent="0.3">
      <c r="A624" s="17">
        <v>45806</v>
      </c>
      <c r="B624" s="18" t="s">
        <v>22</v>
      </c>
      <c r="C624" s="18">
        <v>255.59</v>
      </c>
      <c r="D624" s="18">
        <v>259.3</v>
      </c>
      <c r="E624" s="18">
        <v>251.88</v>
      </c>
      <c r="F624" s="18">
        <v>256.92</v>
      </c>
      <c r="G624" s="18">
        <v>39635</v>
      </c>
      <c r="H624" s="18">
        <f t="shared" si="11"/>
        <v>1.5179822512844486E-2</v>
      </c>
      <c r="I624" s="18">
        <f>PRODUCT(fact_daily_prices!$F624,fact_daily_prices!$G624)</f>
        <v>10183024.200000001</v>
      </c>
      <c r="J624" s="18" t="str">
        <f>_xlfn.XLOOKUP(fact_daily_prices!$B624,dim_company[company_id],dim_company[sector_id])</f>
        <v>SEC01</v>
      </c>
      <c r="K624" s="19" t="str">
        <f>_xlfn.XLOOKUP(fact_daily_prices!$J624,dim_sector[sector_id],dim_sector[sector_name])</f>
        <v>Information Technology</v>
      </c>
      <c r="L624" t="str">
        <v>COMP005-29-05-2025</v>
      </c>
      <c r="M624" t="str">
        <f>_xlfn.CONCAT(A623," ",B623)</f>
        <v>45805 COMP005</v>
      </c>
    </row>
    <row r="625" spans="1:13" x14ac:dyDescent="0.3">
      <c r="A625" s="20">
        <v>45807</v>
      </c>
      <c r="B625" s="7" t="s">
        <v>22</v>
      </c>
      <c r="C625" s="7">
        <v>254.04</v>
      </c>
      <c r="D625" s="7">
        <v>257.2</v>
      </c>
      <c r="E625" s="7">
        <v>250.88</v>
      </c>
      <c r="F625" s="7">
        <v>253.38</v>
      </c>
      <c r="G625" s="7">
        <v>13982</v>
      </c>
      <c r="H625" s="7">
        <f t="shared" si="11"/>
        <v>-1.3971110584892338E-2</v>
      </c>
      <c r="I625" s="7">
        <f>PRODUCT(fact_daily_prices!$F625,fact_daily_prices!$G625)</f>
        <v>3542759.16</v>
      </c>
      <c r="J625" s="7" t="str">
        <f>_xlfn.XLOOKUP(fact_daily_prices!$B625,dim_company[company_id],dim_company[sector_id])</f>
        <v>SEC01</v>
      </c>
      <c r="K625" s="21" t="str">
        <f>_xlfn.XLOOKUP(fact_daily_prices!$J625,dim_sector[sector_id],dim_sector[sector_name])</f>
        <v>Information Technology</v>
      </c>
      <c r="L625" t="str">
        <v>COMP005-30-05-2025</v>
      </c>
      <c r="M625" t="str">
        <f>_xlfn.CONCAT(A624," ",B624)</f>
        <v>45806 COMP005</v>
      </c>
    </row>
    <row r="626" spans="1:13" x14ac:dyDescent="0.3">
      <c r="A626" s="17">
        <v>45810</v>
      </c>
      <c r="B626" s="18" t="s">
        <v>22</v>
      </c>
      <c r="C626" s="18">
        <v>252.38</v>
      </c>
      <c r="D626" s="18">
        <v>254.05</v>
      </c>
      <c r="E626" s="18">
        <v>250.72</v>
      </c>
      <c r="F626" s="18">
        <v>252.16</v>
      </c>
      <c r="G626" s="18">
        <v>29064</v>
      </c>
      <c r="H626" s="18">
        <f t="shared" si="11"/>
        <v>-4.8381979695431426E-3</v>
      </c>
      <c r="I626" s="18">
        <f>PRODUCT(fact_daily_prices!$F626,fact_daily_prices!$G626)</f>
        <v>7328778.2400000002</v>
      </c>
      <c r="J626" s="18" t="str">
        <f>_xlfn.XLOOKUP(fact_daily_prices!$B626,dim_company[company_id],dim_company[sector_id])</f>
        <v>SEC01</v>
      </c>
      <c r="K626" s="19" t="str">
        <f>_xlfn.XLOOKUP(fact_daily_prices!$J626,dim_sector[sector_id],dim_sector[sector_name])</f>
        <v>Information Technology</v>
      </c>
      <c r="L626" t="str">
        <v>COMP005-02-06-2025</v>
      </c>
      <c r="M626" t="str">
        <f>_xlfn.CONCAT(A625," ",B625)</f>
        <v>45807 COMP005</v>
      </c>
    </row>
    <row r="627" spans="1:13" x14ac:dyDescent="0.3">
      <c r="A627" s="20">
        <v>45811</v>
      </c>
      <c r="B627" s="7" t="s">
        <v>22</v>
      </c>
      <c r="C627" s="7">
        <v>254.2</v>
      </c>
      <c r="D627" s="7">
        <v>256.75</v>
      </c>
      <c r="E627" s="7">
        <v>251.65</v>
      </c>
      <c r="F627" s="7">
        <v>253.89</v>
      </c>
      <c r="G627" s="7">
        <v>13991</v>
      </c>
      <c r="H627" s="7">
        <f t="shared" si="11"/>
        <v>6.8139745559099999E-3</v>
      </c>
      <c r="I627" s="7">
        <f>PRODUCT(fact_daily_prices!$F627,fact_daily_prices!$G627)</f>
        <v>3552174.9899999998</v>
      </c>
      <c r="J627" s="7" t="str">
        <f>_xlfn.XLOOKUP(fact_daily_prices!$B627,dim_company[company_id],dim_company[sector_id])</f>
        <v>SEC01</v>
      </c>
      <c r="K627" s="21" t="str">
        <f>_xlfn.XLOOKUP(fact_daily_prices!$J627,dim_sector[sector_id],dim_sector[sector_name])</f>
        <v>Information Technology</v>
      </c>
      <c r="L627" t="str">
        <v>COMP005-03-06-2025</v>
      </c>
      <c r="M627" t="str">
        <f>_xlfn.CONCAT(A626," ",B626)</f>
        <v>45810 COMP005</v>
      </c>
    </row>
    <row r="628" spans="1:13" x14ac:dyDescent="0.3">
      <c r="A628" s="17">
        <v>45812</v>
      </c>
      <c r="B628" s="18" t="s">
        <v>22</v>
      </c>
      <c r="C628" s="18">
        <v>252.11</v>
      </c>
      <c r="D628" s="18">
        <v>254.81</v>
      </c>
      <c r="E628" s="18">
        <v>249.41</v>
      </c>
      <c r="F628" s="18">
        <v>252.32</v>
      </c>
      <c r="G628" s="18">
        <v>31386</v>
      </c>
      <c r="H628" s="18">
        <f t="shared" si="11"/>
        <v>-6.2222574508560289E-3</v>
      </c>
      <c r="I628" s="18">
        <f>PRODUCT(fact_daily_prices!$F628,fact_daily_prices!$G628)</f>
        <v>7919315.5199999996</v>
      </c>
      <c r="J628" s="18" t="str">
        <f>_xlfn.XLOOKUP(fact_daily_prices!$B628,dim_company[company_id],dim_company[sector_id])</f>
        <v>SEC01</v>
      </c>
      <c r="K628" s="19" t="str">
        <f>_xlfn.XLOOKUP(fact_daily_prices!$J628,dim_sector[sector_id],dim_sector[sector_name])</f>
        <v>Information Technology</v>
      </c>
      <c r="L628" t="str">
        <v>COMP005-04-06-2025</v>
      </c>
      <c r="M628" t="str">
        <f>_xlfn.CONCAT(A627," ",B627)</f>
        <v>45811 COMP005</v>
      </c>
    </row>
    <row r="629" spans="1:13" x14ac:dyDescent="0.3">
      <c r="A629" s="20">
        <v>45813</v>
      </c>
      <c r="B629" s="7" t="s">
        <v>22</v>
      </c>
      <c r="C629" s="7">
        <v>255.99</v>
      </c>
      <c r="D629" s="7">
        <v>259.43</v>
      </c>
      <c r="E629" s="7">
        <v>252.55</v>
      </c>
      <c r="F629" s="7">
        <v>254.87</v>
      </c>
      <c r="G629" s="7">
        <v>22083</v>
      </c>
      <c r="H629" s="7">
        <f t="shared" si="11"/>
        <v>1.0005100639541771E-2</v>
      </c>
      <c r="I629" s="7">
        <f>PRODUCT(fact_daily_prices!$F629,fact_daily_prices!$G629)</f>
        <v>5628294.21</v>
      </c>
      <c r="J629" s="7" t="str">
        <f>_xlfn.XLOOKUP(fact_daily_prices!$B629,dim_company[company_id],dim_company[sector_id])</f>
        <v>SEC01</v>
      </c>
      <c r="K629" s="21" t="str">
        <f>_xlfn.XLOOKUP(fact_daily_prices!$J629,dim_sector[sector_id],dim_sector[sector_name])</f>
        <v>Information Technology</v>
      </c>
      <c r="L629" t="str">
        <v>COMP005-05-06-2025</v>
      </c>
      <c r="M629" t="str">
        <f>_xlfn.CONCAT(A628," ",B628)</f>
        <v>45812 COMP005</v>
      </c>
    </row>
    <row r="630" spans="1:13" x14ac:dyDescent="0.3">
      <c r="A630" s="17">
        <v>45814</v>
      </c>
      <c r="B630" s="18" t="s">
        <v>22</v>
      </c>
      <c r="C630" s="18">
        <v>259.55</v>
      </c>
      <c r="D630" s="18">
        <v>263.68</v>
      </c>
      <c r="E630" s="18">
        <v>255.42</v>
      </c>
      <c r="F630" s="18">
        <v>259.39</v>
      </c>
      <c r="G630" s="18">
        <v>42862</v>
      </c>
      <c r="H630" s="18">
        <f t="shared" si="11"/>
        <v>1.7425498284436493E-2</v>
      </c>
      <c r="I630" s="18">
        <f>PRODUCT(fact_daily_prices!$F630,fact_daily_prices!$G630)</f>
        <v>11117974.18</v>
      </c>
      <c r="J630" s="18" t="str">
        <f>_xlfn.XLOOKUP(fact_daily_prices!$B630,dim_company[company_id],dim_company[sector_id])</f>
        <v>SEC01</v>
      </c>
      <c r="K630" s="19" t="str">
        <f>_xlfn.XLOOKUP(fact_daily_prices!$J630,dim_sector[sector_id],dim_sector[sector_name])</f>
        <v>Information Technology</v>
      </c>
      <c r="L630" t="str">
        <v>COMP005-06-06-2025</v>
      </c>
      <c r="M630" t="str">
        <f>_xlfn.CONCAT(A629," ",B629)</f>
        <v>45813 COMP005</v>
      </c>
    </row>
    <row r="631" spans="1:13" x14ac:dyDescent="0.3">
      <c r="A631" s="20">
        <v>45817</v>
      </c>
      <c r="B631" s="7" t="s">
        <v>22</v>
      </c>
      <c r="C631" s="7">
        <v>264.77</v>
      </c>
      <c r="D631" s="7">
        <v>267.8</v>
      </c>
      <c r="E631" s="7">
        <v>261.73</v>
      </c>
      <c r="F631" s="7">
        <v>262.77999999999997</v>
      </c>
      <c r="G631" s="7">
        <v>49456</v>
      </c>
      <c r="H631" s="7">
        <f t="shared" si="11"/>
        <v>1.2900525154121267E-2</v>
      </c>
      <c r="I631" s="7">
        <f>PRODUCT(fact_daily_prices!$F631,fact_daily_prices!$G631)</f>
        <v>12996047.679999998</v>
      </c>
      <c r="J631" s="7" t="str">
        <f>_xlfn.XLOOKUP(fact_daily_prices!$B631,dim_company[company_id],dim_company[sector_id])</f>
        <v>SEC01</v>
      </c>
      <c r="K631" s="21" t="str">
        <f>_xlfn.XLOOKUP(fact_daily_prices!$J631,dim_sector[sector_id],dim_sector[sector_name])</f>
        <v>Information Technology</v>
      </c>
      <c r="L631" t="str">
        <v>COMP005-09-06-2025</v>
      </c>
      <c r="M631" t="str">
        <f>_xlfn.CONCAT(A630," ",B630)</f>
        <v>45814 COMP005</v>
      </c>
    </row>
    <row r="632" spans="1:13" x14ac:dyDescent="0.3">
      <c r="A632" s="17">
        <v>45818</v>
      </c>
      <c r="B632" s="18" t="s">
        <v>22</v>
      </c>
      <c r="C632" s="18">
        <v>256.64999999999998</v>
      </c>
      <c r="D632" s="18">
        <v>256.81</v>
      </c>
      <c r="E632" s="18">
        <v>256.49</v>
      </c>
      <c r="F632" s="18">
        <v>256.51</v>
      </c>
      <c r="G632" s="18">
        <v>3384</v>
      </c>
      <c r="H632" s="18">
        <f t="shared" si="11"/>
        <v>-2.4443491481813504E-2</v>
      </c>
      <c r="I632" s="18">
        <f>PRODUCT(fact_daily_prices!$F632,fact_daily_prices!$G632)</f>
        <v>868029.84</v>
      </c>
      <c r="J632" s="18" t="str">
        <f>_xlfn.XLOOKUP(fact_daily_prices!$B632,dim_company[company_id],dim_company[sector_id])</f>
        <v>SEC01</v>
      </c>
      <c r="K632" s="19" t="str">
        <f>_xlfn.XLOOKUP(fact_daily_prices!$J632,dim_sector[sector_id],dim_sector[sector_name])</f>
        <v>Information Technology</v>
      </c>
      <c r="L632" t="str">
        <v>COMP005-10-06-2025</v>
      </c>
      <c r="M632" t="str">
        <f>_xlfn.CONCAT(A631," ",B631)</f>
        <v>45817 COMP005</v>
      </c>
    </row>
    <row r="633" spans="1:13" x14ac:dyDescent="0.3">
      <c r="A633" s="20">
        <v>45819</v>
      </c>
      <c r="B633" s="7" t="s">
        <v>22</v>
      </c>
      <c r="C633" s="7">
        <v>256.86</v>
      </c>
      <c r="D633" s="7">
        <v>261.33</v>
      </c>
      <c r="E633" s="7">
        <v>252.39</v>
      </c>
      <c r="F633" s="7">
        <v>256.98</v>
      </c>
      <c r="G633" s="7">
        <v>15482</v>
      </c>
      <c r="H633" s="7">
        <f t="shared" si="11"/>
        <v>1.8289361039770693E-3</v>
      </c>
      <c r="I633" s="7">
        <f>PRODUCT(fact_daily_prices!$F633,fact_daily_prices!$G633)</f>
        <v>3978564.3600000003</v>
      </c>
      <c r="J633" s="7" t="str">
        <f>_xlfn.XLOOKUP(fact_daily_prices!$B633,dim_company[company_id],dim_company[sector_id])</f>
        <v>SEC01</v>
      </c>
      <c r="K633" s="21" t="str">
        <f>_xlfn.XLOOKUP(fact_daily_prices!$J633,dim_sector[sector_id],dim_sector[sector_name])</f>
        <v>Information Technology</v>
      </c>
      <c r="L633" t="str">
        <v>COMP005-11-06-2025</v>
      </c>
      <c r="M633" t="str">
        <f>_xlfn.CONCAT(A632," ",B632)</f>
        <v>45818 COMP005</v>
      </c>
    </row>
    <row r="634" spans="1:13" x14ac:dyDescent="0.3">
      <c r="A634" s="17">
        <v>45820</v>
      </c>
      <c r="B634" s="18" t="s">
        <v>22</v>
      </c>
      <c r="C634" s="18">
        <v>260.54000000000002</v>
      </c>
      <c r="D634" s="18">
        <v>262.02</v>
      </c>
      <c r="E634" s="18">
        <v>259.06</v>
      </c>
      <c r="F634" s="18">
        <v>260.39</v>
      </c>
      <c r="G634" s="18">
        <v>47092</v>
      </c>
      <c r="H634" s="18">
        <f t="shared" si="11"/>
        <v>1.3095741003878676E-2</v>
      </c>
      <c r="I634" s="18">
        <f>PRODUCT(fact_daily_prices!$F634,fact_daily_prices!$G634)</f>
        <v>12262285.879999999</v>
      </c>
      <c r="J634" s="18" t="str">
        <f>_xlfn.XLOOKUP(fact_daily_prices!$B634,dim_company[company_id],dim_company[sector_id])</f>
        <v>SEC01</v>
      </c>
      <c r="K634" s="19" t="str">
        <f>_xlfn.XLOOKUP(fact_daily_prices!$J634,dim_sector[sector_id],dim_sector[sector_name])</f>
        <v>Information Technology</v>
      </c>
      <c r="L634" t="str">
        <v>COMP005-12-06-2025</v>
      </c>
      <c r="M634" t="str">
        <f>_xlfn.CONCAT(A633," ",B633)</f>
        <v>45819 COMP005</v>
      </c>
    </row>
    <row r="635" spans="1:13" x14ac:dyDescent="0.3">
      <c r="A635" s="20">
        <v>45821</v>
      </c>
      <c r="B635" s="7" t="s">
        <v>22</v>
      </c>
      <c r="C635" s="7">
        <v>258.08999999999997</v>
      </c>
      <c r="D635" s="7">
        <v>261.14999999999998</v>
      </c>
      <c r="E635" s="7">
        <v>255.04</v>
      </c>
      <c r="F635" s="7">
        <v>256.17</v>
      </c>
      <c r="G635" s="7">
        <v>25566</v>
      </c>
      <c r="H635" s="7">
        <f t="shared" si="11"/>
        <v>-1.6473435609165671E-2</v>
      </c>
      <c r="I635" s="7">
        <f>PRODUCT(fact_daily_prices!$F635,fact_daily_prices!$G635)</f>
        <v>6549242.2200000007</v>
      </c>
      <c r="J635" s="7" t="str">
        <f>_xlfn.XLOOKUP(fact_daily_prices!$B635,dim_company[company_id],dim_company[sector_id])</f>
        <v>SEC01</v>
      </c>
      <c r="K635" s="21" t="str">
        <f>_xlfn.XLOOKUP(fact_daily_prices!$J635,dim_sector[sector_id],dim_sector[sector_name])</f>
        <v>Information Technology</v>
      </c>
      <c r="L635" t="str">
        <v>COMP005-13-06-2025</v>
      </c>
      <c r="M635" t="str">
        <f>_xlfn.CONCAT(A634," ",B634)</f>
        <v>45820 COMP005</v>
      </c>
    </row>
    <row r="636" spans="1:13" x14ac:dyDescent="0.3">
      <c r="A636" s="17">
        <v>45824</v>
      </c>
      <c r="B636" s="18" t="s">
        <v>22</v>
      </c>
      <c r="C636" s="18">
        <v>257.39</v>
      </c>
      <c r="D636" s="18">
        <v>258.67</v>
      </c>
      <c r="E636" s="18">
        <v>256.11</v>
      </c>
      <c r="F636" s="18">
        <v>258.58</v>
      </c>
      <c r="G636" s="18">
        <v>37188</v>
      </c>
      <c r="H636" s="18">
        <f t="shared" si="11"/>
        <v>9.320133034263935E-3</v>
      </c>
      <c r="I636" s="18">
        <f>PRODUCT(fact_daily_prices!$F636,fact_daily_prices!$G636)</f>
        <v>9616073.0399999991</v>
      </c>
      <c r="J636" s="18" t="str">
        <f>_xlfn.XLOOKUP(fact_daily_prices!$B636,dim_company[company_id],dim_company[sector_id])</f>
        <v>SEC01</v>
      </c>
      <c r="K636" s="19" t="str">
        <f>_xlfn.XLOOKUP(fact_daily_prices!$J636,dim_sector[sector_id],dim_sector[sector_name])</f>
        <v>Information Technology</v>
      </c>
      <c r="L636" t="str">
        <v>COMP005-16-06-2025</v>
      </c>
      <c r="M636" t="str">
        <f>_xlfn.CONCAT(A635," ",B635)</f>
        <v>45821 COMP005</v>
      </c>
    </row>
    <row r="637" spans="1:13" x14ac:dyDescent="0.3">
      <c r="A637" s="20">
        <v>45825</v>
      </c>
      <c r="B637" s="7" t="s">
        <v>22</v>
      </c>
      <c r="C637" s="7">
        <v>258.63</v>
      </c>
      <c r="D637" s="7">
        <v>260.98</v>
      </c>
      <c r="E637" s="7">
        <v>256.27</v>
      </c>
      <c r="F637" s="7">
        <v>260.82</v>
      </c>
      <c r="G637" s="7">
        <v>20337</v>
      </c>
      <c r="H637" s="7">
        <f t="shared" si="11"/>
        <v>8.5882984433709418E-3</v>
      </c>
      <c r="I637" s="7">
        <f>PRODUCT(fact_daily_prices!$F637,fact_daily_prices!$G637)</f>
        <v>5304296.34</v>
      </c>
      <c r="J637" s="7" t="str">
        <f>_xlfn.XLOOKUP(fact_daily_prices!$B637,dim_company[company_id],dim_company[sector_id])</f>
        <v>SEC01</v>
      </c>
      <c r="K637" s="21" t="str">
        <f>_xlfn.XLOOKUP(fact_daily_prices!$J637,dim_sector[sector_id],dim_sector[sector_name])</f>
        <v>Information Technology</v>
      </c>
      <c r="L637" t="str">
        <v>COMP005-17-06-2025</v>
      </c>
      <c r="M637" t="str">
        <f>_xlfn.CONCAT(A636," ",B636)</f>
        <v>45824 COMP005</v>
      </c>
    </row>
    <row r="638" spans="1:13" x14ac:dyDescent="0.3">
      <c r="A638" s="17">
        <v>45826</v>
      </c>
      <c r="B638" s="18" t="s">
        <v>22</v>
      </c>
      <c r="C638" s="18">
        <v>256.51</v>
      </c>
      <c r="D638" s="18">
        <v>257.62</v>
      </c>
      <c r="E638" s="18">
        <v>255.39</v>
      </c>
      <c r="F638" s="18">
        <v>256.93</v>
      </c>
      <c r="G638" s="18">
        <v>18611</v>
      </c>
      <c r="H638" s="18">
        <f t="shared" si="11"/>
        <v>-1.5140310590433139E-2</v>
      </c>
      <c r="I638" s="18">
        <f>PRODUCT(fact_daily_prices!$F638,fact_daily_prices!$G638)</f>
        <v>4781724.2300000004</v>
      </c>
      <c r="J638" s="18" t="str">
        <f>_xlfn.XLOOKUP(fact_daily_prices!$B638,dim_company[company_id],dim_company[sector_id])</f>
        <v>SEC01</v>
      </c>
      <c r="K638" s="19" t="str">
        <f>_xlfn.XLOOKUP(fact_daily_prices!$J638,dim_sector[sector_id],dim_sector[sector_name])</f>
        <v>Information Technology</v>
      </c>
      <c r="L638" t="str">
        <v>COMP005-18-06-2025</v>
      </c>
      <c r="M638" t="str">
        <f>_xlfn.CONCAT(A637," ",B637)</f>
        <v>45825 COMP005</v>
      </c>
    </row>
    <row r="639" spans="1:13" x14ac:dyDescent="0.3">
      <c r="A639" s="20">
        <v>45827</v>
      </c>
      <c r="B639" s="7" t="s">
        <v>22</v>
      </c>
      <c r="C639" s="7">
        <v>261.07</v>
      </c>
      <c r="D639" s="7">
        <v>263.88</v>
      </c>
      <c r="E639" s="7">
        <v>258.26</v>
      </c>
      <c r="F639" s="7">
        <v>259.70999999999998</v>
      </c>
      <c r="G639" s="7">
        <v>21536</v>
      </c>
      <c r="H639" s="7">
        <f t="shared" si="11"/>
        <v>1.0704247044780613E-2</v>
      </c>
      <c r="I639" s="7">
        <f>PRODUCT(fact_daily_prices!$F639,fact_daily_prices!$G639)</f>
        <v>5593114.5599999996</v>
      </c>
      <c r="J639" s="7" t="str">
        <f>_xlfn.XLOOKUP(fact_daily_prices!$B639,dim_company[company_id],dim_company[sector_id])</f>
        <v>SEC01</v>
      </c>
      <c r="K639" s="21" t="str">
        <f>_xlfn.XLOOKUP(fact_daily_prices!$J639,dim_sector[sector_id],dim_sector[sector_name])</f>
        <v>Information Technology</v>
      </c>
      <c r="L639" t="str">
        <v>COMP005-19-06-2025</v>
      </c>
      <c r="M639" t="str">
        <f>_xlfn.CONCAT(A638," ",B638)</f>
        <v>45826 COMP005</v>
      </c>
    </row>
    <row r="640" spans="1:13" x14ac:dyDescent="0.3">
      <c r="A640" s="17">
        <v>45828</v>
      </c>
      <c r="B640" s="18" t="s">
        <v>22</v>
      </c>
      <c r="C640" s="18">
        <v>260.14999999999998</v>
      </c>
      <c r="D640" s="18">
        <v>264.8</v>
      </c>
      <c r="E640" s="18">
        <v>255.5</v>
      </c>
      <c r="F640" s="18">
        <v>260.66000000000003</v>
      </c>
      <c r="G640" s="18">
        <v>11503</v>
      </c>
      <c r="H640" s="18">
        <f t="shared" si="11"/>
        <v>3.64459449090787E-3</v>
      </c>
      <c r="I640" s="18">
        <f>PRODUCT(fact_daily_prices!$F640,fact_daily_prices!$G640)</f>
        <v>2998371.9800000004</v>
      </c>
      <c r="J640" s="18" t="str">
        <f>_xlfn.XLOOKUP(fact_daily_prices!$B640,dim_company[company_id],dim_company[sector_id])</f>
        <v>SEC01</v>
      </c>
      <c r="K640" s="19" t="str">
        <f>_xlfn.XLOOKUP(fact_daily_prices!$J640,dim_sector[sector_id],dim_sector[sector_name])</f>
        <v>Information Technology</v>
      </c>
      <c r="L640" t="str">
        <v>COMP005-20-06-2025</v>
      </c>
      <c r="M640" t="str">
        <f>_xlfn.CONCAT(A639," ",B639)</f>
        <v>45827 COMP005</v>
      </c>
    </row>
    <row r="641" spans="1:13" x14ac:dyDescent="0.3">
      <c r="A641" s="20">
        <v>45831</v>
      </c>
      <c r="B641" s="7" t="s">
        <v>22</v>
      </c>
      <c r="C641" s="7">
        <v>265.25</v>
      </c>
      <c r="D641" s="7">
        <v>268.10000000000002</v>
      </c>
      <c r="E641" s="7">
        <v>262.39999999999998</v>
      </c>
      <c r="F641" s="7">
        <v>262.87</v>
      </c>
      <c r="G641" s="7">
        <v>11886</v>
      </c>
      <c r="H641" s="7">
        <f t="shared" si="11"/>
        <v>8.4071974740365183E-3</v>
      </c>
      <c r="I641" s="7">
        <f>PRODUCT(fact_daily_prices!$F641,fact_daily_prices!$G641)</f>
        <v>3124472.82</v>
      </c>
      <c r="J641" s="7" t="str">
        <f>_xlfn.XLOOKUP(fact_daily_prices!$B641,dim_company[company_id],dim_company[sector_id])</f>
        <v>SEC01</v>
      </c>
      <c r="K641" s="21" t="str">
        <f>_xlfn.XLOOKUP(fact_daily_prices!$J641,dim_sector[sector_id],dim_sector[sector_name])</f>
        <v>Information Technology</v>
      </c>
      <c r="L641" t="str">
        <v>COMP005-23-06-2025</v>
      </c>
      <c r="M641" t="str">
        <f>_xlfn.CONCAT(A640," ",B640)</f>
        <v>45828 COMP005</v>
      </c>
    </row>
    <row r="642" spans="1:13" x14ac:dyDescent="0.3">
      <c r="A642" s="17">
        <v>45832</v>
      </c>
      <c r="B642" s="18" t="s">
        <v>22</v>
      </c>
      <c r="C642" s="18">
        <v>258.98</v>
      </c>
      <c r="D642" s="18">
        <v>259.98</v>
      </c>
      <c r="E642" s="18">
        <v>257.97000000000003</v>
      </c>
      <c r="F642" s="18">
        <v>259.75</v>
      </c>
      <c r="G642" s="18">
        <v>10764</v>
      </c>
      <c r="H642" s="18">
        <f t="shared" si="11"/>
        <v>-1.2011549566891259E-2</v>
      </c>
      <c r="I642" s="18">
        <f>PRODUCT(fact_daily_prices!$F642,fact_daily_prices!$G642)</f>
        <v>2795949</v>
      </c>
      <c r="J642" s="18" t="str">
        <f>_xlfn.XLOOKUP(fact_daily_prices!$B642,dim_company[company_id],dim_company[sector_id])</f>
        <v>SEC01</v>
      </c>
      <c r="K642" s="19" t="str">
        <f>_xlfn.XLOOKUP(fact_daily_prices!$J642,dim_sector[sector_id],dim_sector[sector_name])</f>
        <v>Information Technology</v>
      </c>
      <c r="L642" t="str">
        <v>COMP005-24-06-2025</v>
      </c>
      <c r="M642" t="str">
        <f>_xlfn.CONCAT(A641," ",B641)</f>
        <v>45831 COMP005</v>
      </c>
    </row>
    <row r="643" spans="1:13" x14ac:dyDescent="0.3">
      <c r="A643" s="20">
        <v>45833</v>
      </c>
      <c r="B643" s="7" t="s">
        <v>22</v>
      </c>
      <c r="C643" s="7">
        <v>261.86</v>
      </c>
      <c r="D643" s="7">
        <v>264.16000000000003</v>
      </c>
      <c r="E643" s="7">
        <v>259.56</v>
      </c>
      <c r="F643" s="7">
        <v>260.3</v>
      </c>
      <c r="G643" s="7">
        <v>43727</v>
      </c>
      <c r="H643" s="7">
        <f t="shared" si="11"/>
        <v>2.112946600076878E-3</v>
      </c>
      <c r="I643" s="7">
        <f>PRODUCT(fact_daily_prices!$F643,fact_daily_prices!$G643)</f>
        <v>11382138.1</v>
      </c>
      <c r="J643" s="7" t="str">
        <f>_xlfn.XLOOKUP(fact_daily_prices!$B643,dim_company[company_id],dim_company[sector_id])</f>
        <v>SEC01</v>
      </c>
      <c r="K643" s="21" t="str">
        <f>_xlfn.XLOOKUP(fact_daily_prices!$J643,dim_sector[sector_id],dim_sector[sector_name])</f>
        <v>Information Technology</v>
      </c>
      <c r="L643" t="str">
        <v>COMP005-25-06-2025</v>
      </c>
      <c r="M643" t="str">
        <f>_xlfn.CONCAT(A642," ",B642)</f>
        <v>45832 COMP005</v>
      </c>
    </row>
    <row r="644" spans="1:13" x14ac:dyDescent="0.3">
      <c r="A644" s="17">
        <v>45834</v>
      </c>
      <c r="B644" s="18" t="s">
        <v>22</v>
      </c>
      <c r="C644" s="18">
        <v>255.13</v>
      </c>
      <c r="D644" s="18">
        <v>259.61</v>
      </c>
      <c r="E644" s="18">
        <v>250.64</v>
      </c>
      <c r="F644" s="18">
        <v>254.83</v>
      </c>
      <c r="G644" s="18">
        <v>42160</v>
      </c>
      <c r="H644" s="18">
        <f t="shared" ref="H644:H707" si="12">(F644-F643)/F644</f>
        <v>-2.1465290585880779E-2</v>
      </c>
      <c r="I644" s="18">
        <f>PRODUCT(fact_daily_prices!$F644,fact_daily_prices!$G644)</f>
        <v>10743632.800000001</v>
      </c>
      <c r="J644" s="18" t="str">
        <f>_xlfn.XLOOKUP(fact_daily_prices!$B644,dim_company[company_id],dim_company[sector_id])</f>
        <v>SEC01</v>
      </c>
      <c r="K644" s="19" t="str">
        <f>_xlfn.XLOOKUP(fact_daily_prices!$J644,dim_sector[sector_id],dim_sector[sector_name])</f>
        <v>Information Technology</v>
      </c>
      <c r="L644" t="str">
        <v>COMP005-26-06-2025</v>
      </c>
      <c r="M644" t="str">
        <f>_xlfn.CONCAT(A643," ",B643)</f>
        <v>45833 COMP005</v>
      </c>
    </row>
    <row r="645" spans="1:13" x14ac:dyDescent="0.3">
      <c r="A645" s="20">
        <v>45835</v>
      </c>
      <c r="B645" s="7" t="s">
        <v>22</v>
      </c>
      <c r="C645" s="7">
        <v>247.49</v>
      </c>
      <c r="D645" s="7">
        <v>251.48</v>
      </c>
      <c r="E645" s="7">
        <v>243.5</v>
      </c>
      <c r="F645" s="7">
        <v>247.69</v>
      </c>
      <c r="G645" s="7">
        <v>11433</v>
      </c>
      <c r="H645" s="7">
        <f t="shared" si="12"/>
        <v>-2.8826355525051535E-2</v>
      </c>
      <c r="I645" s="7">
        <f>PRODUCT(fact_daily_prices!$F645,fact_daily_prices!$G645)</f>
        <v>2831839.77</v>
      </c>
      <c r="J645" s="7" t="str">
        <f>_xlfn.XLOOKUP(fact_daily_prices!$B645,dim_company[company_id],dim_company[sector_id])</f>
        <v>SEC01</v>
      </c>
      <c r="K645" s="21" t="str">
        <f>_xlfn.XLOOKUP(fact_daily_prices!$J645,dim_sector[sector_id],dim_sector[sector_name])</f>
        <v>Information Technology</v>
      </c>
      <c r="L645" t="str">
        <v>COMP005-27-06-2025</v>
      </c>
      <c r="M645" t="str">
        <f>_xlfn.CONCAT(A644," ",B644)</f>
        <v>45834 COMP005</v>
      </c>
    </row>
    <row r="646" spans="1:13" x14ac:dyDescent="0.3">
      <c r="A646" s="17">
        <v>45838</v>
      </c>
      <c r="B646" s="18" t="s">
        <v>22</v>
      </c>
      <c r="C646" s="18">
        <v>247.45</v>
      </c>
      <c r="D646" s="18">
        <v>248.7</v>
      </c>
      <c r="E646" s="18">
        <v>246.2</v>
      </c>
      <c r="F646" s="18">
        <v>248.18</v>
      </c>
      <c r="G646" s="18">
        <v>22281</v>
      </c>
      <c r="H646" s="18">
        <f t="shared" si="12"/>
        <v>1.9743734386332866E-3</v>
      </c>
      <c r="I646" s="18">
        <f>PRODUCT(fact_daily_prices!$F646,fact_daily_prices!$G646)</f>
        <v>5529698.5800000001</v>
      </c>
      <c r="J646" s="18" t="str">
        <f>_xlfn.XLOOKUP(fact_daily_prices!$B646,dim_company[company_id],dim_company[sector_id])</f>
        <v>SEC01</v>
      </c>
      <c r="K646" s="19" t="str">
        <f>_xlfn.XLOOKUP(fact_daily_prices!$J646,dim_sector[sector_id],dim_sector[sector_name])</f>
        <v>Information Technology</v>
      </c>
      <c r="L646" t="str">
        <v>COMP005-30-06-2025</v>
      </c>
      <c r="M646" t="str">
        <f>_xlfn.CONCAT(A645," ",B645)</f>
        <v>45835 COMP005</v>
      </c>
    </row>
    <row r="647" spans="1:13" x14ac:dyDescent="0.3">
      <c r="A647" s="20">
        <v>45658</v>
      </c>
      <c r="B647" s="7" t="s">
        <v>26</v>
      </c>
      <c r="C647" s="7">
        <v>251.68</v>
      </c>
      <c r="D647" s="7">
        <v>254.93</v>
      </c>
      <c r="E647" s="7">
        <v>248.43</v>
      </c>
      <c r="F647" s="7">
        <v>251.05</v>
      </c>
      <c r="G647" s="7">
        <v>3745</v>
      </c>
      <c r="H647" s="7">
        <v>0</v>
      </c>
      <c r="I647" s="7">
        <f>PRODUCT(fact_daily_prices!$F647,fact_daily_prices!$G647)</f>
        <v>940182.25</v>
      </c>
      <c r="J647" s="7" t="str">
        <f>_xlfn.XLOOKUP(fact_daily_prices!$B647,dim_company[company_id],dim_company[sector_id])</f>
        <v>SEC01</v>
      </c>
      <c r="K647" s="21" t="str">
        <f>_xlfn.XLOOKUP(fact_daily_prices!$J647,dim_sector[sector_id],dim_sector[sector_name])</f>
        <v>Information Technology</v>
      </c>
      <c r="L647" t="str">
        <v>COMP006-01-01-2025</v>
      </c>
      <c r="M647" t="str">
        <f>_xlfn.CONCAT(A646," ",B646)</f>
        <v>45838 COMP005</v>
      </c>
    </row>
    <row r="648" spans="1:13" x14ac:dyDescent="0.3">
      <c r="A648" s="17">
        <v>45659</v>
      </c>
      <c r="B648" s="18" t="s">
        <v>26</v>
      </c>
      <c r="C648" s="18">
        <v>246.67</v>
      </c>
      <c r="D648" s="18">
        <v>250.19</v>
      </c>
      <c r="E648" s="18">
        <v>243.14</v>
      </c>
      <c r="F648" s="18">
        <v>245.97</v>
      </c>
      <c r="G648" s="18">
        <v>6818</v>
      </c>
      <c r="H648" s="18">
        <f t="shared" si="12"/>
        <v>-2.0652925153474052E-2</v>
      </c>
      <c r="I648" s="18">
        <f>PRODUCT(fact_daily_prices!$F648,fact_daily_prices!$G648)</f>
        <v>1677023.46</v>
      </c>
      <c r="J648" s="18" t="str">
        <f>_xlfn.XLOOKUP(fact_daily_prices!$B648,dim_company[company_id],dim_company[sector_id])</f>
        <v>SEC01</v>
      </c>
      <c r="K648" s="19" t="str">
        <f>_xlfn.XLOOKUP(fact_daily_prices!$J648,dim_sector[sector_id],dim_sector[sector_name])</f>
        <v>Information Technology</v>
      </c>
      <c r="L648" t="str">
        <v>COMP006-02-01-2025</v>
      </c>
      <c r="M648" t="str">
        <f>_xlfn.CONCAT(A647," ",B647)</f>
        <v>45658 COMP006</v>
      </c>
    </row>
    <row r="649" spans="1:13" x14ac:dyDescent="0.3">
      <c r="A649" s="20">
        <v>45660</v>
      </c>
      <c r="B649" s="7" t="s">
        <v>26</v>
      </c>
      <c r="C649" s="7">
        <v>241.06</v>
      </c>
      <c r="D649" s="7">
        <v>242.87</v>
      </c>
      <c r="E649" s="7">
        <v>239.25</v>
      </c>
      <c r="F649" s="7">
        <v>241.02</v>
      </c>
      <c r="G649" s="7">
        <v>31116</v>
      </c>
      <c r="H649" s="7">
        <f t="shared" si="12"/>
        <v>-2.0537714712471945E-2</v>
      </c>
      <c r="I649" s="7">
        <f>PRODUCT(fact_daily_prices!$F649,fact_daily_prices!$G649)</f>
        <v>7499578.3200000003</v>
      </c>
      <c r="J649" s="7" t="str">
        <f>_xlfn.XLOOKUP(fact_daily_prices!$B649,dim_company[company_id],dim_company[sector_id])</f>
        <v>SEC01</v>
      </c>
      <c r="K649" s="21" t="str">
        <f>_xlfn.XLOOKUP(fact_daily_prices!$J649,dim_sector[sector_id],dim_sector[sector_name])</f>
        <v>Information Technology</v>
      </c>
      <c r="L649" t="str">
        <v>COMP006-03-01-2025</v>
      </c>
      <c r="M649" t="str">
        <f>_xlfn.CONCAT(A648," ",B648)</f>
        <v>45659 COMP006</v>
      </c>
    </row>
    <row r="650" spans="1:13" x14ac:dyDescent="0.3">
      <c r="A650" s="17">
        <v>45663</v>
      </c>
      <c r="B650" s="18" t="s">
        <v>26</v>
      </c>
      <c r="C650" s="18">
        <v>241.1</v>
      </c>
      <c r="D650" s="18">
        <v>241.78</v>
      </c>
      <c r="E650" s="18">
        <v>240.42</v>
      </c>
      <c r="F650" s="18">
        <v>240.5</v>
      </c>
      <c r="G650" s="18">
        <v>18908</v>
      </c>
      <c r="H650" s="18">
        <f t="shared" si="12"/>
        <v>-2.1621621621622047E-3</v>
      </c>
      <c r="I650" s="18">
        <f>PRODUCT(fact_daily_prices!$F650,fact_daily_prices!$G650)</f>
        <v>4547374</v>
      </c>
      <c r="J650" s="18" t="str">
        <f>_xlfn.XLOOKUP(fact_daily_prices!$B650,dim_company[company_id],dim_company[sector_id])</f>
        <v>SEC01</v>
      </c>
      <c r="K650" s="19" t="str">
        <f>_xlfn.XLOOKUP(fact_daily_prices!$J650,dim_sector[sector_id],dim_sector[sector_name])</f>
        <v>Information Technology</v>
      </c>
      <c r="L650" t="str">
        <v>COMP006-06-01-2025</v>
      </c>
      <c r="M650" t="str">
        <f>_xlfn.CONCAT(A649," ",B649)</f>
        <v>45660 COMP006</v>
      </c>
    </row>
    <row r="651" spans="1:13" x14ac:dyDescent="0.3">
      <c r="A651" s="20">
        <v>45664</v>
      </c>
      <c r="B651" s="7" t="s">
        <v>26</v>
      </c>
      <c r="C651" s="7">
        <v>237.95</v>
      </c>
      <c r="D651" s="7">
        <v>240.54</v>
      </c>
      <c r="E651" s="7">
        <v>235.37</v>
      </c>
      <c r="F651" s="7">
        <v>238.9</v>
      </c>
      <c r="G651" s="7">
        <v>21093</v>
      </c>
      <c r="H651" s="7">
        <f t="shared" si="12"/>
        <v>-6.6973629133528431E-3</v>
      </c>
      <c r="I651" s="7">
        <f>PRODUCT(fact_daily_prices!$F651,fact_daily_prices!$G651)</f>
        <v>5039117.7</v>
      </c>
      <c r="J651" s="7" t="str">
        <f>_xlfn.XLOOKUP(fact_daily_prices!$B651,dim_company[company_id],dim_company[sector_id])</f>
        <v>SEC01</v>
      </c>
      <c r="K651" s="21" t="str">
        <f>_xlfn.XLOOKUP(fact_daily_prices!$J651,dim_sector[sector_id],dim_sector[sector_name])</f>
        <v>Information Technology</v>
      </c>
      <c r="L651" t="str">
        <v>COMP006-07-01-2025</v>
      </c>
      <c r="M651" t="str">
        <f>_xlfn.CONCAT(A650," ",B650)</f>
        <v>45663 COMP006</v>
      </c>
    </row>
    <row r="652" spans="1:13" x14ac:dyDescent="0.3">
      <c r="A652" s="17">
        <v>45665</v>
      </c>
      <c r="B652" s="18" t="s">
        <v>26</v>
      </c>
      <c r="C652" s="18">
        <v>239.29</v>
      </c>
      <c r="D652" s="18">
        <v>242.01</v>
      </c>
      <c r="E652" s="18">
        <v>236.56</v>
      </c>
      <c r="F652" s="18">
        <v>239.28</v>
      </c>
      <c r="G652" s="18">
        <v>21963</v>
      </c>
      <c r="H652" s="18">
        <f t="shared" si="12"/>
        <v>1.5880976262119503E-3</v>
      </c>
      <c r="I652" s="18">
        <f>PRODUCT(fact_daily_prices!$F652,fact_daily_prices!$G652)</f>
        <v>5255306.6399999997</v>
      </c>
      <c r="J652" s="18" t="str">
        <f>_xlfn.XLOOKUP(fact_daily_prices!$B652,dim_company[company_id],dim_company[sector_id])</f>
        <v>SEC01</v>
      </c>
      <c r="K652" s="19" t="str">
        <f>_xlfn.XLOOKUP(fact_daily_prices!$J652,dim_sector[sector_id],dim_sector[sector_name])</f>
        <v>Information Technology</v>
      </c>
      <c r="L652" t="str">
        <v>COMP006-08-01-2025</v>
      </c>
      <c r="M652" t="str">
        <f>_xlfn.CONCAT(A651," ",B651)</f>
        <v>45664 COMP006</v>
      </c>
    </row>
    <row r="653" spans="1:13" x14ac:dyDescent="0.3">
      <c r="A653" s="20">
        <v>45666</v>
      </c>
      <c r="B653" s="7" t="s">
        <v>26</v>
      </c>
      <c r="C653" s="7">
        <v>238.14</v>
      </c>
      <c r="D653" s="7">
        <v>241.55</v>
      </c>
      <c r="E653" s="7">
        <v>234.73</v>
      </c>
      <c r="F653" s="7">
        <v>238.93</v>
      </c>
      <c r="G653" s="7">
        <v>21936</v>
      </c>
      <c r="H653" s="7">
        <f t="shared" si="12"/>
        <v>-1.4648641861632877E-3</v>
      </c>
      <c r="I653" s="7">
        <f>PRODUCT(fact_daily_prices!$F653,fact_daily_prices!$G653)</f>
        <v>5241168.4800000004</v>
      </c>
      <c r="J653" s="7" t="str">
        <f>_xlfn.XLOOKUP(fact_daily_prices!$B653,dim_company[company_id],dim_company[sector_id])</f>
        <v>SEC01</v>
      </c>
      <c r="K653" s="21" t="str">
        <f>_xlfn.XLOOKUP(fact_daily_prices!$J653,dim_sector[sector_id],dim_sector[sector_name])</f>
        <v>Information Technology</v>
      </c>
      <c r="L653" t="str">
        <v>COMP006-09-01-2025</v>
      </c>
      <c r="M653" t="str">
        <f>_xlfn.CONCAT(A652," ",B652)</f>
        <v>45665 COMP006</v>
      </c>
    </row>
    <row r="654" spans="1:13" x14ac:dyDescent="0.3">
      <c r="A654" s="17">
        <v>45667</v>
      </c>
      <c r="B654" s="18" t="s">
        <v>26</v>
      </c>
      <c r="C654" s="18">
        <v>238.4</v>
      </c>
      <c r="D654" s="18">
        <v>241.69</v>
      </c>
      <c r="E654" s="18">
        <v>235.11</v>
      </c>
      <c r="F654" s="18">
        <v>239.08</v>
      </c>
      <c r="G654" s="18">
        <v>28606</v>
      </c>
      <c r="H654" s="18">
        <f t="shared" si="12"/>
        <v>6.2740505270204817E-4</v>
      </c>
      <c r="I654" s="18">
        <f>PRODUCT(fact_daily_prices!$F654,fact_daily_prices!$G654)</f>
        <v>6839122.4800000004</v>
      </c>
      <c r="J654" s="18" t="str">
        <f>_xlfn.XLOOKUP(fact_daily_prices!$B654,dim_company[company_id],dim_company[sector_id])</f>
        <v>SEC01</v>
      </c>
      <c r="K654" s="19" t="str">
        <f>_xlfn.XLOOKUP(fact_daily_prices!$J654,dim_sector[sector_id],dim_sector[sector_name])</f>
        <v>Information Technology</v>
      </c>
      <c r="L654" t="str">
        <v>COMP006-10-01-2025</v>
      </c>
      <c r="M654" t="str">
        <f>_xlfn.CONCAT(A653," ",B653)</f>
        <v>45666 COMP006</v>
      </c>
    </row>
    <row r="655" spans="1:13" x14ac:dyDescent="0.3">
      <c r="A655" s="20">
        <v>45670</v>
      </c>
      <c r="B655" s="7" t="s">
        <v>26</v>
      </c>
      <c r="C655" s="7">
        <v>241.75</v>
      </c>
      <c r="D655" s="7">
        <v>244.74</v>
      </c>
      <c r="E655" s="7">
        <v>238.77</v>
      </c>
      <c r="F655" s="7">
        <v>240.98</v>
      </c>
      <c r="G655" s="7">
        <v>45245</v>
      </c>
      <c r="H655" s="7">
        <f t="shared" si="12"/>
        <v>7.8844717403932993E-3</v>
      </c>
      <c r="I655" s="7">
        <f>PRODUCT(fact_daily_prices!$F655,fact_daily_prices!$G655)</f>
        <v>10903140.1</v>
      </c>
      <c r="J655" s="7" t="str">
        <f>_xlfn.XLOOKUP(fact_daily_prices!$B655,dim_company[company_id],dim_company[sector_id])</f>
        <v>SEC01</v>
      </c>
      <c r="K655" s="21" t="str">
        <f>_xlfn.XLOOKUP(fact_daily_prices!$J655,dim_sector[sector_id],dim_sector[sector_name])</f>
        <v>Information Technology</v>
      </c>
      <c r="L655" t="str">
        <v>COMP006-13-01-2025</v>
      </c>
      <c r="M655" t="str">
        <f>_xlfn.CONCAT(A654," ",B654)</f>
        <v>45667 COMP006</v>
      </c>
    </row>
    <row r="656" spans="1:13" x14ac:dyDescent="0.3">
      <c r="A656" s="17">
        <v>45671</v>
      </c>
      <c r="B656" s="18" t="s">
        <v>26</v>
      </c>
      <c r="C656" s="18">
        <v>237.84</v>
      </c>
      <c r="D656" s="18">
        <v>240.36</v>
      </c>
      <c r="E656" s="18">
        <v>235.32</v>
      </c>
      <c r="F656" s="18">
        <v>239.63</v>
      </c>
      <c r="G656" s="18">
        <v>29572</v>
      </c>
      <c r="H656" s="18">
        <f t="shared" si="12"/>
        <v>-5.6336852647831835E-3</v>
      </c>
      <c r="I656" s="18">
        <f>PRODUCT(fact_daily_prices!$F656,fact_daily_prices!$G656)</f>
        <v>7086338.3599999994</v>
      </c>
      <c r="J656" s="18" t="str">
        <f>_xlfn.XLOOKUP(fact_daily_prices!$B656,dim_company[company_id],dim_company[sector_id])</f>
        <v>SEC01</v>
      </c>
      <c r="K656" s="19" t="str">
        <f>_xlfn.XLOOKUP(fact_daily_prices!$J656,dim_sector[sector_id],dim_sector[sector_name])</f>
        <v>Information Technology</v>
      </c>
      <c r="L656" t="str">
        <v>COMP006-14-01-2025</v>
      </c>
      <c r="M656" t="str">
        <f>_xlfn.CONCAT(A655," ",B655)</f>
        <v>45670 COMP006</v>
      </c>
    </row>
    <row r="657" spans="1:13" x14ac:dyDescent="0.3">
      <c r="A657" s="20">
        <v>45672</v>
      </c>
      <c r="B657" s="7" t="s">
        <v>26</v>
      </c>
      <c r="C657" s="7">
        <v>238.98</v>
      </c>
      <c r="D657" s="7">
        <v>240.12</v>
      </c>
      <c r="E657" s="7">
        <v>237.85</v>
      </c>
      <c r="F657" s="7">
        <v>239.03</v>
      </c>
      <c r="G657" s="7">
        <v>32131</v>
      </c>
      <c r="H657" s="7">
        <f t="shared" si="12"/>
        <v>-2.5101451700623115E-3</v>
      </c>
      <c r="I657" s="7">
        <f>PRODUCT(fact_daily_prices!$F657,fact_daily_prices!$G657)</f>
        <v>7680272.9299999997</v>
      </c>
      <c r="J657" s="7" t="str">
        <f>_xlfn.XLOOKUP(fact_daily_prices!$B657,dim_company[company_id],dim_company[sector_id])</f>
        <v>SEC01</v>
      </c>
      <c r="K657" s="21" t="str">
        <f>_xlfn.XLOOKUP(fact_daily_prices!$J657,dim_sector[sector_id],dim_sector[sector_name])</f>
        <v>Information Technology</v>
      </c>
      <c r="L657" t="str">
        <v>COMP006-15-01-2025</v>
      </c>
      <c r="M657" t="str">
        <f>_xlfn.CONCAT(A656," ",B656)</f>
        <v>45671 COMP006</v>
      </c>
    </row>
    <row r="658" spans="1:13" x14ac:dyDescent="0.3">
      <c r="A658" s="17">
        <v>45673</v>
      </c>
      <c r="B658" s="18" t="s">
        <v>26</v>
      </c>
      <c r="C658" s="18">
        <v>244.51</v>
      </c>
      <c r="D658" s="18">
        <v>245.81</v>
      </c>
      <c r="E658" s="18">
        <v>243.22</v>
      </c>
      <c r="F658" s="18">
        <v>243.51</v>
      </c>
      <c r="G658" s="18">
        <v>42475</v>
      </c>
      <c r="H658" s="18">
        <f t="shared" si="12"/>
        <v>1.8397601741201551E-2</v>
      </c>
      <c r="I658" s="18">
        <f>PRODUCT(fact_daily_prices!$F658,fact_daily_prices!$G658)</f>
        <v>10343087.25</v>
      </c>
      <c r="J658" s="18" t="str">
        <f>_xlfn.XLOOKUP(fact_daily_prices!$B658,dim_company[company_id],dim_company[sector_id])</f>
        <v>SEC01</v>
      </c>
      <c r="K658" s="19" t="str">
        <f>_xlfn.XLOOKUP(fact_daily_prices!$J658,dim_sector[sector_id],dim_sector[sector_name])</f>
        <v>Information Technology</v>
      </c>
      <c r="L658" t="str">
        <v>COMP006-16-01-2025</v>
      </c>
      <c r="M658" t="str">
        <f>_xlfn.CONCAT(A657," ",B657)</f>
        <v>45672 COMP006</v>
      </c>
    </row>
    <row r="659" spans="1:13" x14ac:dyDescent="0.3">
      <c r="A659" s="20">
        <v>45674</v>
      </c>
      <c r="B659" s="7" t="s">
        <v>26</v>
      </c>
      <c r="C659" s="7">
        <v>243.61</v>
      </c>
      <c r="D659" s="7">
        <v>248.24</v>
      </c>
      <c r="E659" s="7">
        <v>238.98</v>
      </c>
      <c r="F659" s="7">
        <v>243.57</v>
      </c>
      <c r="G659" s="7">
        <v>12908</v>
      </c>
      <c r="H659" s="7">
        <f t="shared" si="12"/>
        <v>2.4633575563493974E-4</v>
      </c>
      <c r="I659" s="7">
        <f>PRODUCT(fact_daily_prices!$F659,fact_daily_prices!$G659)</f>
        <v>3144001.56</v>
      </c>
      <c r="J659" s="7" t="str">
        <f>_xlfn.XLOOKUP(fact_daily_prices!$B659,dim_company[company_id],dim_company[sector_id])</f>
        <v>SEC01</v>
      </c>
      <c r="K659" s="21" t="str">
        <f>_xlfn.XLOOKUP(fact_daily_prices!$J659,dim_sector[sector_id],dim_sector[sector_name])</f>
        <v>Information Technology</v>
      </c>
      <c r="L659" t="str">
        <v>COMP006-17-01-2025</v>
      </c>
      <c r="M659" t="str">
        <f>_xlfn.CONCAT(A658," ",B658)</f>
        <v>45673 COMP006</v>
      </c>
    </row>
    <row r="660" spans="1:13" x14ac:dyDescent="0.3">
      <c r="A660" s="17">
        <v>45677</v>
      </c>
      <c r="B660" s="18" t="s">
        <v>26</v>
      </c>
      <c r="C660" s="18">
        <v>242.79</v>
      </c>
      <c r="D660" s="18">
        <v>245.66</v>
      </c>
      <c r="E660" s="18">
        <v>239.92</v>
      </c>
      <c r="F660" s="18">
        <v>243.08</v>
      </c>
      <c r="G660" s="18">
        <v>17616</v>
      </c>
      <c r="H660" s="18">
        <f t="shared" si="12"/>
        <v>-2.015797268388928E-3</v>
      </c>
      <c r="I660" s="18">
        <f>PRODUCT(fact_daily_prices!$F660,fact_daily_prices!$G660)</f>
        <v>4282097.28</v>
      </c>
      <c r="J660" s="18" t="str">
        <f>_xlfn.XLOOKUP(fact_daily_prices!$B660,dim_company[company_id],dim_company[sector_id])</f>
        <v>SEC01</v>
      </c>
      <c r="K660" s="19" t="str">
        <f>_xlfn.XLOOKUP(fact_daily_prices!$J660,dim_sector[sector_id],dim_sector[sector_name])</f>
        <v>Information Technology</v>
      </c>
      <c r="L660" t="str">
        <v>COMP006-20-01-2025</v>
      </c>
      <c r="M660" t="str">
        <f>_xlfn.CONCAT(A659," ",B659)</f>
        <v>45674 COMP006</v>
      </c>
    </row>
    <row r="661" spans="1:13" x14ac:dyDescent="0.3">
      <c r="A661" s="20">
        <v>45678</v>
      </c>
      <c r="B661" s="7" t="s">
        <v>26</v>
      </c>
      <c r="C661" s="7">
        <v>242.13</v>
      </c>
      <c r="D661" s="7">
        <v>244.39</v>
      </c>
      <c r="E661" s="7">
        <v>239.86</v>
      </c>
      <c r="F661" s="7">
        <v>243.39</v>
      </c>
      <c r="G661" s="7">
        <v>44369</v>
      </c>
      <c r="H661" s="7">
        <f t="shared" si="12"/>
        <v>1.2736759932617358E-3</v>
      </c>
      <c r="I661" s="7">
        <f>PRODUCT(fact_daily_prices!$F661,fact_daily_prices!$G661)</f>
        <v>10798970.91</v>
      </c>
      <c r="J661" s="7" t="str">
        <f>_xlfn.XLOOKUP(fact_daily_prices!$B661,dim_company[company_id],dim_company[sector_id])</f>
        <v>SEC01</v>
      </c>
      <c r="K661" s="21" t="str">
        <f>_xlfn.XLOOKUP(fact_daily_prices!$J661,dim_sector[sector_id],dim_sector[sector_name])</f>
        <v>Information Technology</v>
      </c>
      <c r="L661" t="str">
        <v>COMP006-21-01-2025</v>
      </c>
      <c r="M661" t="str">
        <f>_xlfn.CONCAT(A660," ",B660)</f>
        <v>45677 COMP006</v>
      </c>
    </row>
    <row r="662" spans="1:13" x14ac:dyDescent="0.3">
      <c r="A662" s="17">
        <v>45679</v>
      </c>
      <c r="B662" s="18" t="s">
        <v>26</v>
      </c>
      <c r="C662" s="18">
        <v>243.08</v>
      </c>
      <c r="D662" s="18">
        <v>247.31</v>
      </c>
      <c r="E662" s="18">
        <v>238.84</v>
      </c>
      <c r="F662" s="18">
        <v>242.96</v>
      </c>
      <c r="G662" s="18">
        <v>32226</v>
      </c>
      <c r="H662" s="18">
        <f t="shared" si="12"/>
        <v>-1.7698386565688936E-3</v>
      </c>
      <c r="I662" s="18">
        <f>PRODUCT(fact_daily_prices!$F662,fact_daily_prices!$G662)</f>
        <v>7829628.96</v>
      </c>
      <c r="J662" s="18" t="str">
        <f>_xlfn.XLOOKUP(fact_daily_prices!$B662,dim_company[company_id],dim_company[sector_id])</f>
        <v>SEC01</v>
      </c>
      <c r="K662" s="19" t="str">
        <f>_xlfn.XLOOKUP(fact_daily_prices!$J662,dim_sector[sector_id],dim_sector[sector_name])</f>
        <v>Information Technology</v>
      </c>
      <c r="L662" t="str">
        <v>COMP006-22-01-2025</v>
      </c>
      <c r="M662" t="str">
        <f>_xlfn.CONCAT(A661," ",B661)</f>
        <v>45678 COMP006</v>
      </c>
    </row>
    <row r="663" spans="1:13" x14ac:dyDescent="0.3">
      <c r="A663" s="20">
        <v>45680</v>
      </c>
      <c r="B663" s="7" t="s">
        <v>26</v>
      </c>
      <c r="C663" s="7">
        <v>241.89</v>
      </c>
      <c r="D663" s="7">
        <v>243.64</v>
      </c>
      <c r="E663" s="7">
        <v>240.14</v>
      </c>
      <c r="F663" s="7">
        <v>240.85</v>
      </c>
      <c r="G663" s="7">
        <v>14379</v>
      </c>
      <c r="H663" s="7">
        <f t="shared" si="12"/>
        <v>-8.7606394021175569E-3</v>
      </c>
      <c r="I663" s="7">
        <f>PRODUCT(fact_daily_prices!$F663,fact_daily_prices!$G663)</f>
        <v>3463182.15</v>
      </c>
      <c r="J663" s="7" t="str">
        <f>_xlfn.XLOOKUP(fact_daily_prices!$B663,dim_company[company_id],dim_company[sector_id])</f>
        <v>SEC01</v>
      </c>
      <c r="K663" s="21" t="str">
        <f>_xlfn.XLOOKUP(fact_daily_prices!$J663,dim_sector[sector_id],dim_sector[sector_name])</f>
        <v>Information Technology</v>
      </c>
      <c r="L663" t="str">
        <v>COMP006-23-01-2025</v>
      </c>
      <c r="M663" t="str">
        <f>_xlfn.CONCAT(A662," ",B662)</f>
        <v>45679 COMP006</v>
      </c>
    </row>
    <row r="664" spans="1:13" x14ac:dyDescent="0.3">
      <c r="A664" s="17">
        <v>45681</v>
      </c>
      <c r="B664" s="18" t="s">
        <v>26</v>
      </c>
      <c r="C664" s="18">
        <v>237.22</v>
      </c>
      <c r="D664" s="18">
        <v>239.75</v>
      </c>
      <c r="E664" s="18">
        <v>234.69</v>
      </c>
      <c r="F664" s="18">
        <v>237.9</v>
      </c>
      <c r="G664" s="18">
        <v>9682</v>
      </c>
      <c r="H664" s="18">
        <f t="shared" si="12"/>
        <v>-1.2400168137873008E-2</v>
      </c>
      <c r="I664" s="18">
        <f>PRODUCT(fact_daily_prices!$F664,fact_daily_prices!$G664)</f>
        <v>2303347.8000000003</v>
      </c>
      <c r="J664" s="18" t="str">
        <f>_xlfn.XLOOKUP(fact_daily_prices!$B664,dim_company[company_id],dim_company[sector_id])</f>
        <v>SEC01</v>
      </c>
      <c r="K664" s="19" t="str">
        <f>_xlfn.XLOOKUP(fact_daily_prices!$J664,dim_sector[sector_id],dim_sector[sector_name])</f>
        <v>Information Technology</v>
      </c>
      <c r="L664" t="str">
        <v>COMP006-24-01-2025</v>
      </c>
      <c r="M664" t="str">
        <f>_xlfn.CONCAT(A663," ",B663)</f>
        <v>45680 COMP006</v>
      </c>
    </row>
    <row r="665" spans="1:13" x14ac:dyDescent="0.3">
      <c r="A665" s="20">
        <v>45684</v>
      </c>
      <c r="B665" s="7" t="s">
        <v>26</v>
      </c>
      <c r="C665" s="7">
        <v>235.35</v>
      </c>
      <c r="D665" s="7">
        <v>239.5</v>
      </c>
      <c r="E665" s="7">
        <v>231.21</v>
      </c>
      <c r="F665" s="7">
        <v>235.68</v>
      </c>
      <c r="G665" s="7">
        <v>33983</v>
      </c>
      <c r="H665" s="7">
        <f t="shared" si="12"/>
        <v>-9.4195519348268791E-3</v>
      </c>
      <c r="I665" s="7">
        <f>PRODUCT(fact_daily_prices!$F665,fact_daily_prices!$G665)</f>
        <v>8009113.4400000004</v>
      </c>
      <c r="J665" s="7" t="str">
        <f>_xlfn.XLOOKUP(fact_daily_prices!$B665,dim_company[company_id],dim_company[sector_id])</f>
        <v>SEC01</v>
      </c>
      <c r="K665" s="21" t="str">
        <f>_xlfn.XLOOKUP(fact_daily_prices!$J665,dim_sector[sector_id],dim_sector[sector_name])</f>
        <v>Information Technology</v>
      </c>
      <c r="L665" t="str">
        <v>COMP006-27-01-2025</v>
      </c>
      <c r="M665" t="str">
        <f>_xlfn.CONCAT(A664," ",B664)</f>
        <v>45681 COMP006</v>
      </c>
    </row>
    <row r="666" spans="1:13" x14ac:dyDescent="0.3">
      <c r="A666" s="17">
        <v>45685</v>
      </c>
      <c r="B666" s="18" t="s">
        <v>26</v>
      </c>
      <c r="C666" s="18">
        <v>238.78</v>
      </c>
      <c r="D666" s="18">
        <v>241.8</v>
      </c>
      <c r="E666" s="18">
        <v>235.77</v>
      </c>
      <c r="F666" s="18">
        <v>238.34</v>
      </c>
      <c r="G666" s="18">
        <v>25734</v>
      </c>
      <c r="H666" s="18">
        <f t="shared" si="12"/>
        <v>1.1160526978266328E-2</v>
      </c>
      <c r="I666" s="18">
        <f>PRODUCT(fact_daily_prices!$F666,fact_daily_prices!$G666)</f>
        <v>6133441.5600000005</v>
      </c>
      <c r="J666" s="18" t="str">
        <f>_xlfn.XLOOKUP(fact_daily_prices!$B666,dim_company[company_id],dim_company[sector_id])</f>
        <v>SEC01</v>
      </c>
      <c r="K666" s="19" t="str">
        <f>_xlfn.XLOOKUP(fact_daily_prices!$J666,dim_sector[sector_id],dim_sector[sector_name])</f>
        <v>Information Technology</v>
      </c>
      <c r="L666" t="str">
        <v>COMP006-28-01-2025</v>
      </c>
      <c r="M666" t="str">
        <f>_xlfn.CONCAT(A665," ",B665)</f>
        <v>45684 COMP006</v>
      </c>
    </row>
    <row r="667" spans="1:13" x14ac:dyDescent="0.3">
      <c r="A667" s="20">
        <v>45686</v>
      </c>
      <c r="B667" s="7" t="s">
        <v>26</v>
      </c>
      <c r="C667" s="7">
        <v>238.04</v>
      </c>
      <c r="D667" s="7">
        <v>239.86</v>
      </c>
      <c r="E667" s="7">
        <v>236.22</v>
      </c>
      <c r="F667" s="7">
        <v>236.51</v>
      </c>
      <c r="G667" s="7">
        <v>43736</v>
      </c>
      <c r="H667" s="7">
        <f t="shared" si="12"/>
        <v>-7.7375163840852929E-3</v>
      </c>
      <c r="I667" s="7">
        <f>PRODUCT(fact_daily_prices!$F667,fact_daily_prices!$G667)</f>
        <v>10344001.359999999</v>
      </c>
      <c r="J667" s="7" t="str">
        <f>_xlfn.XLOOKUP(fact_daily_prices!$B667,dim_company[company_id],dim_company[sector_id])</f>
        <v>SEC01</v>
      </c>
      <c r="K667" s="21" t="str">
        <f>_xlfn.XLOOKUP(fact_daily_prices!$J667,dim_sector[sector_id],dim_sector[sector_name])</f>
        <v>Information Technology</v>
      </c>
      <c r="L667" t="str">
        <v>COMP006-29-01-2025</v>
      </c>
      <c r="M667" t="str">
        <f>_xlfn.CONCAT(A666," ",B666)</f>
        <v>45685 COMP006</v>
      </c>
    </row>
    <row r="668" spans="1:13" x14ac:dyDescent="0.3">
      <c r="A668" s="17">
        <v>45687</v>
      </c>
      <c r="B668" s="18" t="s">
        <v>26</v>
      </c>
      <c r="C668" s="18">
        <v>237.13</v>
      </c>
      <c r="D668" s="18">
        <v>240.5</v>
      </c>
      <c r="E668" s="18">
        <v>233.76</v>
      </c>
      <c r="F668" s="18">
        <v>236.11</v>
      </c>
      <c r="G668" s="18">
        <v>48464</v>
      </c>
      <c r="H668" s="18">
        <f t="shared" si="12"/>
        <v>-1.6941256194145831E-3</v>
      </c>
      <c r="I668" s="18">
        <f>PRODUCT(fact_daily_prices!$F668,fact_daily_prices!$G668)</f>
        <v>11442835.040000001</v>
      </c>
      <c r="J668" s="18" t="str">
        <f>_xlfn.XLOOKUP(fact_daily_prices!$B668,dim_company[company_id],dim_company[sector_id])</f>
        <v>SEC01</v>
      </c>
      <c r="K668" s="19" t="str">
        <f>_xlfn.XLOOKUP(fact_daily_prices!$J668,dim_sector[sector_id],dim_sector[sector_name])</f>
        <v>Information Technology</v>
      </c>
      <c r="L668" t="str">
        <v>COMP006-30-01-2025</v>
      </c>
      <c r="M668" t="str">
        <f>_xlfn.CONCAT(A667," ",B667)</f>
        <v>45686 COMP006</v>
      </c>
    </row>
    <row r="669" spans="1:13" x14ac:dyDescent="0.3">
      <c r="A669" s="20">
        <v>45688</v>
      </c>
      <c r="B669" s="7" t="s">
        <v>26</v>
      </c>
      <c r="C669" s="7">
        <v>239.01</v>
      </c>
      <c r="D669" s="7">
        <v>240.39</v>
      </c>
      <c r="E669" s="7">
        <v>237.62</v>
      </c>
      <c r="F669" s="7">
        <v>238.26</v>
      </c>
      <c r="G669" s="7">
        <v>12185</v>
      </c>
      <c r="H669" s="7">
        <f t="shared" si="12"/>
        <v>9.0237555611515884E-3</v>
      </c>
      <c r="I669" s="7">
        <f>PRODUCT(fact_daily_prices!$F669,fact_daily_prices!$G669)</f>
        <v>2903198.1</v>
      </c>
      <c r="J669" s="7" t="str">
        <f>_xlfn.XLOOKUP(fact_daily_prices!$B669,dim_company[company_id],dim_company[sector_id])</f>
        <v>SEC01</v>
      </c>
      <c r="K669" s="21" t="str">
        <f>_xlfn.XLOOKUP(fact_daily_prices!$J669,dim_sector[sector_id],dim_sector[sector_name])</f>
        <v>Information Technology</v>
      </c>
      <c r="L669" t="str">
        <v>COMP006-31-01-2025</v>
      </c>
      <c r="M669" t="str">
        <f>_xlfn.CONCAT(A668," ",B668)</f>
        <v>45687 COMP006</v>
      </c>
    </row>
    <row r="670" spans="1:13" x14ac:dyDescent="0.3">
      <c r="A670" s="17">
        <v>45691</v>
      </c>
      <c r="B670" s="18" t="s">
        <v>26</v>
      </c>
      <c r="C670" s="18">
        <v>236.39</v>
      </c>
      <c r="D670" s="18">
        <v>238.92</v>
      </c>
      <c r="E670" s="18">
        <v>233.87</v>
      </c>
      <c r="F670" s="18">
        <v>237.48</v>
      </c>
      <c r="G670" s="18">
        <v>20167</v>
      </c>
      <c r="H670" s="18">
        <f t="shared" si="12"/>
        <v>-3.2844871147044009E-3</v>
      </c>
      <c r="I670" s="18">
        <f>PRODUCT(fact_daily_prices!$F670,fact_daily_prices!$G670)</f>
        <v>4789259.16</v>
      </c>
      <c r="J670" s="18" t="str">
        <f>_xlfn.XLOOKUP(fact_daily_prices!$B670,dim_company[company_id],dim_company[sector_id])</f>
        <v>SEC01</v>
      </c>
      <c r="K670" s="19" t="str">
        <f>_xlfn.XLOOKUP(fact_daily_prices!$J670,dim_sector[sector_id],dim_sector[sector_name])</f>
        <v>Information Technology</v>
      </c>
      <c r="L670" t="str">
        <v>COMP006-03-02-2025</v>
      </c>
      <c r="M670" t="str">
        <f>_xlfn.CONCAT(A669," ",B669)</f>
        <v>45688 COMP006</v>
      </c>
    </row>
    <row r="671" spans="1:13" x14ac:dyDescent="0.3">
      <c r="A671" s="20">
        <v>45692</v>
      </c>
      <c r="B671" s="7" t="s">
        <v>26</v>
      </c>
      <c r="C671" s="7">
        <v>239.01</v>
      </c>
      <c r="D671" s="7">
        <v>241.84</v>
      </c>
      <c r="E671" s="7">
        <v>236.19</v>
      </c>
      <c r="F671" s="7">
        <v>239.44</v>
      </c>
      <c r="G671" s="7">
        <v>28076</v>
      </c>
      <c r="H671" s="7">
        <f t="shared" si="12"/>
        <v>8.1857667891747747E-3</v>
      </c>
      <c r="I671" s="7">
        <f>PRODUCT(fact_daily_prices!$F671,fact_daily_prices!$G671)</f>
        <v>6722517.4399999995</v>
      </c>
      <c r="J671" s="7" t="str">
        <f>_xlfn.XLOOKUP(fact_daily_prices!$B671,dim_company[company_id],dim_company[sector_id])</f>
        <v>SEC01</v>
      </c>
      <c r="K671" s="21" t="str">
        <f>_xlfn.XLOOKUP(fact_daily_prices!$J671,dim_sector[sector_id],dim_sector[sector_name])</f>
        <v>Information Technology</v>
      </c>
      <c r="L671" t="str">
        <v>COMP006-04-02-2025</v>
      </c>
      <c r="M671" t="str">
        <f>_xlfn.CONCAT(A670," ",B670)</f>
        <v>45691 COMP006</v>
      </c>
    </row>
    <row r="672" spans="1:13" x14ac:dyDescent="0.3">
      <c r="A672" s="17">
        <v>45693</v>
      </c>
      <c r="B672" s="18" t="s">
        <v>26</v>
      </c>
      <c r="C672" s="18">
        <v>234.17</v>
      </c>
      <c r="D672" s="18">
        <v>237.81</v>
      </c>
      <c r="E672" s="18">
        <v>230.53</v>
      </c>
      <c r="F672" s="18">
        <v>234.89</v>
      </c>
      <c r="G672" s="18">
        <v>23973</v>
      </c>
      <c r="H672" s="18">
        <f t="shared" si="12"/>
        <v>-1.9370769296266386E-2</v>
      </c>
      <c r="I672" s="18">
        <f>PRODUCT(fact_daily_prices!$F672,fact_daily_prices!$G672)</f>
        <v>5631017.9699999997</v>
      </c>
      <c r="J672" s="18" t="str">
        <f>_xlfn.XLOOKUP(fact_daily_prices!$B672,dim_company[company_id],dim_company[sector_id])</f>
        <v>SEC01</v>
      </c>
      <c r="K672" s="19" t="str">
        <f>_xlfn.XLOOKUP(fact_daily_prices!$J672,dim_sector[sector_id],dim_sector[sector_name])</f>
        <v>Information Technology</v>
      </c>
      <c r="L672" t="str">
        <v>COMP006-05-02-2025</v>
      </c>
      <c r="M672" t="str">
        <f>_xlfn.CONCAT(A671," ",B671)</f>
        <v>45692 COMP006</v>
      </c>
    </row>
    <row r="673" spans="1:13" x14ac:dyDescent="0.3">
      <c r="A673" s="20">
        <v>45694</v>
      </c>
      <c r="B673" s="7" t="s">
        <v>26</v>
      </c>
      <c r="C673" s="7">
        <v>234.35</v>
      </c>
      <c r="D673" s="7">
        <v>236.71</v>
      </c>
      <c r="E673" s="7">
        <v>231.99</v>
      </c>
      <c r="F673" s="7">
        <v>234.56</v>
      </c>
      <c r="G673" s="7">
        <v>2932</v>
      </c>
      <c r="H673" s="7">
        <f t="shared" si="12"/>
        <v>-1.4068894952250345E-3</v>
      </c>
      <c r="I673" s="7">
        <f>PRODUCT(fact_daily_prices!$F673,fact_daily_prices!$G673)</f>
        <v>687729.92</v>
      </c>
      <c r="J673" s="7" t="str">
        <f>_xlfn.XLOOKUP(fact_daily_prices!$B673,dim_company[company_id],dim_company[sector_id])</f>
        <v>SEC01</v>
      </c>
      <c r="K673" s="21" t="str">
        <f>_xlfn.XLOOKUP(fact_daily_prices!$J673,dim_sector[sector_id],dim_sector[sector_name])</f>
        <v>Information Technology</v>
      </c>
      <c r="L673" t="str">
        <v>COMP006-06-02-2025</v>
      </c>
      <c r="M673" t="str">
        <f>_xlfn.CONCAT(A672," ",B672)</f>
        <v>45693 COMP006</v>
      </c>
    </row>
    <row r="674" spans="1:13" x14ac:dyDescent="0.3">
      <c r="A674" s="17">
        <v>45695</v>
      </c>
      <c r="B674" s="18" t="s">
        <v>26</v>
      </c>
      <c r="C674" s="18">
        <v>234.61</v>
      </c>
      <c r="D674" s="18">
        <v>237</v>
      </c>
      <c r="E674" s="18">
        <v>232.21</v>
      </c>
      <c r="F674" s="18">
        <v>234.85</v>
      </c>
      <c r="G674" s="18">
        <v>39405</v>
      </c>
      <c r="H674" s="18">
        <f t="shared" si="12"/>
        <v>1.2348307430274305E-3</v>
      </c>
      <c r="I674" s="18">
        <f>PRODUCT(fact_daily_prices!$F674,fact_daily_prices!$G674)</f>
        <v>9254264.25</v>
      </c>
      <c r="J674" s="18" t="str">
        <f>_xlfn.XLOOKUP(fact_daily_prices!$B674,dim_company[company_id],dim_company[sector_id])</f>
        <v>SEC01</v>
      </c>
      <c r="K674" s="19" t="str">
        <f>_xlfn.XLOOKUP(fact_daily_prices!$J674,dim_sector[sector_id],dim_sector[sector_name])</f>
        <v>Information Technology</v>
      </c>
      <c r="L674" t="str">
        <v>COMP006-07-02-2025</v>
      </c>
      <c r="M674" t="str">
        <f>_xlfn.CONCAT(A673," ",B673)</f>
        <v>45694 COMP006</v>
      </c>
    </row>
    <row r="675" spans="1:13" x14ac:dyDescent="0.3">
      <c r="A675" s="20">
        <v>45698</v>
      </c>
      <c r="B675" s="7" t="s">
        <v>26</v>
      </c>
      <c r="C675" s="7">
        <v>235.53</v>
      </c>
      <c r="D675" s="7">
        <v>237.06</v>
      </c>
      <c r="E675" s="7">
        <v>233.99</v>
      </c>
      <c r="F675" s="7">
        <v>234.97</v>
      </c>
      <c r="G675" s="7">
        <v>28882</v>
      </c>
      <c r="H675" s="7">
        <f t="shared" si="12"/>
        <v>5.1070349406309127E-4</v>
      </c>
      <c r="I675" s="7">
        <f>PRODUCT(fact_daily_prices!$F675,fact_daily_prices!$G675)</f>
        <v>6786403.54</v>
      </c>
      <c r="J675" s="7" t="str">
        <f>_xlfn.XLOOKUP(fact_daily_prices!$B675,dim_company[company_id],dim_company[sector_id])</f>
        <v>SEC01</v>
      </c>
      <c r="K675" s="21" t="str">
        <f>_xlfn.XLOOKUP(fact_daily_prices!$J675,dim_sector[sector_id],dim_sector[sector_name])</f>
        <v>Information Technology</v>
      </c>
      <c r="L675" t="str">
        <v>COMP006-10-02-2025</v>
      </c>
      <c r="M675" t="str">
        <f>_xlfn.CONCAT(A674," ",B674)</f>
        <v>45695 COMP006</v>
      </c>
    </row>
    <row r="676" spans="1:13" x14ac:dyDescent="0.3">
      <c r="A676" s="17">
        <v>45699</v>
      </c>
      <c r="B676" s="18" t="s">
        <v>26</v>
      </c>
      <c r="C676" s="18">
        <v>231.42</v>
      </c>
      <c r="D676" s="18">
        <v>233.29</v>
      </c>
      <c r="E676" s="18">
        <v>229.55</v>
      </c>
      <c r="F676" s="18">
        <v>230.18</v>
      </c>
      <c r="G676" s="18">
        <v>7474</v>
      </c>
      <c r="H676" s="18">
        <f t="shared" si="12"/>
        <v>-2.0809801025284524E-2</v>
      </c>
      <c r="I676" s="18">
        <f>PRODUCT(fact_daily_prices!$F676,fact_daily_prices!$G676)</f>
        <v>1720365.32</v>
      </c>
      <c r="J676" s="18" t="str">
        <f>_xlfn.XLOOKUP(fact_daily_prices!$B676,dim_company[company_id],dim_company[sector_id])</f>
        <v>SEC01</v>
      </c>
      <c r="K676" s="19" t="str">
        <f>_xlfn.XLOOKUP(fact_daily_prices!$J676,dim_sector[sector_id],dim_sector[sector_name])</f>
        <v>Information Technology</v>
      </c>
      <c r="L676" t="str">
        <v>COMP006-11-02-2025</v>
      </c>
      <c r="M676" t="str">
        <f>_xlfn.CONCAT(A675," ",B675)</f>
        <v>45698 COMP006</v>
      </c>
    </row>
    <row r="677" spans="1:13" x14ac:dyDescent="0.3">
      <c r="A677" s="20">
        <v>45700</v>
      </c>
      <c r="B677" s="7" t="s">
        <v>26</v>
      </c>
      <c r="C677" s="7">
        <v>233.61</v>
      </c>
      <c r="D677" s="7">
        <v>237.46</v>
      </c>
      <c r="E677" s="7">
        <v>229.76</v>
      </c>
      <c r="F677" s="7">
        <v>233.75</v>
      </c>
      <c r="G677" s="7">
        <v>14979</v>
      </c>
      <c r="H677" s="7">
        <f t="shared" si="12"/>
        <v>1.5272727272727243E-2</v>
      </c>
      <c r="I677" s="7">
        <f>PRODUCT(fact_daily_prices!$F677,fact_daily_prices!$G677)</f>
        <v>3501341.25</v>
      </c>
      <c r="J677" s="7" t="str">
        <f>_xlfn.XLOOKUP(fact_daily_prices!$B677,dim_company[company_id],dim_company[sector_id])</f>
        <v>SEC01</v>
      </c>
      <c r="K677" s="21" t="str">
        <f>_xlfn.XLOOKUP(fact_daily_prices!$J677,dim_sector[sector_id],dim_sector[sector_name])</f>
        <v>Information Technology</v>
      </c>
      <c r="L677" t="str">
        <v>COMP006-12-02-2025</v>
      </c>
      <c r="M677" t="str">
        <f>_xlfn.CONCAT(A676," ",B676)</f>
        <v>45699 COMP006</v>
      </c>
    </row>
    <row r="678" spans="1:13" x14ac:dyDescent="0.3">
      <c r="A678" s="17">
        <v>45701</v>
      </c>
      <c r="B678" s="18" t="s">
        <v>26</v>
      </c>
      <c r="C678" s="18">
        <v>232.58</v>
      </c>
      <c r="D678" s="18">
        <v>234.36</v>
      </c>
      <c r="E678" s="18">
        <v>230.8</v>
      </c>
      <c r="F678" s="18">
        <v>231.31</v>
      </c>
      <c r="G678" s="18">
        <v>13867</v>
      </c>
      <c r="H678" s="18">
        <f t="shared" si="12"/>
        <v>-1.0548614413557554E-2</v>
      </c>
      <c r="I678" s="18">
        <f>PRODUCT(fact_daily_prices!$F678,fact_daily_prices!$G678)</f>
        <v>3207575.77</v>
      </c>
      <c r="J678" s="18" t="str">
        <f>_xlfn.XLOOKUP(fact_daily_prices!$B678,dim_company[company_id],dim_company[sector_id])</f>
        <v>SEC01</v>
      </c>
      <c r="K678" s="19" t="str">
        <f>_xlfn.XLOOKUP(fact_daily_prices!$J678,dim_sector[sector_id],dim_sector[sector_name])</f>
        <v>Information Technology</v>
      </c>
      <c r="L678" t="str">
        <v>COMP006-13-02-2025</v>
      </c>
      <c r="M678" t="str">
        <f>_xlfn.CONCAT(A677," ",B677)</f>
        <v>45700 COMP006</v>
      </c>
    </row>
    <row r="679" spans="1:13" x14ac:dyDescent="0.3">
      <c r="A679" s="20">
        <v>45702</v>
      </c>
      <c r="B679" s="7" t="s">
        <v>26</v>
      </c>
      <c r="C679" s="7">
        <v>232.24</v>
      </c>
      <c r="D679" s="7">
        <v>236.76</v>
      </c>
      <c r="E679" s="7">
        <v>227.72</v>
      </c>
      <c r="F679" s="7">
        <v>232.34</v>
      </c>
      <c r="G679" s="7">
        <v>31527</v>
      </c>
      <c r="H679" s="7">
        <f t="shared" si="12"/>
        <v>4.4331583024877384E-3</v>
      </c>
      <c r="I679" s="7">
        <f>PRODUCT(fact_daily_prices!$F679,fact_daily_prices!$G679)</f>
        <v>7324983.1799999997</v>
      </c>
      <c r="J679" s="7" t="str">
        <f>_xlfn.XLOOKUP(fact_daily_prices!$B679,dim_company[company_id],dim_company[sector_id])</f>
        <v>SEC01</v>
      </c>
      <c r="K679" s="21" t="str">
        <f>_xlfn.XLOOKUP(fact_daily_prices!$J679,dim_sector[sector_id],dim_sector[sector_name])</f>
        <v>Information Technology</v>
      </c>
      <c r="L679" t="str">
        <v>COMP006-14-02-2025</v>
      </c>
      <c r="M679" t="str">
        <f>_xlfn.CONCAT(A678," ",B678)</f>
        <v>45701 COMP006</v>
      </c>
    </row>
    <row r="680" spans="1:13" x14ac:dyDescent="0.3">
      <c r="A680" s="17">
        <v>45705</v>
      </c>
      <c r="B680" s="18" t="s">
        <v>26</v>
      </c>
      <c r="C680" s="18">
        <v>233.42</v>
      </c>
      <c r="D680" s="18">
        <v>236.85</v>
      </c>
      <c r="E680" s="18">
        <v>229.99</v>
      </c>
      <c r="F680" s="18">
        <v>232.42</v>
      </c>
      <c r="G680" s="18">
        <v>6451</v>
      </c>
      <c r="H680" s="18">
        <f t="shared" si="12"/>
        <v>3.4420445744765547E-4</v>
      </c>
      <c r="I680" s="18">
        <f>PRODUCT(fact_daily_prices!$F680,fact_daily_prices!$G680)</f>
        <v>1499341.42</v>
      </c>
      <c r="J680" s="18" t="str">
        <f>_xlfn.XLOOKUP(fact_daily_prices!$B680,dim_company[company_id],dim_company[sector_id])</f>
        <v>SEC01</v>
      </c>
      <c r="K680" s="19" t="str">
        <f>_xlfn.XLOOKUP(fact_daily_prices!$J680,dim_sector[sector_id],dim_sector[sector_name])</f>
        <v>Information Technology</v>
      </c>
      <c r="L680" t="str">
        <v>COMP006-17-02-2025</v>
      </c>
      <c r="M680" t="str">
        <f>_xlfn.CONCAT(A679," ",B679)</f>
        <v>45702 COMP006</v>
      </c>
    </row>
    <row r="681" spans="1:13" x14ac:dyDescent="0.3">
      <c r="A681" s="20">
        <v>45706</v>
      </c>
      <c r="B681" s="7" t="s">
        <v>26</v>
      </c>
      <c r="C681" s="7">
        <v>235.01</v>
      </c>
      <c r="D681" s="7">
        <v>236.65</v>
      </c>
      <c r="E681" s="7">
        <v>233.37</v>
      </c>
      <c r="F681" s="7">
        <v>235.43</v>
      </c>
      <c r="G681" s="7">
        <v>40954</v>
      </c>
      <c r="H681" s="7">
        <f t="shared" si="12"/>
        <v>1.2785116595166374E-2</v>
      </c>
      <c r="I681" s="7">
        <f>PRODUCT(fact_daily_prices!$F681,fact_daily_prices!$G681)</f>
        <v>9641800.2200000007</v>
      </c>
      <c r="J681" s="7" t="str">
        <f>_xlfn.XLOOKUP(fact_daily_prices!$B681,dim_company[company_id],dim_company[sector_id])</f>
        <v>SEC01</v>
      </c>
      <c r="K681" s="21" t="str">
        <f>_xlfn.XLOOKUP(fact_daily_prices!$J681,dim_sector[sector_id],dim_sector[sector_name])</f>
        <v>Information Technology</v>
      </c>
      <c r="L681" t="str">
        <v>COMP006-18-02-2025</v>
      </c>
      <c r="M681" t="str">
        <f>_xlfn.CONCAT(A680," ",B680)</f>
        <v>45705 COMP006</v>
      </c>
    </row>
    <row r="682" spans="1:13" x14ac:dyDescent="0.3">
      <c r="A682" s="17">
        <v>45707</v>
      </c>
      <c r="B682" s="18" t="s">
        <v>26</v>
      </c>
      <c r="C682" s="18">
        <v>241.98</v>
      </c>
      <c r="D682" s="18">
        <v>242.92</v>
      </c>
      <c r="E682" s="18">
        <v>241.03</v>
      </c>
      <c r="F682" s="18">
        <v>242.07</v>
      </c>
      <c r="G682" s="18">
        <v>31873</v>
      </c>
      <c r="H682" s="18">
        <f t="shared" si="12"/>
        <v>2.7430082207625838E-2</v>
      </c>
      <c r="I682" s="18">
        <f>PRODUCT(fact_daily_prices!$F682,fact_daily_prices!$G682)</f>
        <v>7715497.1099999994</v>
      </c>
      <c r="J682" s="18" t="str">
        <f>_xlfn.XLOOKUP(fact_daily_prices!$B682,dim_company[company_id],dim_company[sector_id])</f>
        <v>SEC01</v>
      </c>
      <c r="K682" s="19" t="str">
        <f>_xlfn.XLOOKUP(fact_daily_prices!$J682,dim_sector[sector_id],dim_sector[sector_name])</f>
        <v>Information Technology</v>
      </c>
      <c r="L682" t="str">
        <v>COMP006-19-02-2025</v>
      </c>
      <c r="M682" t="str">
        <f>_xlfn.CONCAT(A681," ",B681)</f>
        <v>45706 COMP006</v>
      </c>
    </row>
    <row r="683" spans="1:13" x14ac:dyDescent="0.3">
      <c r="A683" s="20">
        <v>45708</v>
      </c>
      <c r="B683" s="7" t="s">
        <v>26</v>
      </c>
      <c r="C683" s="7">
        <v>236.28</v>
      </c>
      <c r="D683" s="7">
        <v>238.29</v>
      </c>
      <c r="E683" s="7">
        <v>234.27</v>
      </c>
      <c r="F683" s="7">
        <v>238.22</v>
      </c>
      <c r="G683" s="7">
        <v>26372</v>
      </c>
      <c r="H683" s="7">
        <f t="shared" si="12"/>
        <v>-1.616153135756861E-2</v>
      </c>
      <c r="I683" s="7">
        <f>PRODUCT(fact_daily_prices!$F683,fact_daily_prices!$G683)</f>
        <v>6282337.8399999999</v>
      </c>
      <c r="J683" s="7" t="str">
        <f>_xlfn.XLOOKUP(fact_daily_prices!$B683,dim_company[company_id],dim_company[sector_id])</f>
        <v>SEC01</v>
      </c>
      <c r="K683" s="21" t="str">
        <f>_xlfn.XLOOKUP(fact_daily_prices!$J683,dim_sector[sector_id],dim_sector[sector_name])</f>
        <v>Information Technology</v>
      </c>
      <c r="L683" t="str">
        <v>COMP006-20-02-2025</v>
      </c>
      <c r="M683" t="str">
        <f>_xlfn.CONCAT(A682," ",B682)</f>
        <v>45707 COMP006</v>
      </c>
    </row>
    <row r="684" spans="1:13" x14ac:dyDescent="0.3">
      <c r="A684" s="17">
        <v>45709</v>
      </c>
      <c r="B684" s="18" t="s">
        <v>26</v>
      </c>
      <c r="C684" s="18">
        <v>236.25</v>
      </c>
      <c r="D684" s="18">
        <v>240.63</v>
      </c>
      <c r="E684" s="18">
        <v>231.88</v>
      </c>
      <c r="F684" s="18">
        <v>236.34</v>
      </c>
      <c r="G684" s="18">
        <v>30290</v>
      </c>
      <c r="H684" s="18">
        <f t="shared" si="12"/>
        <v>-7.9546416180079349E-3</v>
      </c>
      <c r="I684" s="18">
        <f>PRODUCT(fact_daily_prices!$F684,fact_daily_prices!$G684)</f>
        <v>7158738.6000000006</v>
      </c>
      <c r="J684" s="18" t="str">
        <f>_xlfn.XLOOKUP(fact_daily_prices!$B684,dim_company[company_id],dim_company[sector_id])</f>
        <v>SEC01</v>
      </c>
      <c r="K684" s="19" t="str">
        <f>_xlfn.XLOOKUP(fact_daily_prices!$J684,dim_sector[sector_id],dim_sector[sector_name])</f>
        <v>Information Technology</v>
      </c>
      <c r="L684" t="str">
        <v>COMP006-21-02-2025</v>
      </c>
      <c r="M684" t="str">
        <f>_xlfn.CONCAT(A683," ",B683)</f>
        <v>45708 COMP006</v>
      </c>
    </row>
    <row r="685" spans="1:13" x14ac:dyDescent="0.3">
      <c r="A685" s="20">
        <v>45712</v>
      </c>
      <c r="B685" s="7" t="s">
        <v>26</v>
      </c>
      <c r="C685" s="7">
        <v>235.64</v>
      </c>
      <c r="D685" s="7">
        <v>238.83</v>
      </c>
      <c r="E685" s="7">
        <v>232.44</v>
      </c>
      <c r="F685" s="7">
        <v>236.96</v>
      </c>
      <c r="G685" s="7">
        <v>6366</v>
      </c>
      <c r="H685" s="7">
        <f t="shared" si="12"/>
        <v>2.6164753544902285E-3</v>
      </c>
      <c r="I685" s="7">
        <f>PRODUCT(fact_daily_prices!$F685,fact_daily_prices!$G685)</f>
        <v>1508487.36</v>
      </c>
      <c r="J685" s="7" t="str">
        <f>_xlfn.XLOOKUP(fact_daily_prices!$B685,dim_company[company_id],dim_company[sector_id])</f>
        <v>SEC01</v>
      </c>
      <c r="K685" s="21" t="str">
        <f>_xlfn.XLOOKUP(fact_daily_prices!$J685,dim_sector[sector_id],dim_sector[sector_name])</f>
        <v>Information Technology</v>
      </c>
      <c r="L685" t="str">
        <v>COMP006-24-02-2025</v>
      </c>
      <c r="M685" t="str">
        <f>_xlfn.CONCAT(A684," ",B684)</f>
        <v>45709 COMP006</v>
      </c>
    </row>
    <row r="686" spans="1:13" x14ac:dyDescent="0.3">
      <c r="A686" s="17">
        <v>45713</v>
      </c>
      <c r="B686" s="18" t="s">
        <v>26</v>
      </c>
      <c r="C686" s="18">
        <v>232.66</v>
      </c>
      <c r="D686" s="18">
        <v>235.57</v>
      </c>
      <c r="E686" s="18">
        <v>229.74</v>
      </c>
      <c r="F686" s="18">
        <v>233.74</v>
      </c>
      <c r="G686" s="18">
        <v>11717</v>
      </c>
      <c r="H686" s="18">
        <f t="shared" si="12"/>
        <v>-1.3775990416702313E-2</v>
      </c>
      <c r="I686" s="18">
        <f>PRODUCT(fact_daily_prices!$F686,fact_daily_prices!$G686)</f>
        <v>2738731.58</v>
      </c>
      <c r="J686" s="18" t="str">
        <f>_xlfn.XLOOKUP(fact_daily_prices!$B686,dim_company[company_id],dim_company[sector_id])</f>
        <v>SEC01</v>
      </c>
      <c r="K686" s="19" t="str">
        <f>_xlfn.XLOOKUP(fact_daily_prices!$J686,dim_sector[sector_id],dim_sector[sector_name])</f>
        <v>Information Technology</v>
      </c>
      <c r="L686" t="str">
        <v>COMP006-25-02-2025</v>
      </c>
      <c r="M686" t="str">
        <f>_xlfn.CONCAT(A685," ",B685)</f>
        <v>45712 COMP006</v>
      </c>
    </row>
    <row r="687" spans="1:13" x14ac:dyDescent="0.3">
      <c r="A687" s="20">
        <v>45714</v>
      </c>
      <c r="B687" s="7" t="s">
        <v>26</v>
      </c>
      <c r="C687" s="7">
        <v>237.22</v>
      </c>
      <c r="D687" s="7">
        <v>239.5</v>
      </c>
      <c r="E687" s="7">
        <v>234.94</v>
      </c>
      <c r="F687" s="7">
        <v>236.11</v>
      </c>
      <c r="G687" s="7">
        <v>24360</v>
      </c>
      <c r="H687" s="7">
        <f t="shared" si="12"/>
        <v>1.0037694295031995E-2</v>
      </c>
      <c r="I687" s="7">
        <f>PRODUCT(fact_daily_prices!$F687,fact_daily_prices!$G687)</f>
        <v>5751639.6000000006</v>
      </c>
      <c r="J687" s="7" t="str">
        <f>_xlfn.XLOOKUP(fact_daily_prices!$B687,dim_company[company_id],dim_company[sector_id])</f>
        <v>SEC01</v>
      </c>
      <c r="K687" s="21" t="str">
        <f>_xlfn.XLOOKUP(fact_daily_prices!$J687,dim_sector[sector_id],dim_sector[sector_name])</f>
        <v>Information Technology</v>
      </c>
      <c r="L687" t="str">
        <v>COMP006-26-02-2025</v>
      </c>
      <c r="M687" t="str">
        <f>_xlfn.CONCAT(A686," ",B686)</f>
        <v>45713 COMP006</v>
      </c>
    </row>
    <row r="688" spans="1:13" x14ac:dyDescent="0.3">
      <c r="A688" s="17">
        <v>45715</v>
      </c>
      <c r="B688" s="18" t="s">
        <v>26</v>
      </c>
      <c r="C688" s="18">
        <v>237.92</v>
      </c>
      <c r="D688" s="18">
        <v>240.87</v>
      </c>
      <c r="E688" s="18">
        <v>234.96</v>
      </c>
      <c r="F688" s="18">
        <v>238.69</v>
      </c>
      <c r="G688" s="18">
        <v>37435</v>
      </c>
      <c r="H688" s="18">
        <f t="shared" si="12"/>
        <v>1.080899912019768E-2</v>
      </c>
      <c r="I688" s="18">
        <f>PRODUCT(fact_daily_prices!$F688,fact_daily_prices!$G688)</f>
        <v>8935360.1500000004</v>
      </c>
      <c r="J688" s="18" t="str">
        <f>_xlfn.XLOOKUP(fact_daily_prices!$B688,dim_company[company_id],dim_company[sector_id])</f>
        <v>SEC01</v>
      </c>
      <c r="K688" s="19" t="str">
        <f>_xlfn.XLOOKUP(fact_daily_prices!$J688,dim_sector[sector_id],dim_sector[sector_name])</f>
        <v>Information Technology</v>
      </c>
      <c r="L688" t="str">
        <v>COMP006-27-02-2025</v>
      </c>
      <c r="M688" t="str">
        <f>_xlfn.CONCAT(A687," ",B687)</f>
        <v>45714 COMP006</v>
      </c>
    </row>
    <row r="689" spans="1:13" x14ac:dyDescent="0.3">
      <c r="A689" s="20">
        <v>45716</v>
      </c>
      <c r="B689" s="7" t="s">
        <v>26</v>
      </c>
      <c r="C689" s="7">
        <v>239.94</v>
      </c>
      <c r="D689" s="7">
        <v>243.15</v>
      </c>
      <c r="E689" s="7">
        <v>236.72</v>
      </c>
      <c r="F689" s="7">
        <v>240.43</v>
      </c>
      <c r="G689" s="7">
        <v>42045</v>
      </c>
      <c r="H689" s="7">
        <f t="shared" si="12"/>
        <v>7.2370336480472863E-3</v>
      </c>
      <c r="I689" s="7">
        <f>PRODUCT(fact_daily_prices!$F689,fact_daily_prices!$G689)</f>
        <v>10108879.35</v>
      </c>
      <c r="J689" s="7" t="str">
        <f>_xlfn.XLOOKUP(fact_daily_prices!$B689,dim_company[company_id],dim_company[sector_id])</f>
        <v>SEC01</v>
      </c>
      <c r="K689" s="21" t="str">
        <f>_xlfn.XLOOKUP(fact_daily_prices!$J689,dim_sector[sector_id],dim_sector[sector_name])</f>
        <v>Information Technology</v>
      </c>
      <c r="L689" t="str">
        <v>COMP006-28-02-2025</v>
      </c>
      <c r="M689" t="str">
        <f>_xlfn.CONCAT(A688," ",B688)</f>
        <v>45715 COMP006</v>
      </c>
    </row>
    <row r="690" spans="1:13" x14ac:dyDescent="0.3">
      <c r="A690" s="17">
        <v>45719</v>
      </c>
      <c r="B690" s="18" t="s">
        <v>26</v>
      </c>
      <c r="C690" s="18">
        <v>240.65</v>
      </c>
      <c r="D690" s="18">
        <v>244.12</v>
      </c>
      <c r="E690" s="18">
        <v>237.18</v>
      </c>
      <c r="F690" s="18">
        <v>241.21</v>
      </c>
      <c r="G690" s="18">
        <v>19020</v>
      </c>
      <c r="H690" s="18">
        <f t="shared" si="12"/>
        <v>3.2336967787405212E-3</v>
      </c>
      <c r="I690" s="18">
        <f>PRODUCT(fact_daily_prices!$F690,fact_daily_prices!$G690)</f>
        <v>4587814.2</v>
      </c>
      <c r="J690" s="18" t="str">
        <f>_xlfn.XLOOKUP(fact_daily_prices!$B690,dim_company[company_id],dim_company[sector_id])</f>
        <v>SEC01</v>
      </c>
      <c r="K690" s="19" t="str">
        <f>_xlfn.XLOOKUP(fact_daily_prices!$J690,dim_sector[sector_id],dim_sector[sector_name])</f>
        <v>Information Technology</v>
      </c>
      <c r="L690" t="str">
        <v>COMP006-03-03-2025</v>
      </c>
      <c r="M690" t="str">
        <f>_xlfn.CONCAT(A689," ",B689)</f>
        <v>45716 COMP006</v>
      </c>
    </row>
    <row r="691" spans="1:13" x14ac:dyDescent="0.3">
      <c r="A691" s="20">
        <v>45720</v>
      </c>
      <c r="B691" s="7" t="s">
        <v>26</v>
      </c>
      <c r="C691" s="7">
        <v>245.04</v>
      </c>
      <c r="D691" s="7">
        <v>247.32</v>
      </c>
      <c r="E691" s="7">
        <v>242.75</v>
      </c>
      <c r="F691" s="7">
        <v>245.46</v>
      </c>
      <c r="G691" s="7">
        <v>20710</v>
      </c>
      <c r="H691" s="7">
        <f t="shared" si="12"/>
        <v>1.7314430049702598E-2</v>
      </c>
      <c r="I691" s="7">
        <f>PRODUCT(fact_daily_prices!$F691,fact_daily_prices!$G691)</f>
        <v>5083476.6000000006</v>
      </c>
      <c r="J691" s="7" t="str">
        <f>_xlfn.XLOOKUP(fact_daily_prices!$B691,dim_company[company_id],dim_company[sector_id])</f>
        <v>SEC01</v>
      </c>
      <c r="K691" s="21" t="str">
        <f>_xlfn.XLOOKUP(fact_daily_prices!$J691,dim_sector[sector_id],dim_sector[sector_name])</f>
        <v>Information Technology</v>
      </c>
      <c r="L691" t="str">
        <v>COMP006-04-03-2025</v>
      </c>
      <c r="M691" t="str">
        <f>_xlfn.CONCAT(A690," ",B690)</f>
        <v>45719 COMP006</v>
      </c>
    </row>
    <row r="692" spans="1:13" x14ac:dyDescent="0.3">
      <c r="A692" s="17">
        <v>45721</v>
      </c>
      <c r="B692" s="18" t="s">
        <v>26</v>
      </c>
      <c r="C692" s="18">
        <v>242.97</v>
      </c>
      <c r="D692" s="18">
        <v>245.04</v>
      </c>
      <c r="E692" s="18">
        <v>240.9</v>
      </c>
      <c r="F692" s="18">
        <v>241.97</v>
      </c>
      <c r="G692" s="18">
        <v>5967</v>
      </c>
      <c r="H692" s="18">
        <f t="shared" si="12"/>
        <v>-1.4423275612679295E-2</v>
      </c>
      <c r="I692" s="18">
        <f>PRODUCT(fact_daily_prices!$F692,fact_daily_prices!$G692)</f>
        <v>1443834.99</v>
      </c>
      <c r="J692" s="18" t="str">
        <f>_xlfn.XLOOKUP(fact_daily_prices!$B692,dim_company[company_id],dim_company[sector_id])</f>
        <v>SEC01</v>
      </c>
      <c r="K692" s="19" t="str">
        <f>_xlfn.XLOOKUP(fact_daily_prices!$J692,dim_sector[sector_id],dim_sector[sector_name])</f>
        <v>Information Technology</v>
      </c>
      <c r="L692" t="str">
        <v>COMP006-05-03-2025</v>
      </c>
      <c r="M692" t="str">
        <f>_xlfn.CONCAT(A691," ",B691)</f>
        <v>45720 COMP006</v>
      </c>
    </row>
    <row r="693" spans="1:13" x14ac:dyDescent="0.3">
      <c r="A693" s="20">
        <v>45722</v>
      </c>
      <c r="B693" s="7" t="s">
        <v>26</v>
      </c>
      <c r="C693" s="7">
        <v>242.52</v>
      </c>
      <c r="D693" s="7">
        <v>246.34</v>
      </c>
      <c r="E693" s="7">
        <v>238.7</v>
      </c>
      <c r="F693" s="7">
        <v>242.23</v>
      </c>
      <c r="G693" s="7">
        <v>6722</v>
      </c>
      <c r="H693" s="7">
        <f t="shared" si="12"/>
        <v>1.0733600297237788E-3</v>
      </c>
      <c r="I693" s="7">
        <f>PRODUCT(fact_daily_prices!$F693,fact_daily_prices!$G693)</f>
        <v>1628270.0599999998</v>
      </c>
      <c r="J693" s="7" t="str">
        <f>_xlfn.XLOOKUP(fact_daily_prices!$B693,dim_company[company_id],dim_company[sector_id])</f>
        <v>SEC01</v>
      </c>
      <c r="K693" s="21" t="str">
        <f>_xlfn.XLOOKUP(fact_daily_prices!$J693,dim_sector[sector_id],dim_sector[sector_name])</f>
        <v>Information Technology</v>
      </c>
      <c r="L693" t="str">
        <v>COMP006-06-03-2025</v>
      </c>
      <c r="M693" t="str">
        <f>_xlfn.CONCAT(A692," ",B692)</f>
        <v>45721 COMP006</v>
      </c>
    </row>
    <row r="694" spans="1:13" x14ac:dyDescent="0.3">
      <c r="A694" s="17">
        <v>45723</v>
      </c>
      <c r="B694" s="18" t="s">
        <v>26</v>
      </c>
      <c r="C694" s="18">
        <v>240.06</v>
      </c>
      <c r="D694" s="18">
        <v>241.26</v>
      </c>
      <c r="E694" s="18">
        <v>238.86</v>
      </c>
      <c r="F694" s="18">
        <v>240.04</v>
      </c>
      <c r="G694" s="18">
        <v>38212</v>
      </c>
      <c r="H694" s="18">
        <f t="shared" si="12"/>
        <v>-9.1234794200966418E-3</v>
      </c>
      <c r="I694" s="18">
        <f>PRODUCT(fact_daily_prices!$F694,fact_daily_prices!$G694)</f>
        <v>9172408.4800000004</v>
      </c>
      <c r="J694" s="18" t="str">
        <f>_xlfn.XLOOKUP(fact_daily_prices!$B694,dim_company[company_id],dim_company[sector_id])</f>
        <v>SEC01</v>
      </c>
      <c r="K694" s="19" t="str">
        <f>_xlfn.XLOOKUP(fact_daily_prices!$J694,dim_sector[sector_id],dim_sector[sector_name])</f>
        <v>Information Technology</v>
      </c>
      <c r="L694" t="str">
        <v>COMP006-07-03-2025</v>
      </c>
      <c r="M694" t="str">
        <f>_xlfn.CONCAT(A693," ",B693)</f>
        <v>45722 COMP006</v>
      </c>
    </row>
    <row r="695" spans="1:13" x14ac:dyDescent="0.3">
      <c r="A695" s="20">
        <v>45726</v>
      </c>
      <c r="B695" s="7" t="s">
        <v>26</v>
      </c>
      <c r="C695" s="7">
        <v>242.37</v>
      </c>
      <c r="D695" s="7">
        <v>245.14</v>
      </c>
      <c r="E695" s="7">
        <v>239.59</v>
      </c>
      <c r="F695" s="7">
        <v>242.81</v>
      </c>
      <c r="G695" s="7">
        <v>13297</v>
      </c>
      <c r="H695" s="7">
        <f t="shared" si="12"/>
        <v>1.1408096865862239E-2</v>
      </c>
      <c r="I695" s="7">
        <f>PRODUCT(fact_daily_prices!$F695,fact_daily_prices!$G695)</f>
        <v>3228644.57</v>
      </c>
      <c r="J695" s="7" t="str">
        <f>_xlfn.XLOOKUP(fact_daily_prices!$B695,dim_company[company_id],dim_company[sector_id])</f>
        <v>SEC01</v>
      </c>
      <c r="K695" s="21" t="str">
        <f>_xlfn.XLOOKUP(fact_daily_prices!$J695,dim_sector[sector_id],dim_sector[sector_name])</f>
        <v>Information Technology</v>
      </c>
      <c r="L695" t="str">
        <v>COMP006-10-03-2025</v>
      </c>
      <c r="M695" t="str">
        <f>_xlfn.CONCAT(A694," ",B694)</f>
        <v>45723 COMP006</v>
      </c>
    </row>
    <row r="696" spans="1:13" x14ac:dyDescent="0.3">
      <c r="A696" s="17">
        <v>45727</v>
      </c>
      <c r="B696" s="18" t="s">
        <v>26</v>
      </c>
      <c r="C696" s="18">
        <v>239.09</v>
      </c>
      <c r="D696" s="18">
        <v>241.6</v>
      </c>
      <c r="E696" s="18">
        <v>236.59</v>
      </c>
      <c r="F696" s="18">
        <v>237.32</v>
      </c>
      <c r="G696" s="18">
        <v>20702</v>
      </c>
      <c r="H696" s="18">
        <f t="shared" si="12"/>
        <v>-2.3133322096747046E-2</v>
      </c>
      <c r="I696" s="18">
        <f>PRODUCT(fact_daily_prices!$F696,fact_daily_prices!$G696)</f>
        <v>4912998.6399999997</v>
      </c>
      <c r="J696" s="18" t="str">
        <f>_xlfn.XLOOKUP(fact_daily_prices!$B696,dim_company[company_id],dim_company[sector_id])</f>
        <v>SEC01</v>
      </c>
      <c r="K696" s="19" t="str">
        <f>_xlfn.XLOOKUP(fact_daily_prices!$J696,dim_sector[sector_id],dim_sector[sector_name])</f>
        <v>Information Technology</v>
      </c>
      <c r="L696" t="str">
        <v>COMP006-11-03-2025</v>
      </c>
      <c r="M696" t="str">
        <f>_xlfn.CONCAT(A695," ",B695)</f>
        <v>45726 COMP006</v>
      </c>
    </row>
    <row r="697" spans="1:13" x14ac:dyDescent="0.3">
      <c r="A697" s="20">
        <v>45728</v>
      </c>
      <c r="B697" s="7" t="s">
        <v>26</v>
      </c>
      <c r="C697" s="7">
        <v>237.12</v>
      </c>
      <c r="D697" s="7">
        <v>241.66</v>
      </c>
      <c r="E697" s="7">
        <v>232.58</v>
      </c>
      <c r="F697" s="7">
        <v>237.29</v>
      </c>
      <c r="G697" s="7">
        <v>21127</v>
      </c>
      <c r="H697" s="7">
        <f t="shared" si="12"/>
        <v>-1.2642757806903426E-4</v>
      </c>
      <c r="I697" s="7">
        <f>PRODUCT(fact_daily_prices!$F697,fact_daily_prices!$G697)</f>
        <v>5013225.83</v>
      </c>
      <c r="J697" s="7" t="str">
        <f>_xlfn.XLOOKUP(fact_daily_prices!$B697,dim_company[company_id],dim_company[sector_id])</f>
        <v>SEC01</v>
      </c>
      <c r="K697" s="21" t="str">
        <f>_xlfn.XLOOKUP(fact_daily_prices!$J697,dim_sector[sector_id],dim_sector[sector_name])</f>
        <v>Information Technology</v>
      </c>
      <c r="L697" t="str">
        <v>COMP006-12-03-2025</v>
      </c>
      <c r="M697" t="str">
        <f>_xlfn.CONCAT(A696," ",B696)</f>
        <v>45727 COMP006</v>
      </c>
    </row>
    <row r="698" spans="1:13" x14ac:dyDescent="0.3">
      <c r="A698" s="17">
        <v>45729</v>
      </c>
      <c r="B698" s="18" t="s">
        <v>26</v>
      </c>
      <c r="C698" s="18">
        <v>238.43</v>
      </c>
      <c r="D698" s="18">
        <v>240.8</v>
      </c>
      <c r="E698" s="18">
        <v>236.06</v>
      </c>
      <c r="F698" s="18">
        <v>238.35</v>
      </c>
      <c r="G698" s="18">
        <v>29482</v>
      </c>
      <c r="H698" s="18">
        <f t="shared" si="12"/>
        <v>4.447241451646748E-3</v>
      </c>
      <c r="I698" s="18">
        <f>PRODUCT(fact_daily_prices!$F698,fact_daily_prices!$G698)</f>
        <v>7027034.7000000002</v>
      </c>
      <c r="J698" s="18" t="str">
        <f>_xlfn.XLOOKUP(fact_daily_prices!$B698,dim_company[company_id],dim_company[sector_id])</f>
        <v>SEC01</v>
      </c>
      <c r="K698" s="19" t="str">
        <f>_xlfn.XLOOKUP(fact_daily_prices!$J698,dim_sector[sector_id],dim_sector[sector_name])</f>
        <v>Information Technology</v>
      </c>
      <c r="L698" t="str">
        <v>COMP006-13-03-2025</v>
      </c>
      <c r="M698" t="str">
        <f>_xlfn.CONCAT(A697," ",B697)</f>
        <v>45728 COMP006</v>
      </c>
    </row>
    <row r="699" spans="1:13" x14ac:dyDescent="0.3">
      <c r="A699" s="20">
        <v>45730</v>
      </c>
      <c r="B699" s="7" t="s">
        <v>26</v>
      </c>
      <c r="C699" s="7">
        <v>234.73</v>
      </c>
      <c r="D699" s="7">
        <v>237.43</v>
      </c>
      <c r="E699" s="7">
        <v>232.03</v>
      </c>
      <c r="F699" s="7">
        <v>235.58</v>
      </c>
      <c r="G699" s="7">
        <v>41546</v>
      </c>
      <c r="H699" s="7">
        <f t="shared" si="12"/>
        <v>-1.1758213770269045E-2</v>
      </c>
      <c r="I699" s="7">
        <f>PRODUCT(fact_daily_prices!$F699,fact_daily_prices!$G699)</f>
        <v>9787406.6799999997</v>
      </c>
      <c r="J699" s="7" t="str">
        <f>_xlfn.XLOOKUP(fact_daily_prices!$B699,dim_company[company_id],dim_company[sector_id])</f>
        <v>SEC01</v>
      </c>
      <c r="K699" s="21" t="str">
        <f>_xlfn.XLOOKUP(fact_daily_prices!$J699,dim_sector[sector_id],dim_sector[sector_name])</f>
        <v>Information Technology</v>
      </c>
      <c r="L699" t="str">
        <v>COMP006-14-03-2025</v>
      </c>
      <c r="M699" t="str">
        <f>_xlfn.CONCAT(A698," ",B698)</f>
        <v>45729 COMP006</v>
      </c>
    </row>
    <row r="700" spans="1:13" x14ac:dyDescent="0.3">
      <c r="A700" s="17">
        <v>45733</v>
      </c>
      <c r="B700" s="18" t="s">
        <v>26</v>
      </c>
      <c r="C700" s="18">
        <v>234.66</v>
      </c>
      <c r="D700" s="18">
        <v>238.23</v>
      </c>
      <c r="E700" s="18">
        <v>231.09</v>
      </c>
      <c r="F700" s="18">
        <v>233.79</v>
      </c>
      <c r="G700" s="18">
        <v>20149</v>
      </c>
      <c r="H700" s="18">
        <f t="shared" si="12"/>
        <v>-7.6564438171009049E-3</v>
      </c>
      <c r="I700" s="18">
        <f>PRODUCT(fact_daily_prices!$F700,fact_daily_prices!$G700)</f>
        <v>4710634.71</v>
      </c>
      <c r="J700" s="18" t="str">
        <f>_xlfn.XLOOKUP(fact_daily_prices!$B700,dim_company[company_id],dim_company[sector_id])</f>
        <v>SEC01</v>
      </c>
      <c r="K700" s="19" t="str">
        <f>_xlfn.XLOOKUP(fact_daily_prices!$J700,dim_sector[sector_id],dim_sector[sector_name])</f>
        <v>Information Technology</v>
      </c>
      <c r="L700" t="str">
        <v>COMP006-17-03-2025</v>
      </c>
      <c r="M700" t="str">
        <f>_xlfn.CONCAT(A699," ",B699)</f>
        <v>45730 COMP006</v>
      </c>
    </row>
    <row r="701" spans="1:13" x14ac:dyDescent="0.3">
      <c r="A701" s="20">
        <v>45734</v>
      </c>
      <c r="B701" s="7" t="s">
        <v>26</v>
      </c>
      <c r="C701" s="7">
        <v>233.02</v>
      </c>
      <c r="D701" s="7">
        <v>236.8</v>
      </c>
      <c r="E701" s="7">
        <v>229.25</v>
      </c>
      <c r="F701" s="7">
        <v>233.89</v>
      </c>
      <c r="G701" s="7">
        <v>5956</v>
      </c>
      <c r="H701" s="7">
        <f t="shared" si="12"/>
        <v>4.2755141305739588E-4</v>
      </c>
      <c r="I701" s="7">
        <f>PRODUCT(fact_daily_prices!$F701,fact_daily_prices!$G701)</f>
        <v>1393048.8399999999</v>
      </c>
      <c r="J701" s="7" t="str">
        <f>_xlfn.XLOOKUP(fact_daily_prices!$B701,dim_company[company_id],dim_company[sector_id])</f>
        <v>SEC01</v>
      </c>
      <c r="K701" s="21" t="str">
        <f>_xlfn.XLOOKUP(fact_daily_prices!$J701,dim_sector[sector_id],dim_sector[sector_name])</f>
        <v>Information Technology</v>
      </c>
      <c r="L701" t="str">
        <v>COMP006-18-03-2025</v>
      </c>
      <c r="M701" t="str">
        <f>_xlfn.CONCAT(A700," ",B700)</f>
        <v>45733 COMP006</v>
      </c>
    </row>
    <row r="702" spans="1:13" x14ac:dyDescent="0.3">
      <c r="A702" s="17">
        <v>45735</v>
      </c>
      <c r="B702" s="18" t="s">
        <v>26</v>
      </c>
      <c r="C702" s="18">
        <v>237.26</v>
      </c>
      <c r="D702" s="18">
        <v>239.45</v>
      </c>
      <c r="E702" s="18">
        <v>235.08</v>
      </c>
      <c r="F702" s="18">
        <v>236.78</v>
      </c>
      <c r="G702" s="18">
        <v>16417</v>
      </c>
      <c r="H702" s="18">
        <f t="shared" si="12"/>
        <v>1.2205422755300342E-2</v>
      </c>
      <c r="I702" s="18">
        <f>PRODUCT(fact_daily_prices!$F702,fact_daily_prices!$G702)</f>
        <v>3887217.2600000002</v>
      </c>
      <c r="J702" s="18" t="str">
        <f>_xlfn.XLOOKUP(fact_daily_prices!$B702,dim_company[company_id],dim_company[sector_id])</f>
        <v>SEC01</v>
      </c>
      <c r="K702" s="19" t="str">
        <f>_xlfn.XLOOKUP(fact_daily_prices!$J702,dim_sector[sector_id],dim_sector[sector_name])</f>
        <v>Information Technology</v>
      </c>
      <c r="L702" t="str">
        <v>COMP006-19-03-2025</v>
      </c>
      <c r="M702" t="str">
        <f>_xlfn.CONCAT(A701," ",B701)</f>
        <v>45734 COMP006</v>
      </c>
    </row>
    <row r="703" spans="1:13" x14ac:dyDescent="0.3">
      <c r="A703" s="20">
        <v>45736</v>
      </c>
      <c r="B703" s="7" t="s">
        <v>26</v>
      </c>
      <c r="C703" s="7">
        <v>233.54</v>
      </c>
      <c r="D703" s="7">
        <v>237.87</v>
      </c>
      <c r="E703" s="7">
        <v>229.21</v>
      </c>
      <c r="F703" s="7">
        <v>233.77</v>
      </c>
      <c r="G703" s="7">
        <v>33598</v>
      </c>
      <c r="H703" s="7">
        <f t="shared" si="12"/>
        <v>-1.2875903665996453E-2</v>
      </c>
      <c r="I703" s="7">
        <f>PRODUCT(fact_daily_prices!$F703,fact_daily_prices!$G703)</f>
        <v>7854204.46</v>
      </c>
      <c r="J703" s="7" t="str">
        <f>_xlfn.XLOOKUP(fact_daily_prices!$B703,dim_company[company_id],dim_company[sector_id])</f>
        <v>SEC01</v>
      </c>
      <c r="K703" s="21" t="str">
        <f>_xlfn.XLOOKUP(fact_daily_prices!$J703,dim_sector[sector_id],dim_sector[sector_name])</f>
        <v>Information Technology</v>
      </c>
      <c r="L703" t="str">
        <v>COMP006-20-03-2025</v>
      </c>
      <c r="M703" t="str">
        <f>_xlfn.CONCAT(A702," ",B702)</f>
        <v>45735 COMP006</v>
      </c>
    </row>
    <row r="704" spans="1:13" x14ac:dyDescent="0.3">
      <c r="A704" s="17">
        <v>45737</v>
      </c>
      <c r="B704" s="18" t="s">
        <v>26</v>
      </c>
      <c r="C704" s="18">
        <v>231.97</v>
      </c>
      <c r="D704" s="18">
        <v>233.65</v>
      </c>
      <c r="E704" s="18">
        <v>230.29</v>
      </c>
      <c r="F704" s="18">
        <v>231.31</v>
      </c>
      <c r="G704" s="18">
        <v>21584</v>
      </c>
      <c r="H704" s="18">
        <f t="shared" si="12"/>
        <v>-1.0635078466127742E-2</v>
      </c>
      <c r="I704" s="18">
        <f>PRODUCT(fact_daily_prices!$F704,fact_daily_prices!$G704)</f>
        <v>4992595.04</v>
      </c>
      <c r="J704" s="18" t="str">
        <f>_xlfn.XLOOKUP(fact_daily_prices!$B704,dim_company[company_id],dim_company[sector_id])</f>
        <v>SEC01</v>
      </c>
      <c r="K704" s="19" t="str">
        <f>_xlfn.XLOOKUP(fact_daily_prices!$J704,dim_sector[sector_id],dim_sector[sector_name])</f>
        <v>Information Technology</v>
      </c>
      <c r="L704" t="str">
        <v>COMP006-21-03-2025</v>
      </c>
      <c r="M704" t="str">
        <f>_xlfn.CONCAT(A703," ",B703)</f>
        <v>45736 COMP006</v>
      </c>
    </row>
    <row r="705" spans="1:13" x14ac:dyDescent="0.3">
      <c r="A705" s="20">
        <v>45740</v>
      </c>
      <c r="B705" s="7" t="s">
        <v>26</v>
      </c>
      <c r="C705" s="7">
        <v>232.96</v>
      </c>
      <c r="D705" s="7">
        <v>235.74</v>
      </c>
      <c r="E705" s="7">
        <v>230.18</v>
      </c>
      <c r="F705" s="7">
        <v>234.67</v>
      </c>
      <c r="G705" s="7">
        <v>44361</v>
      </c>
      <c r="H705" s="7">
        <f t="shared" si="12"/>
        <v>1.4317978437806219E-2</v>
      </c>
      <c r="I705" s="7">
        <f>PRODUCT(fact_daily_prices!$F705,fact_daily_prices!$G705)</f>
        <v>10410195.869999999</v>
      </c>
      <c r="J705" s="7" t="str">
        <f>_xlfn.XLOOKUP(fact_daily_prices!$B705,dim_company[company_id],dim_company[sector_id])</f>
        <v>SEC01</v>
      </c>
      <c r="K705" s="21" t="str">
        <f>_xlfn.XLOOKUP(fact_daily_prices!$J705,dim_sector[sector_id],dim_sector[sector_name])</f>
        <v>Information Technology</v>
      </c>
      <c r="L705" t="str">
        <v>COMP006-24-03-2025</v>
      </c>
      <c r="M705" t="str">
        <f>_xlfn.CONCAT(A704," ",B704)</f>
        <v>45737 COMP006</v>
      </c>
    </row>
    <row r="706" spans="1:13" x14ac:dyDescent="0.3">
      <c r="A706" s="17">
        <v>45741</v>
      </c>
      <c r="B706" s="18" t="s">
        <v>26</v>
      </c>
      <c r="C706" s="18">
        <v>234.98</v>
      </c>
      <c r="D706" s="18">
        <v>237.1</v>
      </c>
      <c r="E706" s="18">
        <v>232.87</v>
      </c>
      <c r="F706" s="18">
        <v>233.92</v>
      </c>
      <c r="G706" s="18">
        <v>13996</v>
      </c>
      <c r="H706" s="18">
        <f t="shared" si="12"/>
        <v>-3.2062243502051983E-3</v>
      </c>
      <c r="I706" s="18">
        <f>PRODUCT(fact_daily_prices!$F706,fact_daily_prices!$G706)</f>
        <v>3273944.32</v>
      </c>
      <c r="J706" s="18" t="str">
        <f>_xlfn.XLOOKUP(fact_daily_prices!$B706,dim_company[company_id],dim_company[sector_id])</f>
        <v>SEC01</v>
      </c>
      <c r="K706" s="19" t="str">
        <f>_xlfn.XLOOKUP(fact_daily_prices!$J706,dim_sector[sector_id],dim_sector[sector_name])</f>
        <v>Information Technology</v>
      </c>
      <c r="L706" t="str">
        <v>COMP006-25-03-2025</v>
      </c>
      <c r="M706" t="str">
        <f>_xlfn.CONCAT(A705," ",B705)</f>
        <v>45740 COMP006</v>
      </c>
    </row>
    <row r="707" spans="1:13" x14ac:dyDescent="0.3">
      <c r="A707" s="20">
        <v>45742</v>
      </c>
      <c r="B707" s="7" t="s">
        <v>26</v>
      </c>
      <c r="C707" s="7">
        <v>232.06</v>
      </c>
      <c r="D707" s="7">
        <v>235.03</v>
      </c>
      <c r="E707" s="7">
        <v>229.08</v>
      </c>
      <c r="F707" s="7">
        <v>231.69</v>
      </c>
      <c r="G707" s="7">
        <v>23626</v>
      </c>
      <c r="H707" s="7">
        <f t="shared" si="12"/>
        <v>-9.6249298631792043E-3</v>
      </c>
      <c r="I707" s="7">
        <f>PRODUCT(fact_daily_prices!$F707,fact_daily_prices!$G707)</f>
        <v>5473907.9400000004</v>
      </c>
      <c r="J707" s="7" t="str">
        <f>_xlfn.XLOOKUP(fact_daily_prices!$B707,dim_company[company_id],dim_company[sector_id])</f>
        <v>SEC01</v>
      </c>
      <c r="K707" s="21" t="str">
        <f>_xlfn.XLOOKUP(fact_daily_prices!$J707,dim_sector[sector_id],dim_sector[sector_name])</f>
        <v>Information Technology</v>
      </c>
      <c r="L707" t="str">
        <v>COMP006-26-03-2025</v>
      </c>
      <c r="M707" t="str">
        <f>_xlfn.CONCAT(A706," ",B706)</f>
        <v>45741 COMP006</v>
      </c>
    </row>
    <row r="708" spans="1:13" x14ac:dyDescent="0.3">
      <c r="A708" s="17">
        <v>45743</v>
      </c>
      <c r="B708" s="18" t="s">
        <v>26</v>
      </c>
      <c r="C708" s="18">
        <v>232.69</v>
      </c>
      <c r="D708" s="18">
        <v>235.41</v>
      </c>
      <c r="E708" s="18">
        <v>229.96</v>
      </c>
      <c r="F708" s="18">
        <v>233.89</v>
      </c>
      <c r="G708" s="18">
        <v>2132</v>
      </c>
      <c r="H708" s="18">
        <f t="shared" ref="H708:H771" si="13">(F708-F707)/F708</f>
        <v>9.4061310872631948E-3</v>
      </c>
      <c r="I708" s="18">
        <f>PRODUCT(fact_daily_prices!$F708,fact_daily_prices!$G708)</f>
        <v>498653.48</v>
      </c>
      <c r="J708" s="18" t="str">
        <f>_xlfn.XLOOKUP(fact_daily_prices!$B708,dim_company[company_id],dim_company[sector_id])</f>
        <v>SEC01</v>
      </c>
      <c r="K708" s="19" t="str">
        <f>_xlfn.XLOOKUP(fact_daily_prices!$J708,dim_sector[sector_id],dim_sector[sector_name])</f>
        <v>Information Technology</v>
      </c>
      <c r="L708" t="str">
        <v>COMP006-27-03-2025</v>
      </c>
      <c r="M708" t="str">
        <f>_xlfn.CONCAT(A707," ",B707)</f>
        <v>45742 COMP006</v>
      </c>
    </row>
    <row r="709" spans="1:13" x14ac:dyDescent="0.3">
      <c r="A709" s="20">
        <v>45744</v>
      </c>
      <c r="B709" s="7" t="s">
        <v>26</v>
      </c>
      <c r="C709" s="7">
        <v>231.25</v>
      </c>
      <c r="D709" s="7">
        <v>234.15</v>
      </c>
      <c r="E709" s="7">
        <v>228.35</v>
      </c>
      <c r="F709" s="7">
        <v>232.51</v>
      </c>
      <c r="G709" s="7">
        <v>40065</v>
      </c>
      <c r="H709" s="7">
        <f t="shared" si="13"/>
        <v>-5.9352285923185907E-3</v>
      </c>
      <c r="I709" s="7">
        <f>PRODUCT(fact_daily_prices!$F709,fact_daily_prices!$G709)</f>
        <v>9315513.1500000004</v>
      </c>
      <c r="J709" s="7" t="str">
        <f>_xlfn.XLOOKUP(fact_daily_prices!$B709,dim_company[company_id],dim_company[sector_id])</f>
        <v>SEC01</v>
      </c>
      <c r="K709" s="21" t="str">
        <f>_xlfn.XLOOKUP(fact_daily_prices!$J709,dim_sector[sector_id],dim_sector[sector_name])</f>
        <v>Information Technology</v>
      </c>
      <c r="L709" t="str">
        <v>COMP006-28-03-2025</v>
      </c>
      <c r="M709" t="str">
        <f>_xlfn.CONCAT(A708," ",B708)</f>
        <v>45743 COMP006</v>
      </c>
    </row>
    <row r="710" spans="1:13" x14ac:dyDescent="0.3">
      <c r="A710" s="17">
        <v>45747</v>
      </c>
      <c r="B710" s="18" t="s">
        <v>26</v>
      </c>
      <c r="C710" s="18">
        <v>236.71</v>
      </c>
      <c r="D710" s="18">
        <v>239.8</v>
      </c>
      <c r="E710" s="18">
        <v>233.62</v>
      </c>
      <c r="F710" s="18">
        <v>235.59</v>
      </c>
      <c r="G710" s="18">
        <v>3179</v>
      </c>
      <c r="H710" s="18">
        <f t="shared" si="13"/>
        <v>1.3073559998302188E-2</v>
      </c>
      <c r="I710" s="18">
        <f>PRODUCT(fact_daily_prices!$F710,fact_daily_prices!$G710)</f>
        <v>748940.61</v>
      </c>
      <c r="J710" s="18" t="str">
        <f>_xlfn.XLOOKUP(fact_daily_prices!$B710,dim_company[company_id],dim_company[sector_id])</f>
        <v>SEC01</v>
      </c>
      <c r="K710" s="19" t="str">
        <f>_xlfn.XLOOKUP(fact_daily_prices!$J710,dim_sector[sector_id],dim_sector[sector_name])</f>
        <v>Information Technology</v>
      </c>
      <c r="L710" t="str">
        <v>COMP006-31-03-2025</v>
      </c>
      <c r="M710" t="str">
        <f>_xlfn.CONCAT(A709," ",B709)</f>
        <v>45744 COMP006</v>
      </c>
    </row>
    <row r="711" spans="1:13" x14ac:dyDescent="0.3">
      <c r="A711" s="20">
        <v>45748</v>
      </c>
      <c r="B711" s="7" t="s">
        <v>26</v>
      </c>
      <c r="C711" s="7">
        <v>233.53</v>
      </c>
      <c r="D711" s="7">
        <v>237.53</v>
      </c>
      <c r="E711" s="7">
        <v>229.53</v>
      </c>
      <c r="F711" s="7">
        <v>233.69</v>
      </c>
      <c r="G711" s="7">
        <v>48857</v>
      </c>
      <c r="H711" s="7">
        <f t="shared" si="13"/>
        <v>-8.130429201078376E-3</v>
      </c>
      <c r="I711" s="7">
        <f>PRODUCT(fact_daily_prices!$F711,fact_daily_prices!$G711)</f>
        <v>11417392.33</v>
      </c>
      <c r="J711" s="7" t="str">
        <f>_xlfn.XLOOKUP(fact_daily_prices!$B711,dim_company[company_id],dim_company[sector_id])</f>
        <v>SEC01</v>
      </c>
      <c r="K711" s="21" t="str">
        <f>_xlfn.XLOOKUP(fact_daily_prices!$J711,dim_sector[sector_id],dim_sector[sector_name])</f>
        <v>Information Technology</v>
      </c>
      <c r="L711" t="str">
        <v>COMP006-01-04-2025</v>
      </c>
      <c r="M711" t="str">
        <f>_xlfn.CONCAT(A710," ",B710)</f>
        <v>45747 COMP006</v>
      </c>
    </row>
    <row r="712" spans="1:13" x14ac:dyDescent="0.3">
      <c r="A712" s="17">
        <v>45749</v>
      </c>
      <c r="B712" s="18" t="s">
        <v>26</v>
      </c>
      <c r="C712" s="18">
        <v>232.37</v>
      </c>
      <c r="D712" s="18">
        <v>234.23</v>
      </c>
      <c r="E712" s="18">
        <v>230.52</v>
      </c>
      <c r="F712" s="18">
        <v>233.27</v>
      </c>
      <c r="G712" s="18">
        <v>40464</v>
      </c>
      <c r="H712" s="18">
        <f t="shared" si="13"/>
        <v>-1.8004887040767672E-3</v>
      </c>
      <c r="I712" s="18">
        <f>PRODUCT(fact_daily_prices!$F712,fact_daily_prices!$G712)</f>
        <v>9439037.2800000012</v>
      </c>
      <c r="J712" s="18" t="str">
        <f>_xlfn.XLOOKUP(fact_daily_prices!$B712,dim_company[company_id],dim_company[sector_id])</f>
        <v>SEC01</v>
      </c>
      <c r="K712" s="19" t="str">
        <f>_xlfn.XLOOKUP(fact_daily_prices!$J712,dim_sector[sector_id],dim_sector[sector_name])</f>
        <v>Information Technology</v>
      </c>
      <c r="L712" t="str">
        <v>COMP006-02-04-2025</v>
      </c>
      <c r="M712" t="str">
        <f>_xlfn.CONCAT(A711," ",B711)</f>
        <v>45748 COMP006</v>
      </c>
    </row>
    <row r="713" spans="1:13" x14ac:dyDescent="0.3">
      <c r="A713" s="20">
        <v>45750</v>
      </c>
      <c r="B713" s="7" t="s">
        <v>26</v>
      </c>
      <c r="C713" s="7">
        <v>235.42</v>
      </c>
      <c r="D713" s="7">
        <v>237.52</v>
      </c>
      <c r="E713" s="7">
        <v>233.32</v>
      </c>
      <c r="F713" s="7">
        <v>236.12</v>
      </c>
      <c r="G713" s="7">
        <v>14869</v>
      </c>
      <c r="H713" s="7">
        <f t="shared" si="13"/>
        <v>1.2070133830255778E-2</v>
      </c>
      <c r="I713" s="7">
        <f>PRODUCT(fact_daily_prices!$F713,fact_daily_prices!$G713)</f>
        <v>3510868.2800000003</v>
      </c>
      <c r="J713" s="7" t="str">
        <f>_xlfn.XLOOKUP(fact_daily_prices!$B713,dim_company[company_id],dim_company[sector_id])</f>
        <v>SEC01</v>
      </c>
      <c r="K713" s="21" t="str">
        <f>_xlfn.XLOOKUP(fact_daily_prices!$J713,dim_sector[sector_id],dim_sector[sector_name])</f>
        <v>Information Technology</v>
      </c>
      <c r="L713" t="str">
        <v>COMP006-03-04-2025</v>
      </c>
      <c r="M713" t="str">
        <f>_xlfn.CONCAT(A712," ",B712)</f>
        <v>45749 COMP006</v>
      </c>
    </row>
    <row r="714" spans="1:13" x14ac:dyDescent="0.3">
      <c r="A714" s="17">
        <v>45751</v>
      </c>
      <c r="B714" s="18" t="s">
        <v>26</v>
      </c>
      <c r="C714" s="18">
        <v>235.83</v>
      </c>
      <c r="D714" s="18">
        <v>236.48</v>
      </c>
      <c r="E714" s="18">
        <v>235.17</v>
      </c>
      <c r="F714" s="18">
        <v>235.51</v>
      </c>
      <c r="G714" s="18">
        <v>32555</v>
      </c>
      <c r="H714" s="18">
        <f t="shared" si="13"/>
        <v>-2.5901235616322604E-3</v>
      </c>
      <c r="I714" s="18">
        <f>PRODUCT(fact_daily_prices!$F714,fact_daily_prices!$G714)</f>
        <v>7667028.0499999998</v>
      </c>
      <c r="J714" s="18" t="str">
        <f>_xlfn.XLOOKUP(fact_daily_prices!$B714,dim_company[company_id],dim_company[sector_id])</f>
        <v>SEC01</v>
      </c>
      <c r="K714" s="19" t="str">
        <f>_xlfn.XLOOKUP(fact_daily_prices!$J714,dim_sector[sector_id],dim_sector[sector_name])</f>
        <v>Information Technology</v>
      </c>
      <c r="L714" t="str">
        <v>COMP006-04-04-2025</v>
      </c>
      <c r="M714" t="str">
        <f>_xlfn.CONCAT(A713," ",B713)</f>
        <v>45750 COMP006</v>
      </c>
    </row>
    <row r="715" spans="1:13" x14ac:dyDescent="0.3">
      <c r="A715" s="20">
        <v>45754</v>
      </c>
      <c r="B715" s="7" t="s">
        <v>26</v>
      </c>
      <c r="C715" s="7">
        <v>236.43</v>
      </c>
      <c r="D715" s="7">
        <v>239.22</v>
      </c>
      <c r="E715" s="7">
        <v>233.63</v>
      </c>
      <c r="F715" s="7">
        <v>237.82</v>
      </c>
      <c r="G715" s="7">
        <v>47976</v>
      </c>
      <c r="H715" s="7">
        <f t="shared" si="13"/>
        <v>9.7132284921369206E-3</v>
      </c>
      <c r="I715" s="7">
        <f>PRODUCT(fact_daily_prices!$F715,fact_daily_prices!$G715)</f>
        <v>11409652.32</v>
      </c>
      <c r="J715" s="7" t="str">
        <f>_xlfn.XLOOKUP(fact_daily_prices!$B715,dim_company[company_id],dim_company[sector_id])</f>
        <v>SEC01</v>
      </c>
      <c r="K715" s="21" t="str">
        <f>_xlfn.XLOOKUP(fact_daily_prices!$J715,dim_sector[sector_id],dim_sector[sector_name])</f>
        <v>Information Technology</v>
      </c>
      <c r="L715" t="str">
        <v>COMP006-07-04-2025</v>
      </c>
      <c r="M715" t="str">
        <f>_xlfn.CONCAT(A714," ",B714)</f>
        <v>45751 COMP006</v>
      </c>
    </row>
    <row r="716" spans="1:13" x14ac:dyDescent="0.3">
      <c r="A716" s="17">
        <v>45755</v>
      </c>
      <c r="B716" s="18" t="s">
        <v>26</v>
      </c>
      <c r="C716" s="18">
        <v>236.72</v>
      </c>
      <c r="D716" s="18">
        <v>239.62</v>
      </c>
      <c r="E716" s="18">
        <v>233.82</v>
      </c>
      <c r="F716" s="18">
        <v>237.68</v>
      </c>
      <c r="G716" s="18">
        <v>46095</v>
      </c>
      <c r="H716" s="18">
        <f t="shared" si="13"/>
        <v>-5.8902726354756962E-4</v>
      </c>
      <c r="I716" s="18">
        <f>PRODUCT(fact_daily_prices!$F716,fact_daily_prices!$G716)</f>
        <v>10955859.6</v>
      </c>
      <c r="J716" s="18" t="str">
        <f>_xlfn.XLOOKUP(fact_daily_prices!$B716,dim_company[company_id],dim_company[sector_id])</f>
        <v>SEC01</v>
      </c>
      <c r="K716" s="19" t="str">
        <f>_xlfn.XLOOKUP(fact_daily_prices!$J716,dim_sector[sector_id],dim_sector[sector_name])</f>
        <v>Information Technology</v>
      </c>
      <c r="L716" t="str">
        <v>COMP006-08-04-2025</v>
      </c>
      <c r="M716" t="str">
        <f>_xlfn.CONCAT(A715," ",B715)</f>
        <v>45754 COMP006</v>
      </c>
    </row>
    <row r="717" spans="1:13" x14ac:dyDescent="0.3">
      <c r="A717" s="20">
        <v>45756</v>
      </c>
      <c r="B717" s="7" t="s">
        <v>26</v>
      </c>
      <c r="C717" s="7">
        <v>242.09</v>
      </c>
      <c r="D717" s="7">
        <v>243.98</v>
      </c>
      <c r="E717" s="7">
        <v>240.2</v>
      </c>
      <c r="F717" s="7">
        <v>243.75</v>
      </c>
      <c r="G717" s="7">
        <v>48068</v>
      </c>
      <c r="H717" s="7">
        <f t="shared" si="13"/>
        <v>2.4902564102564074E-2</v>
      </c>
      <c r="I717" s="7">
        <f>PRODUCT(fact_daily_prices!$F717,fact_daily_prices!$G717)</f>
        <v>11716575</v>
      </c>
      <c r="J717" s="7" t="str">
        <f>_xlfn.XLOOKUP(fact_daily_prices!$B717,dim_company[company_id],dim_company[sector_id])</f>
        <v>SEC01</v>
      </c>
      <c r="K717" s="21" t="str">
        <f>_xlfn.XLOOKUP(fact_daily_prices!$J717,dim_sector[sector_id],dim_sector[sector_name])</f>
        <v>Information Technology</v>
      </c>
      <c r="L717" t="str">
        <v>COMP006-09-04-2025</v>
      </c>
      <c r="M717" t="str">
        <f>_xlfn.CONCAT(A716," ",B716)</f>
        <v>45755 COMP006</v>
      </c>
    </row>
    <row r="718" spans="1:13" x14ac:dyDescent="0.3">
      <c r="A718" s="17">
        <v>45757</v>
      </c>
      <c r="B718" s="18" t="s">
        <v>26</v>
      </c>
      <c r="C718" s="18">
        <v>248.96</v>
      </c>
      <c r="D718" s="18">
        <v>252.5</v>
      </c>
      <c r="E718" s="18">
        <v>245.41</v>
      </c>
      <c r="F718" s="18">
        <v>248.67</v>
      </c>
      <c r="G718" s="18">
        <v>17673</v>
      </c>
      <c r="H718" s="18">
        <f t="shared" si="13"/>
        <v>1.9785257570273808E-2</v>
      </c>
      <c r="I718" s="18">
        <f>PRODUCT(fact_daily_prices!$F718,fact_daily_prices!$G718)</f>
        <v>4394744.91</v>
      </c>
      <c r="J718" s="18" t="str">
        <f>_xlfn.XLOOKUP(fact_daily_prices!$B718,dim_company[company_id],dim_company[sector_id])</f>
        <v>SEC01</v>
      </c>
      <c r="K718" s="19" t="str">
        <f>_xlfn.XLOOKUP(fact_daily_prices!$J718,dim_sector[sector_id],dim_sector[sector_name])</f>
        <v>Information Technology</v>
      </c>
      <c r="L718" t="str">
        <v>COMP006-10-04-2025</v>
      </c>
      <c r="M718" t="str">
        <f>_xlfn.CONCAT(A717," ",B717)</f>
        <v>45756 COMP006</v>
      </c>
    </row>
    <row r="719" spans="1:13" x14ac:dyDescent="0.3">
      <c r="A719" s="20">
        <v>45758</v>
      </c>
      <c r="B719" s="7" t="s">
        <v>26</v>
      </c>
      <c r="C719" s="7">
        <v>245.43</v>
      </c>
      <c r="D719" s="7">
        <v>248.89</v>
      </c>
      <c r="E719" s="7">
        <v>241.96</v>
      </c>
      <c r="F719" s="7">
        <v>244.6</v>
      </c>
      <c r="G719" s="7">
        <v>8415</v>
      </c>
      <c r="H719" s="7">
        <f t="shared" si="13"/>
        <v>-1.6639411283728509E-2</v>
      </c>
      <c r="I719" s="7">
        <f>PRODUCT(fact_daily_prices!$F719,fact_daily_prices!$G719)</f>
        <v>2058309</v>
      </c>
      <c r="J719" s="7" t="str">
        <f>_xlfn.XLOOKUP(fact_daily_prices!$B719,dim_company[company_id],dim_company[sector_id])</f>
        <v>SEC01</v>
      </c>
      <c r="K719" s="21" t="str">
        <f>_xlfn.XLOOKUP(fact_daily_prices!$J719,dim_sector[sector_id],dim_sector[sector_name])</f>
        <v>Information Technology</v>
      </c>
      <c r="L719" t="str">
        <v>COMP006-11-04-2025</v>
      </c>
      <c r="M719" t="str">
        <f>_xlfn.CONCAT(A718," ",B718)</f>
        <v>45757 COMP006</v>
      </c>
    </row>
    <row r="720" spans="1:13" x14ac:dyDescent="0.3">
      <c r="A720" s="17">
        <v>45761</v>
      </c>
      <c r="B720" s="18" t="s">
        <v>26</v>
      </c>
      <c r="C720" s="18">
        <v>244.7</v>
      </c>
      <c r="D720" s="18">
        <v>247.7</v>
      </c>
      <c r="E720" s="18">
        <v>241.69</v>
      </c>
      <c r="F720" s="18">
        <v>246.28</v>
      </c>
      <c r="G720" s="18">
        <v>38726</v>
      </c>
      <c r="H720" s="18">
        <f t="shared" si="13"/>
        <v>6.8215039792106826E-3</v>
      </c>
      <c r="I720" s="18">
        <f>PRODUCT(fact_daily_prices!$F720,fact_daily_prices!$G720)</f>
        <v>9537439.2799999993</v>
      </c>
      <c r="J720" s="18" t="str">
        <f>_xlfn.XLOOKUP(fact_daily_prices!$B720,dim_company[company_id],dim_company[sector_id])</f>
        <v>SEC01</v>
      </c>
      <c r="K720" s="19" t="str">
        <f>_xlfn.XLOOKUP(fact_daily_prices!$J720,dim_sector[sector_id],dim_sector[sector_name])</f>
        <v>Information Technology</v>
      </c>
      <c r="L720" t="str">
        <v>COMP006-14-04-2025</v>
      </c>
      <c r="M720" t="str">
        <f>_xlfn.CONCAT(A719," ",B719)</f>
        <v>45758 COMP006</v>
      </c>
    </row>
    <row r="721" spans="1:13" x14ac:dyDescent="0.3">
      <c r="A721" s="20">
        <v>45762</v>
      </c>
      <c r="B721" s="7" t="s">
        <v>26</v>
      </c>
      <c r="C721" s="7">
        <v>242.26</v>
      </c>
      <c r="D721" s="7">
        <v>244.44</v>
      </c>
      <c r="E721" s="7">
        <v>240.08</v>
      </c>
      <c r="F721" s="7">
        <v>243.81</v>
      </c>
      <c r="G721" s="7">
        <v>33252</v>
      </c>
      <c r="H721" s="7">
        <f t="shared" si="13"/>
        <v>-1.0130839588203924E-2</v>
      </c>
      <c r="I721" s="7">
        <f>PRODUCT(fact_daily_prices!$F721,fact_daily_prices!$G721)</f>
        <v>8107170.1200000001</v>
      </c>
      <c r="J721" s="7" t="str">
        <f>_xlfn.XLOOKUP(fact_daily_prices!$B721,dim_company[company_id],dim_company[sector_id])</f>
        <v>SEC01</v>
      </c>
      <c r="K721" s="21" t="str">
        <f>_xlfn.XLOOKUP(fact_daily_prices!$J721,dim_sector[sector_id],dim_sector[sector_name])</f>
        <v>Information Technology</v>
      </c>
      <c r="L721" t="str">
        <v>COMP006-15-04-2025</v>
      </c>
      <c r="M721" t="str">
        <f>_xlfn.CONCAT(A720," ",B720)</f>
        <v>45761 COMP006</v>
      </c>
    </row>
    <row r="722" spans="1:13" x14ac:dyDescent="0.3">
      <c r="A722" s="17">
        <v>45763</v>
      </c>
      <c r="B722" s="18" t="s">
        <v>26</v>
      </c>
      <c r="C722" s="18">
        <v>244.2</v>
      </c>
      <c r="D722" s="18">
        <v>246.5</v>
      </c>
      <c r="E722" s="18">
        <v>241.91</v>
      </c>
      <c r="F722" s="18">
        <v>244.46</v>
      </c>
      <c r="G722" s="18">
        <v>35148</v>
      </c>
      <c r="H722" s="18">
        <f t="shared" si="13"/>
        <v>2.6589217049824334E-3</v>
      </c>
      <c r="I722" s="18">
        <f>PRODUCT(fact_daily_prices!$F722,fact_daily_prices!$G722)</f>
        <v>8592280.0800000001</v>
      </c>
      <c r="J722" s="18" t="str">
        <f>_xlfn.XLOOKUP(fact_daily_prices!$B722,dim_company[company_id],dim_company[sector_id])</f>
        <v>SEC01</v>
      </c>
      <c r="K722" s="19" t="str">
        <f>_xlfn.XLOOKUP(fact_daily_prices!$J722,dim_sector[sector_id],dim_sector[sector_name])</f>
        <v>Information Technology</v>
      </c>
      <c r="L722" t="str">
        <v>COMP006-16-04-2025</v>
      </c>
      <c r="M722" t="str">
        <f>_xlfn.CONCAT(A721," ",B721)</f>
        <v>45762 COMP006</v>
      </c>
    </row>
    <row r="723" spans="1:13" x14ac:dyDescent="0.3">
      <c r="A723" s="20">
        <v>45764</v>
      </c>
      <c r="B723" s="7" t="s">
        <v>26</v>
      </c>
      <c r="C723" s="7">
        <v>246.01</v>
      </c>
      <c r="D723" s="7">
        <v>248.27</v>
      </c>
      <c r="E723" s="7">
        <v>243.75</v>
      </c>
      <c r="F723" s="7">
        <v>244.73</v>
      </c>
      <c r="G723" s="7">
        <v>47694</v>
      </c>
      <c r="H723" s="7">
        <f t="shared" si="13"/>
        <v>1.103256650185845E-3</v>
      </c>
      <c r="I723" s="7">
        <f>PRODUCT(fact_daily_prices!$F723,fact_daily_prices!$G723)</f>
        <v>11672152.619999999</v>
      </c>
      <c r="J723" s="7" t="str">
        <f>_xlfn.XLOOKUP(fact_daily_prices!$B723,dim_company[company_id],dim_company[sector_id])</f>
        <v>SEC01</v>
      </c>
      <c r="K723" s="21" t="str">
        <f>_xlfn.XLOOKUP(fact_daily_prices!$J723,dim_sector[sector_id],dim_sector[sector_name])</f>
        <v>Information Technology</v>
      </c>
      <c r="L723" t="str">
        <v>COMP006-17-04-2025</v>
      </c>
      <c r="M723" t="str">
        <f>_xlfn.CONCAT(A722," ",B722)</f>
        <v>45763 COMP006</v>
      </c>
    </row>
    <row r="724" spans="1:13" x14ac:dyDescent="0.3">
      <c r="A724" s="17">
        <v>45765</v>
      </c>
      <c r="B724" s="18" t="s">
        <v>26</v>
      </c>
      <c r="C724" s="18">
        <v>241.55</v>
      </c>
      <c r="D724" s="18">
        <v>243.02</v>
      </c>
      <c r="E724" s="18">
        <v>240.09</v>
      </c>
      <c r="F724" s="18">
        <v>241.55</v>
      </c>
      <c r="G724" s="18">
        <v>39402</v>
      </c>
      <c r="H724" s="18">
        <f t="shared" si="13"/>
        <v>-1.3164976195404588E-2</v>
      </c>
      <c r="I724" s="18">
        <f>PRODUCT(fact_daily_prices!$F724,fact_daily_prices!$G724)</f>
        <v>9517553.0999999996</v>
      </c>
      <c r="J724" s="18" t="str">
        <f>_xlfn.XLOOKUP(fact_daily_prices!$B724,dim_company[company_id],dim_company[sector_id])</f>
        <v>SEC01</v>
      </c>
      <c r="K724" s="19" t="str">
        <f>_xlfn.XLOOKUP(fact_daily_prices!$J724,dim_sector[sector_id],dim_sector[sector_name])</f>
        <v>Information Technology</v>
      </c>
      <c r="L724" t="str">
        <v>COMP006-18-04-2025</v>
      </c>
      <c r="M724" t="str">
        <f>_xlfn.CONCAT(A723," ",B723)</f>
        <v>45764 COMP006</v>
      </c>
    </row>
    <row r="725" spans="1:13" x14ac:dyDescent="0.3">
      <c r="A725" s="20">
        <v>45768</v>
      </c>
      <c r="B725" s="7" t="s">
        <v>26</v>
      </c>
      <c r="C725" s="7">
        <v>246.89</v>
      </c>
      <c r="D725" s="7">
        <v>249.18</v>
      </c>
      <c r="E725" s="7">
        <v>244.6</v>
      </c>
      <c r="F725" s="7">
        <v>244.86</v>
      </c>
      <c r="G725" s="7">
        <v>11179</v>
      </c>
      <c r="H725" s="7">
        <f t="shared" si="13"/>
        <v>1.3517928612268243E-2</v>
      </c>
      <c r="I725" s="7">
        <f>PRODUCT(fact_daily_prices!$F725,fact_daily_prices!$G725)</f>
        <v>2737289.94</v>
      </c>
      <c r="J725" s="7" t="str">
        <f>_xlfn.XLOOKUP(fact_daily_prices!$B725,dim_company[company_id],dim_company[sector_id])</f>
        <v>SEC01</v>
      </c>
      <c r="K725" s="21" t="str">
        <f>_xlfn.XLOOKUP(fact_daily_prices!$J725,dim_sector[sector_id],dim_sector[sector_name])</f>
        <v>Information Technology</v>
      </c>
      <c r="L725" t="str">
        <v>COMP006-21-04-2025</v>
      </c>
      <c r="M725" t="str">
        <f>_xlfn.CONCAT(A724," ",B724)</f>
        <v>45765 COMP006</v>
      </c>
    </row>
    <row r="726" spans="1:13" x14ac:dyDescent="0.3">
      <c r="A726" s="17">
        <v>45769</v>
      </c>
      <c r="B726" s="18" t="s">
        <v>26</v>
      </c>
      <c r="C726" s="18">
        <v>247.37</v>
      </c>
      <c r="D726" s="18">
        <v>250.29</v>
      </c>
      <c r="E726" s="18">
        <v>244.44</v>
      </c>
      <c r="F726" s="18">
        <v>245.54</v>
      </c>
      <c r="G726" s="18">
        <v>31206</v>
      </c>
      <c r="H726" s="18">
        <f t="shared" si="13"/>
        <v>2.7694062067279402E-3</v>
      </c>
      <c r="I726" s="18">
        <f>PRODUCT(fact_daily_prices!$F726,fact_daily_prices!$G726)</f>
        <v>7662321.2399999993</v>
      </c>
      <c r="J726" s="18" t="str">
        <f>_xlfn.XLOOKUP(fact_daily_prices!$B726,dim_company[company_id],dim_company[sector_id])</f>
        <v>SEC01</v>
      </c>
      <c r="K726" s="19" t="str">
        <f>_xlfn.XLOOKUP(fact_daily_prices!$J726,dim_sector[sector_id],dim_sector[sector_name])</f>
        <v>Information Technology</v>
      </c>
      <c r="L726" t="str">
        <v>COMP006-22-04-2025</v>
      </c>
      <c r="M726" t="str">
        <f>_xlfn.CONCAT(A725," ",B725)</f>
        <v>45768 COMP006</v>
      </c>
    </row>
    <row r="727" spans="1:13" x14ac:dyDescent="0.3">
      <c r="A727" s="20">
        <v>45770</v>
      </c>
      <c r="B727" s="7" t="s">
        <v>26</v>
      </c>
      <c r="C727" s="7">
        <v>245.27</v>
      </c>
      <c r="D727" s="7">
        <v>247.86</v>
      </c>
      <c r="E727" s="7">
        <v>242.69</v>
      </c>
      <c r="F727" s="7">
        <v>244.72</v>
      </c>
      <c r="G727" s="7">
        <v>23412</v>
      </c>
      <c r="H727" s="7">
        <f t="shared" si="13"/>
        <v>-3.3507682249100733E-3</v>
      </c>
      <c r="I727" s="7">
        <f>PRODUCT(fact_daily_prices!$F727,fact_daily_prices!$G727)</f>
        <v>5729384.6399999997</v>
      </c>
      <c r="J727" s="7" t="str">
        <f>_xlfn.XLOOKUP(fact_daily_prices!$B727,dim_company[company_id],dim_company[sector_id])</f>
        <v>SEC01</v>
      </c>
      <c r="K727" s="21" t="str">
        <f>_xlfn.XLOOKUP(fact_daily_prices!$J727,dim_sector[sector_id],dim_sector[sector_name])</f>
        <v>Information Technology</v>
      </c>
      <c r="L727" t="str">
        <v>COMP006-23-04-2025</v>
      </c>
      <c r="M727" t="str">
        <f>_xlfn.CONCAT(A726," ",B726)</f>
        <v>45769 COMP006</v>
      </c>
    </row>
    <row r="728" spans="1:13" x14ac:dyDescent="0.3">
      <c r="A728" s="17">
        <v>45771</v>
      </c>
      <c r="B728" s="18" t="s">
        <v>26</v>
      </c>
      <c r="C728" s="18">
        <v>243.72</v>
      </c>
      <c r="D728" s="18">
        <v>245.49</v>
      </c>
      <c r="E728" s="18">
        <v>241.96</v>
      </c>
      <c r="F728" s="18">
        <v>243.43</v>
      </c>
      <c r="G728" s="18">
        <v>36517</v>
      </c>
      <c r="H728" s="18">
        <f t="shared" si="13"/>
        <v>-5.299264675676753E-3</v>
      </c>
      <c r="I728" s="18">
        <f>PRODUCT(fact_daily_prices!$F728,fact_daily_prices!$G728)</f>
        <v>8889333.3100000005</v>
      </c>
      <c r="J728" s="18" t="str">
        <f>_xlfn.XLOOKUP(fact_daily_prices!$B728,dim_company[company_id],dim_company[sector_id])</f>
        <v>SEC01</v>
      </c>
      <c r="K728" s="19" t="str">
        <f>_xlfn.XLOOKUP(fact_daily_prices!$J728,dim_sector[sector_id],dim_sector[sector_name])</f>
        <v>Information Technology</v>
      </c>
      <c r="L728" t="str">
        <v>COMP006-24-04-2025</v>
      </c>
      <c r="M728" t="str">
        <f>_xlfn.CONCAT(A727," ",B727)</f>
        <v>45770 COMP006</v>
      </c>
    </row>
    <row r="729" spans="1:13" x14ac:dyDescent="0.3">
      <c r="A729" s="20">
        <v>45772</v>
      </c>
      <c r="B729" s="7" t="s">
        <v>26</v>
      </c>
      <c r="C729" s="7">
        <v>245.3</v>
      </c>
      <c r="D729" s="7">
        <v>247.91</v>
      </c>
      <c r="E729" s="7">
        <v>242.69</v>
      </c>
      <c r="F729" s="7">
        <v>243.92</v>
      </c>
      <c r="G729" s="7">
        <v>17589</v>
      </c>
      <c r="H729" s="7">
        <f t="shared" si="13"/>
        <v>2.0088553624138272E-3</v>
      </c>
      <c r="I729" s="7">
        <f>PRODUCT(fact_daily_prices!$F729,fact_daily_prices!$G729)</f>
        <v>4290308.88</v>
      </c>
      <c r="J729" s="7" t="str">
        <f>_xlfn.XLOOKUP(fact_daily_prices!$B729,dim_company[company_id],dim_company[sector_id])</f>
        <v>SEC01</v>
      </c>
      <c r="K729" s="21" t="str">
        <f>_xlfn.XLOOKUP(fact_daily_prices!$J729,dim_sector[sector_id],dim_sector[sector_name])</f>
        <v>Information Technology</v>
      </c>
      <c r="L729" t="str">
        <v>COMP006-25-04-2025</v>
      </c>
      <c r="M729" t="str">
        <f>_xlfn.CONCAT(A728," ",B728)</f>
        <v>45771 COMP006</v>
      </c>
    </row>
    <row r="730" spans="1:13" x14ac:dyDescent="0.3">
      <c r="A730" s="17">
        <v>45775</v>
      </c>
      <c r="B730" s="18" t="s">
        <v>26</v>
      </c>
      <c r="C730" s="18">
        <v>244.72</v>
      </c>
      <c r="D730" s="18">
        <v>245.85</v>
      </c>
      <c r="E730" s="18">
        <v>243.58</v>
      </c>
      <c r="F730" s="18">
        <v>245.23</v>
      </c>
      <c r="G730" s="18">
        <v>8214</v>
      </c>
      <c r="H730" s="18">
        <f t="shared" si="13"/>
        <v>5.3419239081678518E-3</v>
      </c>
      <c r="I730" s="18">
        <f>PRODUCT(fact_daily_prices!$F730,fact_daily_prices!$G730)</f>
        <v>2014319.22</v>
      </c>
      <c r="J730" s="18" t="str">
        <f>_xlfn.XLOOKUP(fact_daily_prices!$B730,dim_company[company_id],dim_company[sector_id])</f>
        <v>SEC01</v>
      </c>
      <c r="K730" s="19" t="str">
        <f>_xlfn.XLOOKUP(fact_daily_prices!$J730,dim_sector[sector_id],dim_sector[sector_name])</f>
        <v>Information Technology</v>
      </c>
      <c r="L730" t="str">
        <v>COMP006-28-04-2025</v>
      </c>
      <c r="M730" t="str">
        <f>_xlfn.CONCAT(A729," ",B729)</f>
        <v>45772 COMP006</v>
      </c>
    </row>
    <row r="731" spans="1:13" x14ac:dyDescent="0.3">
      <c r="A731" s="20">
        <v>45776</v>
      </c>
      <c r="B731" s="7" t="s">
        <v>26</v>
      </c>
      <c r="C731" s="7">
        <v>244.47</v>
      </c>
      <c r="D731" s="7">
        <v>248.86</v>
      </c>
      <c r="E731" s="7">
        <v>240.08</v>
      </c>
      <c r="F731" s="7">
        <v>244.91</v>
      </c>
      <c r="G731" s="7">
        <v>28127</v>
      </c>
      <c r="H731" s="7">
        <f t="shared" si="13"/>
        <v>-1.3066024253807244E-3</v>
      </c>
      <c r="I731" s="7">
        <f>PRODUCT(fact_daily_prices!$F731,fact_daily_prices!$G731)</f>
        <v>6888583.5700000003</v>
      </c>
      <c r="J731" s="7" t="str">
        <f>_xlfn.XLOOKUP(fact_daily_prices!$B731,dim_company[company_id],dim_company[sector_id])</f>
        <v>SEC01</v>
      </c>
      <c r="K731" s="21" t="str">
        <f>_xlfn.XLOOKUP(fact_daily_prices!$J731,dim_sector[sector_id],dim_sector[sector_name])</f>
        <v>Information Technology</v>
      </c>
      <c r="L731" t="str">
        <v>COMP006-29-04-2025</v>
      </c>
      <c r="M731" t="str">
        <f>_xlfn.CONCAT(A730," ",B730)</f>
        <v>45775 COMP006</v>
      </c>
    </row>
    <row r="732" spans="1:13" x14ac:dyDescent="0.3">
      <c r="A732" s="17">
        <v>45777</v>
      </c>
      <c r="B732" s="18" t="s">
        <v>26</v>
      </c>
      <c r="C732" s="18">
        <v>236.9</v>
      </c>
      <c r="D732" s="18">
        <v>239.98</v>
      </c>
      <c r="E732" s="18">
        <v>233.81</v>
      </c>
      <c r="F732" s="18">
        <v>236.38</v>
      </c>
      <c r="G732" s="18">
        <v>19375</v>
      </c>
      <c r="H732" s="18">
        <f t="shared" si="13"/>
        <v>-3.6085963279465276E-2</v>
      </c>
      <c r="I732" s="18">
        <f>PRODUCT(fact_daily_prices!$F732,fact_daily_prices!$G732)</f>
        <v>4579862.5</v>
      </c>
      <c r="J732" s="18" t="str">
        <f>_xlfn.XLOOKUP(fact_daily_prices!$B732,dim_company[company_id],dim_company[sector_id])</f>
        <v>SEC01</v>
      </c>
      <c r="K732" s="19" t="str">
        <f>_xlfn.XLOOKUP(fact_daily_prices!$J732,dim_sector[sector_id],dim_sector[sector_name])</f>
        <v>Information Technology</v>
      </c>
      <c r="L732" t="str">
        <v>COMP006-30-04-2025</v>
      </c>
      <c r="M732" t="str">
        <f>_xlfn.CONCAT(A731," ",B731)</f>
        <v>45776 COMP006</v>
      </c>
    </row>
    <row r="733" spans="1:13" x14ac:dyDescent="0.3">
      <c r="A733" s="20">
        <v>45778</v>
      </c>
      <c r="B733" s="7" t="s">
        <v>26</v>
      </c>
      <c r="C733" s="7">
        <v>237.86</v>
      </c>
      <c r="D733" s="7">
        <v>239.61</v>
      </c>
      <c r="E733" s="7">
        <v>236.11</v>
      </c>
      <c r="F733" s="7">
        <v>236.48</v>
      </c>
      <c r="G733" s="7">
        <v>11014</v>
      </c>
      <c r="H733" s="7">
        <f t="shared" si="13"/>
        <v>4.2286874154260116E-4</v>
      </c>
      <c r="I733" s="7">
        <f>PRODUCT(fact_daily_prices!$F733,fact_daily_prices!$G733)</f>
        <v>2604590.7199999997</v>
      </c>
      <c r="J733" s="7" t="str">
        <f>_xlfn.XLOOKUP(fact_daily_prices!$B733,dim_company[company_id],dim_company[sector_id])</f>
        <v>SEC01</v>
      </c>
      <c r="K733" s="21" t="str">
        <f>_xlfn.XLOOKUP(fact_daily_prices!$J733,dim_sector[sector_id],dim_sector[sector_name])</f>
        <v>Information Technology</v>
      </c>
      <c r="L733" t="str">
        <v>COMP006-01-05-2025</v>
      </c>
      <c r="M733" t="str">
        <f>_xlfn.CONCAT(A732," ",B732)</f>
        <v>45777 COMP006</v>
      </c>
    </row>
    <row r="734" spans="1:13" x14ac:dyDescent="0.3">
      <c r="A734" s="17">
        <v>45779</v>
      </c>
      <c r="B734" s="18" t="s">
        <v>26</v>
      </c>
      <c r="C734" s="18">
        <v>233.99</v>
      </c>
      <c r="D734" s="18">
        <v>235.79</v>
      </c>
      <c r="E734" s="18">
        <v>232.19</v>
      </c>
      <c r="F734" s="18">
        <v>232.28</v>
      </c>
      <c r="G734" s="18">
        <v>31881</v>
      </c>
      <c r="H734" s="18">
        <f t="shared" si="13"/>
        <v>-1.8081625624246551E-2</v>
      </c>
      <c r="I734" s="18">
        <f>PRODUCT(fact_daily_prices!$F734,fact_daily_prices!$G734)</f>
        <v>7405318.6799999997</v>
      </c>
      <c r="J734" s="18" t="str">
        <f>_xlfn.XLOOKUP(fact_daily_prices!$B734,dim_company[company_id],dim_company[sector_id])</f>
        <v>SEC01</v>
      </c>
      <c r="K734" s="19" t="str">
        <f>_xlfn.XLOOKUP(fact_daily_prices!$J734,dim_sector[sector_id],dim_sector[sector_name])</f>
        <v>Information Technology</v>
      </c>
      <c r="L734" t="str">
        <v>COMP006-02-05-2025</v>
      </c>
      <c r="M734" t="str">
        <f>_xlfn.CONCAT(A733," ",B733)</f>
        <v>45778 COMP006</v>
      </c>
    </row>
    <row r="735" spans="1:13" x14ac:dyDescent="0.3">
      <c r="A735" s="20">
        <v>45782</v>
      </c>
      <c r="B735" s="7" t="s">
        <v>26</v>
      </c>
      <c r="C735" s="7">
        <v>232.18</v>
      </c>
      <c r="D735" s="7">
        <v>235.34</v>
      </c>
      <c r="E735" s="7">
        <v>229.02</v>
      </c>
      <c r="F735" s="7">
        <v>231.73</v>
      </c>
      <c r="G735" s="7">
        <v>4551</v>
      </c>
      <c r="H735" s="7">
        <f t="shared" si="13"/>
        <v>-2.3734518620809192E-3</v>
      </c>
      <c r="I735" s="7">
        <f>PRODUCT(fact_daily_prices!$F735,fact_daily_prices!$G735)</f>
        <v>1054603.23</v>
      </c>
      <c r="J735" s="7" t="str">
        <f>_xlfn.XLOOKUP(fact_daily_prices!$B735,dim_company[company_id],dim_company[sector_id])</f>
        <v>SEC01</v>
      </c>
      <c r="K735" s="21" t="str">
        <f>_xlfn.XLOOKUP(fact_daily_prices!$J735,dim_sector[sector_id],dim_sector[sector_name])</f>
        <v>Information Technology</v>
      </c>
      <c r="L735" t="str">
        <v>COMP006-05-05-2025</v>
      </c>
      <c r="M735" t="str">
        <f>_xlfn.CONCAT(A734," ",B734)</f>
        <v>45779 COMP006</v>
      </c>
    </row>
    <row r="736" spans="1:13" x14ac:dyDescent="0.3">
      <c r="A736" s="17">
        <v>45783</v>
      </c>
      <c r="B736" s="18" t="s">
        <v>26</v>
      </c>
      <c r="C736" s="18">
        <v>227.21</v>
      </c>
      <c r="D736" s="18">
        <v>227.91</v>
      </c>
      <c r="E736" s="18">
        <v>226.51</v>
      </c>
      <c r="F736" s="18">
        <v>227.72</v>
      </c>
      <c r="G736" s="18">
        <v>29483</v>
      </c>
      <c r="H736" s="18">
        <f t="shared" si="13"/>
        <v>-1.7609344809415031E-2</v>
      </c>
      <c r="I736" s="18">
        <f>PRODUCT(fact_daily_prices!$F736,fact_daily_prices!$G736)</f>
        <v>6713868.7599999998</v>
      </c>
      <c r="J736" s="18" t="str">
        <f>_xlfn.XLOOKUP(fact_daily_prices!$B736,dim_company[company_id],dim_company[sector_id])</f>
        <v>SEC01</v>
      </c>
      <c r="K736" s="19" t="str">
        <f>_xlfn.XLOOKUP(fact_daily_prices!$J736,dim_sector[sector_id],dim_sector[sector_name])</f>
        <v>Information Technology</v>
      </c>
      <c r="L736" t="str">
        <v>COMP006-06-05-2025</v>
      </c>
      <c r="M736" t="str">
        <f>_xlfn.CONCAT(A735," ",B735)</f>
        <v>45782 COMP006</v>
      </c>
    </row>
    <row r="737" spans="1:13" x14ac:dyDescent="0.3">
      <c r="A737" s="20">
        <v>45784</v>
      </c>
      <c r="B737" s="7" t="s">
        <v>26</v>
      </c>
      <c r="C737" s="7">
        <v>224.45</v>
      </c>
      <c r="D737" s="7">
        <v>227.99</v>
      </c>
      <c r="E737" s="7">
        <v>220.91</v>
      </c>
      <c r="F737" s="7">
        <v>223.74</v>
      </c>
      <c r="G737" s="7">
        <v>12156</v>
      </c>
      <c r="H737" s="7">
        <f t="shared" si="13"/>
        <v>-1.7788504514168184E-2</v>
      </c>
      <c r="I737" s="7">
        <f>PRODUCT(fact_daily_prices!$F737,fact_daily_prices!$G737)</f>
        <v>2719783.44</v>
      </c>
      <c r="J737" s="7" t="str">
        <f>_xlfn.XLOOKUP(fact_daily_prices!$B737,dim_company[company_id],dim_company[sector_id])</f>
        <v>SEC01</v>
      </c>
      <c r="K737" s="21" t="str">
        <f>_xlfn.XLOOKUP(fact_daily_prices!$J737,dim_sector[sector_id],dim_sector[sector_name])</f>
        <v>Information Technology</v>
      </c>
      <c r="L737" t="str">
        <v>COMP006-07-05-2025</v>
      </c>
      <c r="M737" t="str">
        <f>_xlfn.CONCAT(A736," ",B736)</f>
        <v>45783 COMP006</v>
      </c>
    </row>
    <row r="738" spans="1:13" x14ac:dyDescent="0.3">
      <c r="A738" s="17">
        <v>45785</v>
      </c>
      <c r="B738" s="18" t="s">
        <v>26</v>
      </c>
      <c r="C738" s="18">
        <v>226.8</v>
      </c>
      <c r="D738" s="18">
        <v>229.85</v>
      </c>
      <c r="E738" s="18">
        <v>223.75</v>
      </c>
      <c r="F738" s="18">
        <v>227.3</v>
      </c>
      <c r="G738" s="18">
        <v>39078</v>
      </c>
      <c r="H738" s="18">
        <f t="shared" si="13"/>
        <v>1.5662120545534546E-2</v>
      </c>
      <c r="I738" s="18">
        <f>PRODUCT(fact_daily_prices!$F738,fact_daily_prices!$G738)</f>
        <v>8882429.4000000004</v>
      </c>
      <c r="J738" s="18" t="str">
        <f>_xlfn.XLOOKUP(fact_daily_prices!$B738,dim_company[company_id],dim_company[sector_id])</f>
        <v>SEC01</v>
      </c>
      <c r="K738" s="19" t="str">
        <f>_xlfn.XLOOKUP(fact_daily_prices!$J738,dim_sector[sector_id],dim_sector[sector_name])</f>
        <v>Information Technology</v>
      </c>
      <c r="L738" t="str">
        <v>COMP006-08-05-2025</v>
      </c>
      <c r="M738" t="str">
        <f>_xlfn.CONCAT(A737," ",B737)</f>
        <v>45784 COMP006</v>
      </c>
    </row>
    <row r="739" spans="1:13" x14ac:dyDescent="0.3">
      <c r="A739" s="20">
        <v>45786</v>
      </c>
      <c r="B739" s="7" t="s">
        <v>26</v>
      </c>
      <c r="C739" s="7">
        <v>226.76</v>
      </c>
      <c r="D739" s="7">
        <v>228.75</v>
      </c>
      <c r="E739" s="7">
        <v>224.77</v>
      </c>
      <c r="F739" s="7">
        <v>226.44</v>
      </c>
      <c r="G739" s="7">
        <v>11728</v>
      </c>
      <c r="H739" s="7">
        <f t="shared" si="13"/>
        <v>-3.7979155626215052E-3</v>
      </c>
      <c r="I739" s="7">
        <f>PRODUCT(fact_daily_prices!$F739,fact_daily_prices!$G739)</f>
        <v>2655688.3199999998</v>
      </c>
      <c r="J739" s="7" t="str">
        <f>_xlfn.XLOOKUP(fact_daily_prices!$B739,dim_company[company_id],dim_company[sector_id])</f>
        <v>SEC01</v>
      </c>
      <c r="K739" s="21" t="str">
        <f>_xlfn.XLOOKUP(fact_daily_prices!$J739,dim_sector[sector_id],dim_sector[sector_name])</f>
        <v>Information Technology</v>
      </c>
      <c r="L739" t="str">
        <v>COMP006-09-05-2025</v>
      </c>
      <c r="M739" t="str">
        <f>_xlfn.CONCAT(A738," ",B738)</f>
        <v>45785 COMP006</v>
      </c>
    </row>
    <row r="740" spans="1:13" x14ac:dyDescent="0.3">
      <c r="A740" s="17">
        <v>45789</v>
      </c>
      <c r="B740" s="18" t="s">
        <v>26</v>
      </c>
      <c r="C740" s="18">
        <v>226.02</v>
      </c>
      <c r="D740" s="18">
        <v>227.39</v>
      </c>
      <c r="E740" s="18">
        <v>224.65</v>
      </c>
      <c r="F740" s="18">
        <v>225.37</v>
      </c>
      <c r="G740" s="18">
        <v>21238</v>
      </c>
      <c r="H740" s="18">
        <f t="shared" si="13"/>
        <v>-4.7477481474907622E-3</v>
      </c>
      <c r="I740" s="18">
        <f>PRODUCT(fact_daily_prices!$F740,fact_daily_prices!$G740)</f>
        <v>4786408.0600000005</v>
      </c>
      <c r="J740" s="18" t="str">
        <f>_xlfn.XLOOKUP(fact_daily_prices!$B740,dim_company[company_id],dim_company[sector_id])</f>
        <v>SEC01</v>
      </c>
      <c r="K740" s="19" t="str">
        <f>_xlfn.XLOOKUP(fact_daily_prices!$J740,dim_sector[sector_id],dim_sector[sector_name])</f>
        <v>Information Technology</v>
      </c>
      <c r="L740" t="str">
        <v>COMP006-12-05-2025</v>
      </c>
      <c r="M740" t="str">
        <f>_xlfn.CONCAT(A739," ",B739)</f>
        <v>45786 COMP006</v>
      </c>
    </row>
    <row r="741" spans="1:13" x14ac:dyDescent="0.3">
      <c r="A741" s="20">
        <v>45790</v>
      </c>
      <c r="B741" s="7" t="s">
        <v>26</v>
      </c>
      <c r="C741" s="7">
        <v>227.37</v>
      </c>
      <c r="D741" s="7">
        <v>230.04</v>
      </c>
      <c r="E741" s="7">
        <v>224.7</v>
      </c>
      <c r="F741" s="7">
        <v>226.8</v>
      </c>
      <c r="G741" s="7">
        <v>20456</v>
      </c>
      <c r="H741" s="7">
        <f t="shared" si="13"/>
        <v>6.3051146384480016E-3</v>
      </c>
      <c r="I741" s="7">
        <f>PRODUCT(fact_daily_prices!$F741,fact_daily_prices!$G741)</f>
        <v>4639420.8</v>
      </c>
      <c r="J741" s="7" t="str">
        <f>_xlfn.XLOOKUP(fact_daily_prices!$B741,dim_company[company_id],dim_company[sector_id])</f>
        <v>SEC01</v>
      </c>
      <c r="K741" s="21" t="str">
        <f>_xlfn.XLOOKUP(fact_daily_prices!$J741,dim_sector[sector_id],dim_sector[sector_name])</f>
        <v>Information Technology</v>
      </c>
      <c r="L741" t="str">
        <v>COMP006-13-05-2025</v>
      </c>
      <c r="M741" t="str">
        <f>_xlfn.CONCAT(A740," ",B740)</f>
        <v>45789 COMP006</v>
      </c>
    </row>
    <row r="742" spans="1:13" x14ac:dyDescent="0.3">
      <c r="A742" s="17">
        <v>45791</v>
      </c>
      <c r="B742" s="18" t="s">
        <v>26</v>
      </c>
      <c r="C742" s="18">
        <v>225.79</v>
      </c>
      <c r="D742" s="18">
        <v>226.34</v>
      </c>
      <c r="E742" s="18">
        <v>225.23</v>
      </c>
      <c r="F742" s="18">
        <v>225.79</v>
      </c>
      <c r="G742" s="18">
        <v>34276</v>
      </c>
      <c r="H742" s="18">
        <f t="shared" si="13"/>
        <v>-4.4731830461934513E-3</v>
      </c>
      <c r="I742" s="18">
        <f>PRODUCT(fact_daily_prices!$F742,fact_daily_prices!$G742)</f>
        <v>7739178.04</v>
      </c>
      <c r="J742" s="18" t="str">
        <f>_xlfn.XLOOKUP(fact_daily_prices!$B742,dim_company[company_id],dim_company[sector_id])</f>
        <v>SEC01</v>
      </c>
      <c r="K742" s="19" t="str">
        <f>_xlfn.XLOOKUP(fact_daily_prices!$J742,dim_sector[sector_id],dim_sector[sector_name])</f>
        <v>Information Technology</v>
      </c>
      <c r="L742" t="str">
        <v>COMP006-14-05-2025</v>
      </c>
      <c r="M742" t="str">
        <f>_xlfn.CONCAT(A741," ",B741)</f>
        <v>45790 COMP006</v>
      </c>
    </row>
    <row r="743" spans="1:13" x14ac:dyDescent="0.3">
      <c r="A743" s="20">
        <v>45792</v>
      </c>
      <c r="B743" s="7" t="s">
        <v>26</v>
      </c>
      <c r="C743" s="7">
        <v>233.28</v>
      </c>
      <c r="D743" s="7">
        <v>235.91</v>
      </c>
      <c r="E743" s="7">
        <v>230.64</v>
      </c>
      <c r="F743" s="7">
        <v>231.91</v>
      </c>
      <c r="G743" s="7">
        <v>14050</v>
      </c>
      <c r="H743" s="7">
        <f t="shared" si="13"/>
        <v>2.6389547669354512E-2</v>
      </c>
      <c r="I743" s="7">
        <f>PRODUCT(fact_daily_prices!$F743,fact_daily_prices!$G743)</f>
        <v>3258335.5</v>
      </c>
      <c r="J743" s="7" t="str">
        <f>_xlfn.XLOOKUP(fact_daily_prices!$B743,dim_company[company_id],dim_company[sector_id])</f>
        <v>SEC01</v>
      </c>
      <c r="K743" s="21" t="str">
        <f>_xlfn.XLOOKUP(fact_daily_prices!$J743,dim_sector[sector_id],dim_sector[sector_name])</f>
        <v>Information Technology</v>
      </c>
      <c r="L743" t="str">
        <v>COMP006-15-05-2025</v>
      </c>
      <c r="M743" t="str">
        <f>_xlfn.CONCAT(A742," ",B742)</f>
        <v>45791 COMP006</v>
      </c>
    </row>
    <row r="744" spans="1:13" x14ac:dyDescent="0.3">
      <c r="A744" s="17">
        <v>45793</v>
      </c>
      <c r="B744" s="18" t="s">
        <v>26</v>
      </c>
      <c r="C744" s="18">
        <v>230.96</v>
      </c>
      <c r="D744" s="18">
        <v>231.41</v>
      </c>
      <c r="E744" s="18">
        <v>230.52</v>
      </c>
      <c r="F744" s="18">
        <v>231.17</v>
      </c>
      <c r="G744" s="18">
        <v>38125</v>
      </c>
      <c r="H744" s="18">
        <f t="shared" si="13"/>
        <v>-3.2011074101311117E-3</v>
      </c>
      <c r="I744" s="18">
        <f>PRODUCT(fact_daily_prices!$F744,fact_daily_prices!$G744)</f>
        <v>8813356.25</v>
      </c>
      <c r="J744" s="18" t="str">
        <f>_xlfn.XLOOKUP(fact_daily_prices!$B744,dim_company[company_id],dim_company[sector_id])</f>
        <v>SEC01</v>
      </c>
      <c r="K744" s="19" t="str">
        <f>_xlfn.XLOOKUP(fact_daily_prices!$J744,dim_sector[sector_id],dim_sector[sector_name])</f>
        <v>Information Technology</v>
      </c>
      <c r="L744" t="str">
        <v>COMP006-16-05-2025</v>
      </c>
      <c r="M744" t="str">
        <f>_xlfn.CONCAT(A743," ",B743)</f>
        <v>45792 COMP006</v>
      </c>
    </row>
    <row r="745" spans="1:13" x14ac:dyDescent="0.3">
      <c r="A745" s="20">
        <v>45796</v>
      </c>
      <c r="B745" s="7" t="s">
        <v>26</v>
      </c>
      <c r="C745" s="7">
        <v>233.47</v>
      </c>
      <c r="D745" s="7">
        <v>235.38</v>
      </c>
      <c r="E745" s="7">
        <v>231.56</v>
      </c>
      <c r="F745" s="7">
        <v>232.29</v>
      </c>
      <c r="G745" s="7">
        <v>37176</v>
      </c>
      <c r="H745" s="7">
        <f t="shared" si="13"/>
        <v>4.821559257824291E-3</v>
      </c>
      <c r="I745" s="7">
        <f>PRODUCT(fact_daily_prices!$F745,fact_daily_prices!$G745)</f>
        <v>8635613.0399999991</v>
      </c>
      <c r="J745" s="7" t="str">
        <f>_xlfn.XLOOKUP(fact_daily_prices!$B745,dim_company[company_id],dim_company[sector_id])</f>
        <v>SEC01</v>
      </c>
      <c r="K745" s="21" t="str">
        <f>_xlfn.XLOOKUP(fact_daily_prices!$J745,dim_sector[sector_id],dim_sector[sector_name])</f>
        <v>Information Technology</v>
      </c>
      <c r="L745" t="str">
        <v>COMP006-19-05-2025</v>
      </c>
      <c r="M745" t="str">
        <f>_xlfn.CONCAT(A744," ",B744)</f>
        <v>45793 COMP006</v>
      </c>
    </row>
    <row r="746" spans="1:13" x14ac:dyDescent="0.3">
      <c r="A746" s="17">
        <v>45797</v>
      </c>
      <c r="B746" s="18" t="s">
        <v>26</v>
      </c>
      <c r="C746" s="18">
        <v>235.15</v>
      </c>
      <c r="D746" s="18">
        <v>238.51</v>
      </c>
      <c r="E746" s="18">
        <v>231.79</v>
      </c>
      <c r="F746" s="18">
        <v>235.21</v>
      </c>
      <c r="G746" s="18">
        <v>1174</v>
      </c>
      <c r="H746" s="18">
        <f t="shared" si="13"/>
        <v>1.2414438161642855E-2</v>
      </c>
      <c r="I746" s="18">
        <f>PRODUCT(fact_daily_prices!$F746,fact_daily_prices!$G746)</f>
        <v>276136.54000000004</v>
      </c>
      <c r="J746" s="18" t="str">
        <f>_xlfn.XLOOKUP(fact_daily_prices!$B746,dim_company[company_id],dim_company[sector_id])</f>
        <v>SEC01</v>
      </c>
      <c r="K746" s="19" t="str">
        <f>_xlfn.XLOOKUP(fact_daily_prices!$J746,dim_sector[sector_id],dim_sector[sector_name])</f>
        <v>Information Technology</v>
      </c>
      <c r="L746" t="str">
        <v>COMP006-20-05-2025</v>
      </c>
      <c r="M746" t="str">
        <f>_xlfn.CONCAT(A745," ",B745)</f>
        <v>45796 COMP006</v>
      </c>
    </row>
    <row r="747" spans="1:13" x14ac:dyDescent="0.3">
      <c r="A747" s="20">
        <v>45798</v>
      </c>
      <c r="B747" s="7" t="s">
        <v>26</v>
      </c>
      <c r="C747" s="7">
        <v>239.79</v>
      </c>
      <c r="D747" s="7">
        <v>242.15</v>
      </c>
      <c r="E747" s="7">
        <v>237.42</v>
      </c>
      <c r="F747" s="7">
        <v>240.06</v>
      </c>
      <c r="G747" s="7">
        <v>13112</v>
      </c>
      <c r="H747" s="7">
        <f t="shared" si="13"/>
        <v>2.0203282512705135E-2</v>
      </c>
      <c r="I747" s="7">
        <f>PRODUCT(fact_daily_prices!$F747,fact_daily_prices!$G747)</f>
        <v>3147666.72</v>
      </c>
      <c r="J747" s="7" t="str">
        <f>_xlfn.XLOOKUP(fact_daily_prices!$B747,dim_company[company_id],dim_company[sector_id])</f>
        <v>SEC01</v>
      </c>
      <c r="K747" s="21" t="str">
        <f>_xlfn.XLOOKUP(fact_daily_prices!$J747,dim_sector[sector_id],dim_sector[sector_name])</f>
        <v>Information Technology</v>
      </c>
      <c r="L747" t="str">
        <v>COMP006-21-05-2025</v>
      </c>
      <c r="M747" t="str">
        <f>_xlfn.CONCAT(A746," ",B746)</f>
        <v>45797 COMP006</v>
      </c>
    </row>
    <row r="748" spans="1:13" x14ac:dyDescent="0.3">
      <c r="A748" s="17">
        <v>45799</v>
      </c>
      <c r="B748" s="18" t="s">
        <v>26</v>
      </c>
      <c r="C748" s="18">
        <v>238.4</v>
      </c>
      <c r="D748" s="18">
        <v>239.7</v>
      </c>
      <c r="E748" s="18">
        <v>237.11</v>
      </c>
      <c r="F748" s="18">
        <v>237.88</v>
      </c>
      <c r="G748" s="18">
        <v>34919</v>
      </c>
      <c r="H748" s="18">
        <f t="shared" si="13"/>
        <v>-9.1642845131999617E-3</v>
      </c>
      <c r="I748" s="18">
        <f>PRODUCT(fact_daily_prices!$F748,fact_daily_prices!$G748)</f>
        <v>8306531.7199999997</v>
      </c>
      <c r="J748" s="18" t="str">
        <f>_xlfn.XLOOKUP(fact_daily_prices!$B748,dim_company[company_id],dim_company[sector_id])</f>
        <v>SEC01</v>
      </c>
      <c r="K748" s="19" t="str">
        <f>_xlfn.XLOOKUP(fact_daily_prices!$J748,dim_sector[sector_id],dim_sector[sector_name])</f>
        <v>Information Technology</v>
      </c>
      <c r="L748" t="str">
        <v>COMP006-22-05-2025</v>
      </c>
      <c r="M748" t="str">
        <f>_xlfn.CONCAT(A747," ",B747)</f>
        <v>45798 COMP006</v>
      </c>
    </row>
    <row r="749" spans="1:13" x14ac:dyDescent="0.3">
      <c r="A749" s="20">
        <v>45800</v>
      </c>
      <c r="B749" s="7" t="s">
        <v>26</v>
      </c>
      <c r="C749" s="7">
        <v>238.8</v>
      </c>
      <c r="D749" s="7">
        <v>240.98</v>
      </c>
      <c r="E749" s="7">
        <v>236.62</v>
      </c>
      <c r="F749" s="7">
        <v>236.69</v>
      </c>
      <c r="G749" s="7">
        <v>25618</v>
      </c>
      <c r="H749" s="7">
        <f t="shared" si="13"/>
        <v>-5.0276733279817389E-3</v>
      </c>
      <c r="I749" s="7">
        <f>PRODUCT(fact_daily_prices!$F749,fact_daily_prices!$G749)</f>
        <v>6063524.4199999999</v>
      </c>
      <c r="J749" s="7" t="str">
        <f>_xlfn.XLOOKUP(fact_daily_prices!$B749,dim_company[company_id],dim_company[sector_id])</f>
        <v>SEC01</v>
      </c>
      <c r="K749" s="21" t="str">
        <f>_xlfn.XLOOKUP(fact_daily_prices!$J749,dim_sector[sector_id],dim_sector[sector_name])</f>
        <v>Information Technology</v>
      </c>
      <c r="L749" t="str">
        <v>COMP006-23-05-2025</v>
      </c>
      <c r="M749" t="str">
        <f>_xlfn.CONCAT(A748," ",B748)</f>
        <v>45799 COMP006</v>
      </c>
    </row>
    <row r="750" spans="1:13" x14ac:dyDescent="0.3">
      <c r="A750" s="17">
        <v>45803</v>
      </c>
      <c r="B750" s="18" t="s">
        <v>26</v>
      </c>
      <c r="C750" s="18">
        <v>242.57</v>
      </c>
      <c r="D750" s="18">
        <v>244.62</v>
      </c>
      <c r="E750" s="18">
        <v>240.53</v>
      </c>
      <c r="F750" s="18">
        <v>240.58</v>
      </c>
      <c r="G750" s="18">
        <v>44833</v>
      </c>
      <c r="H750" s="18">
        <f t="shared" si="13"/>
        <v>1.6169257627400509E-2</v>
      </c>
      <c r="I750" s="18">
        <f>PRODUCT(fact_daily_prices!$F750,fact_daily_prices!$G750)</f>
        <v>10785923.140000001</v>
      </c>
      <c r="J750" s="18" t="str">
        <f>_xlfn.XLOOKUP(fact_daily_prices!$B750,dim_company[company_id],dim_company[sector_id])</f>
        <v>SEC01</v>
      </c>
      <c r="K750" s="19" t="str">
        <f>_xlfn.XLOOKUP(fact_daily_prices!$J750,dim_sector[sector_id],dim_sector[sector_name])</f>
        <v>Information Technology</v>
      </c>
      <c r="L750" t="str">
        <v>COMP006-26-05-2025</v>
      </c>
      <c r="M750" t="str">
        <f>_xlfn.CONCAT(A749," ",B749)</f>
        <v>45800 COMP006</v>
      </c>
    </row>
    <row r="751" spans="1:13" x14ac:dyDescent="0.3">
      <c r="A751" s="20">
        <v>45804</v>
      </c>
      <c r="B751" s="7" t="s">
        <v>26</v>
      </c>
      <c r="C751" s="7">
        <v>242.55</v>
      </c>
      <c r="D751" s="7">
        <v>246.1</v>
      </c>
      <c r="E751" s="7">
        <v>239.01</v>
      </c>
      <c r="F751" s="7">
        <v>243.11</v>
      </c>
      <c r="G751" s="7">
        <v>46814</v>
      </c>
      <c r="H751" s="7">
        <f t="shared" si="13"/>
        <v>1.0406811731315047E-2</v>
      </c>
      <c r="I751" s="7">
        <f>PRODUCT(fact_daily_prices!$F751,fact_daily_prices!$G751)</f>
        <v>11380951.540000001</v>
      </c>
      <c r="J751" s="7" t="str">
        <f>_xlfn.XLOOKUP(fact_daily_prices!$B751,dim_company[company_id],dim_company[sector_id])</f>
        <v>SEC01</v>
      </c>
      <c r="K751" s="21" t="str">
        <f>_xlfn.XLOOKUP(fact_daily_prices!$J751,dim_sector[sector_id],dim_sector[sector_name])</f>
        <v>Information Technology</v>
      </c>
      <c r="L751" t="str">
        <v>COMP006-27-05-2025</v>
      </c>
      <c r="M751" t="str">
        <f>_xlfn.CONCAT(A750," ",B750)</f>
        <v>45803 COMP006</v>
      </c>
    </row>
    <row r="752" spans="1:13" x14ac:dyDescent="0.3">
      <c r="A752" s="17">
        <v>45805</v>
      </c>
      <c r="B752" s="18" t="s">
        <v>26</v>
      </c>
      <c r="C752" s="18">
        <v>245.32</v>
      </c>
      <c r="D752" s="18">
        <v>247.64</v>
      </c>
      <c r="E752" s="18">
        <v>243.01</v>
      </c>
      <c r="F752" s="18">
        <v>246.48</v>
      </c>
      <c r="G752" s="18">
        <v>21306</v>
      </c>
      <c r="H752" s="18">
        <f t="shared" si="13"/>
        <v>1.3672508925673387E-2</v>
      </c>
      <c r="I752" s="18">
        <f>PRODUCT(fact_daily_prices!$F752,fact_daily_prices!$G752)</f>
        <v>5251502.88</v>
      </c>
      <c r="J752" s="18" t="str">
        <f>_xlfn.XLOOKUP(fact_daily_prices!$B752,dim_company[company_id],dim_company[sector_id])</f>
        <v>SEC01</v>
      </c>
      <c r="K752" s="19" t="str">
        <f>_xlfn.XLOOKUP(fact_daily_prices!$J752,dim_sector[sector_id],dim_sector[sector_name])</f>
        <v>Information Technology</v>
      </c>
      <c r="L752" t="str">
        <v>COMP006-28-05-2025</v>
      </c>
      <c r="M752" t="str">
        <f>_xlfn.CONCAT(A751," ",B751)</f>
        <v>45804 COMP006</v>
      </c>
    </row>
    <row r="753" spans="1:13" x14ac:dyDescent="0.3">
      <c r="A753" s="20">
        <v>45806</v>
      </c>
      <c r="B753" s="7" t="s">
        <v>26</v>
      </c>
      <c r="C753" s="7">
        <v>242.74</v>
      </c>
      <c r="D753" s="7">
        <v>245.75</v>
      </c>
      <c r="E753" s="7">
        <v>239.74</v>
      </c>
      <c r="F753" s="7">
        <v>242.32</v>
      </c>
      <c r="G753" s="7">
        <v>39055</v>
      </c>
      <c r="H753" s="7">
        <f t="shared" si="13"/>
        <v>-1.7167381974248913E-2</v>
      </c>
      <c r="I753" s="7">
        <f>PRODUCT(fact_daily_prices!$F753,fact_daily_prices!$G753)</f>
        <v>9463807.5999999996</v>
      </c>
      <c r="J753" s="7" t="str">
        <f>_xlfn.XLOOKUP(fact_daily_prices!$B753,dim_company[company_id],dim_company[sector_id])</f>
        <v>SEC01</v>
      </c>
      <c r="K753" s="21" t="str">
        <f>_xlfn.XLOOKUP(fact_daily_prices!$J753,dim_sector[sector_id],dim_sector[sector_name])</f>
        <v>Information Technology</v>
      </c>
      <c r="L753" t="str">
        <v>COMP006-29-05-2025</v>
      </c>
      <c r="M753" t="str">
        <f>_xlfn.CONCAT(A752," ",B752)</f>
        <v>45805 COMP006</v>
      </c>
    </row>
    <row r="754" spans="1:13" x14ac:dyDescent="0.3">
      <c r="A754" s="17">
        <v>45807</v>
      </c>
      <c r="B754" s="18" t="s">
        <v>26</v>
      </c>
      <c r="C754" s="18">
        <v>246.04</v>
      </c>
      <c r="D754" s="18">
        <v>247.41</v>
      </c>
      <c r="E754" s="18">
        <v>244.66</v>
      </c>
      <c r="F754" s="18">
        <v>247.16</v>
      </c>
      <c r="G754" s="18">
        <v>40194</v>
      </c>
      <c r="H754" s="18">
        <f t="shared" si="13"/>
        <v>1.9582456708205225E-2</v>
      </c>
      <c r="I754" s="18">
        <f>PRODUCT(fact_daily_prices!$F754,fact_daily_prices!$G754)</f>
        <v>9934349.0399999991</v>
      </c>
      <c r="J754" s="18" t="str">
        <f>_xlfn.XLOOKUP(fact_daily_prices!$B754,dim_company[company_id],dim_company[sector_id])</f>
        <v>SEC01</v>
      </c>
      <c r="K754" s="19" t="str">
        <f>_xlfn.XLOOKUP(fact_daily_prices!$J754,dim_sector[sector_id],dim_sector[sector_name])</f>
        <v>Information Technology</v>
      </c>
      <c r="L754" t="str">
        <v>COMP006-30-05-2025</v>
      </c>
      <c r="M754" t="str">
        <f>_xlfn.CONCAT(A753," ",B753)</f>
        <v>45806 COMP006</v>
      </c>
    </row>
    <row r="755" spans="1:13" x14ac:dyDescent="0.3">
      <c r="A755" s="20">
        <v>45810</v>
      </c>
      <c r="B755" s="7" t="s">
        <v>26</v>
      </c>
      <c r="C755" s="7">
        <v>245.75</v>
      </c>
      <c r="D755" s="7">
        <v>247.22</v>
      </c>
      <c r="E755" s="7">
        <v>244.27</v>
      </c>
      <c r="F755" s="7">
        <v>244.85</v>
      </c>
      <c r="G755" s="7">
        <v>49367</v>
      </c>
      <c r="H755" s="7">
        <f t="shared" si="13"/>
        <v>-9.4343475597304573E-3</v>
      </c>
      <c r="I755" s="7">
        <f>PRODUCT(fact_daily_prices!$F755,fact_daily_prices!$G755)</f>
        <v>12087509.949999999</v>
      </c>
      <c r="J755" s="7" t="str">
        <f>_xlfn.XLOOKUP(fact_daily_prices!$B755,dim_company[company_id],dim_company[sector_id])</f>
        <v>SEC01</v>
      </c>
      <c r="K755" s="21" t="str">
        <f>_xlfn.XLOOKUP(fact_daily_prices!$J755,dim_sector[sector_id],dim_sector[sector_name])</f>
        <v>Information Technology</v>
      </c>
      <c r="L755" t="str">
        <v>COMP006-02-06-2025</v>
      </c>
      <c r="M755" t="str">
        <f>_xlfn.CONCAT(A754," ",B754)</f>
        <v>45807 COMP006</v>
      </c>
    </row>
    <row r="756" spans="1:13" x14ac:dyDescent="0.3">
      <c r="A756" s="17">
        <v>45811</v>
      </c>
      <c r="B756" s="18" t="s">
        <v>26</v>
      </c>
      <c r="C756" s="18">
        <v>246.11</v>
      </c>
      <c r="D756" s="18">
        <v>249.43</v>
      </c>
      <c r="E756" s="18">
        <v>242.79</v>
      </c>
      <c r="F756" s="18">
        <v>245.51</v>
      </c>
      <c r="G756" s="18">
        <v>36531</v>
      </c>
      <c r="H756" s="18">
        <f t="shared" si="13"/>
        <v>2.688281536393616E-3</v>
      </c>
      <c r="I756" s="18">
        <f>PRODUCT(fact_daily_prices!$F756,fact_daily_prices!$G756)</f>
        <v>8968725.8100000005</v>
      </c>
      <c r="J756" s="18" t="str">
        <f>_xlfn.XLOOKUP(fact_daily_prices!$B756,dim_company[company_id],dim_company[sector_id])</f>
        <v>SEC01</v>
      </c>
      <c r="K756" s="19" t="str">
        <f>_xlfn.XLOOKUP(fact_daily_prices!$J756,dim_sector[sector_id],dim_sector[sector_name])</f>
        <v>Information Technology</v>
      </c>
      <c r="L756" t="str">
        <v>COMP006-03-06-2025</v>
      </c>
      <c r="M756" t="str">
        <f>_xlfn.CONCAT(A755," ",B755)</f>
        <v>45810 COMP006</v>
      </c>
    </row>
    <row r="757" spans="1:13" x14ac:dyDescent="0.3">
      <c r="A757" s="20">
        <v>45812</v>
      </c>
      <c r="B757" s="7" t="s">
        <v>26</v>
      </c>
      <c r="C757" s="7">
        <v>243.51</v>
      </c>
      <c r="D757" s="7">
        <v>246.22</v>
      </c>
      <c r="E757" s="7">
        <v>240.8</v>
      </c>
      <c r="F757" s="7">
        <v>245.11</v>
      </c>
      <c r="G757" s="7">
        <v>4731</v>
      </c>
      <c r="H757" s="7">
        <f t="shared" si="13"/>
        <v>-1.6319203622862275E-3</v>
      </c>
      <c r="I757" s="7">
        <f>PRODUCT(fact_daily_prices!$F757,fact_daily_prices!$G757)</f>
        <v>1159615.4100000001</v>
      </c>
      <c r="J757" s="7" t="str">
        <f>_xlfn.XLOOKUP(fact_daily_prices!$B757,dim_company[company_id],dim_company[sector_id])</f>
        <v>SEC01</v>
      </c>
      <c r="K757" s="21" t="str">
        <f>_xlfn.XLOOKUP(fact_daily_prices!$J757,dim_sector[sector_id],dim_sector[sector_name])</f>
        <v>Information Technology</v>
      </c>
      <c r="L757" t="str">
        <v>COMP006-04-06-2025</v>
      </c>
      <c r="M757" t="str">
        <f>_xlfn.CONCAT(A756," ",B756)</f>
        <v>45811 COMP006</v>
      </c>
    </row>
    <row r="758" spans="1:13" x14ac:dyDescent="0.3">
      <c r="A758" s="17">
        <v>45813</v>
      </c>
      <c r="B758" s="18" t="s">
        <v>26</v>
      </c>
      <c r="C758" s="18">
        <v>242.59</v>
      </c>
      <c r="D758" s="18">
        <v>245.75</v>
      </c>
      <c r="E758" s="18">
        <v>239.44</v>
      </c>
      <c r="F758" s="18">
        <v>242.47</v>
      </c>
      <c r="G758" s="18">
        <v>27113</v>
      </c>
      <c r="H758" s="18">
        <f t="shared" si="13"/>
        <v>-1.088794490040011E-2</v>
      </c>
      <c r="I758" s="18">
        <f>PRODUCT(fact_daily_prices!$F758,fact_daily_prices!$G758)</f>
        <v>6574089.1100000003</v>
      </c>
      <c r="J758" s="18" t="str">
        <f>_xlfn.XLOOKUP(fact_daily_prices!$B758,dim_company[company_id],dim_company[sector_id])</f>
        <v>SEC01</v>
      </c>
      <c r="K758" s="19" t="str">
        <f>_xlfn.XLOOKUP(fact_daily_prices!$J758,dim_sector[sector_id],dim_sector[sector_name])</f>
        <v>Information Technology</v>
      </c>
      <c r="L758" t="str">
        <v>COMP006-05-06-2025</v>
      </c>
      <c r="M758" t="str">
        <f>_xlfn.CONCAT(A757," ",B757)</f>
        <v>45812 COMP006</v>
      </c>
    </row>
    <row r="759" spans="1:13" x14ac:dyDescent="0.3">
      <c r="A759" s="20">
        <v>45814</v>
      </c>
      <c r="B759" s="7" t="s">
        <v>26</v>
      </c>
      <c r="C759" s="7">
        <v>238.72</v>
      </c>
      <c r="D759" s="7">
        <v>242.4</v>
      </c>
      <c r="E759" s="7">
        <v>235.04</v>
      </c>
      <c r="F759" s="7">
        <v>238.25</v>
      </c>
      <c r="G759" s="7">
        <v>21452</v>
      </c>
      <c r="H759" s="7">
        <f t="shared" si="13"/>
        <v>-1.7712486883525703E-2</v>
      </c>
      <c r="I759" s="7">
        <f>PRODUCT(fact_daily_prices!$F759,fact_daily_prices!$G759)</f>
        <v>5110939</v>
      </c>
      <c r="J759" s="7" t="str">
        <f>_xlfn.XLOOKUP(fact_daily_prices!$B759,dim_company[company_id],dim_company[sector_id])</f>
        <v>SEC01</v>
      </c>
      <c r="K759" s="21" t="str">
        <f>_xlfn.XLOOKUP(fact_daily_prices!$J759,dim_sector[sector_id],dim_sector[sector_name])</f>
        <v>Information Technology</v>
      </c>
      <c r="L759" t="str">
        <v>COMP006-06-06-2025</v>
      </c>
      <c r="M759" t="str">
        <f>_xlfn.CONCAT(A758," ",B758)</f>
        <v>45813 COMP006</v>
      </c>
    </row>
    <row r="760" spans="1:13" x14ac:dyDescent="0.3">
      <c r="A760" s="17">
        <v>45817</v>
      </c>
      <c r="B760" s="18" t="s">
        <v>26</v>
      </c>
      <c r="C760" s="18">
        <v>232.56</v>
      </c>
      <c r="D760" s="18">
        <v>233.46</v>
      </c>
      <c r="E760" s="18">
        <v>231.67</v>
      </c>
      <c r="F760" s="18">
        <v>233.13</v>
      </c>
      <c r="G760" s="18">
        <v>42334</v>
      </c>
      <c r="H760" s="18">
        <f t="shared" si="13"/>
        <v>-2.1961995453180647E-2</v>
      </c>
      <c r="I760" s="18">
        <f>PRODUCT(fact_daily_prices!$F760,fact_daily_prices!$G760)</f>
        <v>9869325.4199999999</v>
      </c>
      <c r="J760" s="18" t="str">
        <f>_xlfn.XLOOKUP(fact_daily_prices!$B760,dim_company[company_id],dim_company[sector_id])</f>
        <v>SEC01</v>
      </c>
      <c r="K760" s="19" t="str">
        <f>_xlfn.XLOOKUP(fact_daily_prices!$J760,dim_sector[sector_id],dim_sector[sector_name])</f>
        <v>Information Technology</v>
      </c>
      <c r="L760" t="str">
        <v>COMP006-09-06-2025</v>
      </c>
      <c r="M760" t="str">
        <f>_xlfn.CONCAT(A759," ",B759)</f>
        <v>45814 COMP006</v>
      </c>
    </row>
    <row r="761" spans="1:13" x14ac:dyDescent="0.3">
      <c r="A761" s="20">
        <v>45818</v>
      </c>
      <c r="B761" s="7" t="s">
        <v>26</v>
      </c>
      <c r="C761" s="7">
        <v>232.92</v>
      </c>
      <c r="D761" s="7">
        <v>236.2</v>
      </c>
      <c r="E761" s="7">
        <v>229.64</v>
      </c>
      <c r="F761" s="7">
        <v>233.53</v>
      </c>
      <c r="G761" s="7">
        <v>22074</v>
      </c>
      <c r="H761" s="7">
        <f t="shared" si="13"/>
        <v>1.7128420331435177E-3</v>
      </c>
      <c r="I761" s="7">
        <f>PRODUCT(fact_daily_prices!$F761,fact_daily_prices!$G761)</f>
        <v>5154941.22</v>
      </c>
      <c r="J761" s="7" t="str">
        <f>_xlfn.XLOOKUP(fact_daily_prices!$B761,dim_company[company_id],dim_company[sector_id])</f>
        <v>SEC01</v>
      </c>
      <c r="K761" s="21" t="str">
        <f>_xlfn.XLOOKUP(fact_daily_prices!$J761,dim_sector[sector_id],dim_sector[sector_name])</f>
        <v>Information Technology</v>
      </c>
      <c r="L761" t="str">
        <v>COMP006-10-06-2025</v>
      </c>
      <c r="M761" t="str">
        <f>_xlfn.CONCAT(A760," ",B760)</f>
        <v>45817 COMP006</v>
      </c>
    </row>
    <row r="762" spans="1:13" x14ac:dyDescent="0.3">
      <c r="A762" s="17">
        <v>45819</v>
      </c>
      <c r="B762" s="18" t="s">
        <v>26</v>
      </c>
      <c r="C762" s="18">
        <v>230.01</v>
      </c>
      <c r="D762" s="18">
        <v>232.02</v>
      </c>
      <c r="E762" s="18">
        <v>228.01</v>
      </c>
      <c r="F762" s="18">
        <v>229.14</v>
      </c>
      <c r="G762" s="18">
        <v>17199</v>
      </c>
      <c r="H762" s="18">
        <f t="shared" si="13"/>
        <v>-1.9158592999912783E-2</v>
      </c>
      <c r="I762" s="18">
        <f>PRODUCT(fact_daily_prices!$F762,fact_daily_prices!$G762)</f>
        <v>3940978.86</v>
      </c>
      <c r="J762" s="18" t="str">
        <f>_xlfn.XLOOKUP(fact_daily_prices!$B762,dim_company[company_id],dim_company[sector_id])</f>
        <v>SEC01</v>
      </c>
      <c r="K762" s="19" t="str">
        <f>_xlfn.XLOOKUP(fact_daily_prices!$J762,dim_sector[sector_id],dim_sector[sector_name])</f>
        <v>Information Technology</v>
      </c>
      <c r="L762" t="str">
        <v>COMP006-11-06-2025</v>
      </c>
      <c r="M762" t="str">
        <f>_xlfn.CONCAT(A761," ",B761)</f>
        <v>45818 COMP006</v>
      </c>
    </row>
    <row r="763" spans="1:13" x14ac:dyDescent="0.3">
      <c r="A763" s="20">
        <v>45820</v>
      </c>
      <c r="B763" s="7" t="s">
        <v>26</v>
      </c>
      <c r="C763" s="7">
        <v>224.82</v>
      </c>
      <c r="D763" s="7">
        <v>226.18</v>
      </c>
      <c r="E763" s="7">
        <v>223.46</v>
      </c>
      <c r="F763" s="7">
        <v>225.94</v>
      </c>
      <c r="G763" s="7">
        <v>20581</v>
      </c>
      <c r="H763" s="7">
        <f t="shared" si="13"/>
        <v>-1.4163052137735633E-2</v>
      </c>
      <c r="I763" s="7">
        <f>PRODUCT(fact_daily_prices!$F763,fact_daily_prices!$G763)</f>
        <v>4650071.1399999997</v>
      </c>
      <c r="J763" s="7" t="str">
        <f>_xlfn.XLOOKUP(fact_daily_prices!$B763,dim_company[company_id],dim_company[sector_id])</f>
        <v>SEC01</v>
      </c>
      <c r="K763" s="21" t="str">
        <f>_xlfn.XLOOKUP(fact_daily_prices!$J763,dim_sector[sector_id],dim_sector[sector_name])</f>
        <v>Information Technology</v>
      </c>
      <c r="L763" t="str">
        <v>COMP006-12-06-2025</v>
      </c>
      <c r="M763" t="str">
        <f>_xlfn.CONCAT(A762," ",B762)</f>
        <v>45819 COMP006</v>
      </c>
    </row>
    <row r="764" spans="1:13" x14ac:dyDescent="0.3">
      <c r="A764" s="17">
        <v>45821</v>
      </c>
      <c r="B764" s="18" t="s">
        <v>26</v>
      </c>
      <c r="C764" s="18">
        <v>225.83</v>
      </c>
      <c r="D764" s="18">
        <v>227.14</v>
      </c>
      <c r="E764" s="18">
        <v>224.51</v>
      </c>
      <c r="F764" s="18">
        <v>225.38</v>
      </c>
      <c r="G764" s="18">
        <v>17523</v>
      </c>
      <c r="H764" s="18">
        <f t="shared" si="13"/>
        <v>-2.4846925193007467E-3</v>
      </c>
      <c r="I764" s="18">
        <f>PRODUCT(fact_daily_prices!$F764,fact_daily_prices!$G764)</f>
        <v>3949333.7399999998</v>
      </c>
      <c r="J764" s="18" t="str">
        <f>_xlfn.XLOOKUP(fact_daily_prices!$B764,dim_company[company_id],dim_company[sector_id])</f>
        <v>SEC01</v>
      </c>
      <c r="K764" s="19" t="str">
        <f>_xlfn.XLOOKUP(fact_daily_prices!$J764,dim_sector[sector_id],dim_sector[sector_name])</f>
        <v>Information Technology</v>
      </c>
      <c r="L764" t="str">
        <v>COMP006-13-06-2025</v>
      </c>
      <c r="M764" t="str">
        <f>_xlfn.CONCAT(A763," ",B763)</f>
        <v>45820 COMP006</v>
      </c>
    </row>
    <row r="765" spans="1:13" x14ac:dyDescent="0.3">
      <c r="A765" s="20">
        <v>45824</v>
      </c>
      <c r="B765" s="7" t="s">
        <v>26</v>
      </c>
      <c r="C765" s="7">
        <v>218.69</v>
      </c>
      <c r="D765" s="7">
        <v>220.77</v>
      </c>
      <c r="E765" s="7">
        <v>216.6</v>
      </c>
      <c r="F765" s="7">
        <v>218.06</v>
      </c>
      <c r="G765" s="7">
        <v>11808</v>
      </c>
      <c r="H765" s="7">
        <f t="shared" si="13"/>
        <v>-3.356874254792256E-2</v>
      </c>
      <c r="I765" s="7">
        <f>PRODUCT(fact_daily_prices!$F765,fact_daily_prices!$G765)</f>
        <v>2574852.48</v>
      </c>
      <c r="J765" s="7" t="str">
        <f>_xlfn.XLOOKUP(fact_daily_prices!$B765,dim_company[company_id],dim_company[sector_id])</f>
        <v>SEC01</v>
      </c>
      <c r="K765" s="21" t="str">
        <f>_xlfn.XLOOKUP(fact_daily_prices!$J765,dim_sector[sector_id],dim_sector[sector_name])</f>
        <v>Information Technology</v>
      </c>
      <c r="L765" t="str">
        <v>COMP006-16-06-2025</v>
      </c>
      <c r="M765" t="str">
        <f>_xlfn.CONCAT(A764," ",B764)</f>
        <v>45821 COMP006</v>
      </c>
    </row>
    <row r="766" spans="1:13" x14ac:dyDescent="0.3">
      <c r="A766" s="17">
        <v>45825</v>
      </c>
      <c r="B766" s="18" t="s">
        <v>26</v>
      </c>
      <c r="C766" s="18">
        <v>220.86</v>
      </c>
      <c r="D766" s="18">
        <v>224.13</v>
      </c>
      <c r="E766" s="18">
        <v>217.6</v>
      </c>
      <c r="F766" s="18">
        <v>220.26</v>
      </c>
      <c r="G766" s="18">
        <v>1887</v>
      </c>
      <c r="H766" s="18">
        <f t="shared" si="13"/>
        <v>9.9881957686370135E-3</v>
      </c>
      <c r="I766" s="18">
        <f>PRODUCT(fact_daily_prices!$F766,fact_daily_prices!$G766)</f>
        <v>415630.62</v>
      </c>
      <c r="J766" s="18" t="str">
        <f>_xlfn.XLOOKUP(fact_daily_prices!$B766,dim_company[company_id],dim_company[sector_id])</f>
        <v>SEC01</v>
      </c>
      <c r="K766" s="19" t="str">
        <f>_xlfn.XLOOKUP(fact_daily_prices!$J766,dim_sector[sector_id],dim_sector[sector_name])</f>
        <v>Information Technology</v>
      </c>
      <c r="L766" t="str">
        <v>COMP006-17-06-2025</v>
      </c>
      <c r="M766" t="str">
        <f>_xlfn.CONCAT(A765," ",B765)</f>
        <v>45824 COMP006</v>
      </c>
    </row>
    <row r="767" spans="1:13" x14ac:dyDescent="0.3">
      <c r="A767" s="20">
        <v>45826</v>
      </c>
      <c r="B767" s="7" t="s">
        <v>26</v>
      </c>
      <c r="C767" s="7">
        <v>214.79</v>
      </c>
      <c r="D767" s="7">
        <v>217.08</v>
      </c>
      <c r="E767" s="7">
        <v>212.51</v>
      </c>
      <c r="F767" s="7">
        <v>213.73</v>
      </c>
      <c r="G767" s="7">
        <v>17402</v>
      </c>
      <c r="H767" s="7">
        <f t="shared" si="13"/>
        <v>-3.0552566321995048E-2</v>
      </c>
      <c r="I767" s="7">
        <f>PRODUCT(fact_daily_prices!$F767,fact_daily_prices!$G767)</f>
        <v>3719329.46</v>
      </c>
      <c r="J767" s="7" t="str">
        <f>_xlfn.XLOOKUP(fact_daily_prices!$B767,dim_company[company_id],dim_company[sector_id])</f>
        <v>SEC01</v>
      </c>
      <c r="K767" s="21" t="str">
        <f>_xlfn.XLOOKUP(fact_daily_prices!$J767,dim_sector[sector_id],dim_sector[sector_name])</f>
        <v>Information Technology</v>
      </c>
      <c r="L767" t="str">
        <v>COMP006-18-06-2025</v>
      </c>
      <c r="M767" t="str">
        <f>_xlfn.CONCAT(A766," ",B766)</f>
        <v>45825 COMP006</v>
      </c>
    </row>
    <row r="768" spans="1:13" x14ac:dyDescent="0.3">
      <c r="A768" s="17">
        <v>45827</v>
      </c>
      <c r="B768" s="18" t="s">
        <v>26</v>
      </c>
      <c r="C768" s="18">
        <v>214.86</v>
      </c>
      <c r="D768" s="18">
        <v>216.46</v>
      </c>
      <c r="E768" s="18">
        <v>213.26</v>
      </c>
      <c r="F768" s="18">
        <v>213.57</v>
      </c>
      <c r="G768" s="18">
        <v>13253</v>
      </c>
      <c r="H768" s="18">
        <f t="shared" si="13"/>
        <v>-7.491688907617952E-4</v>
      </c>
      <c r="I768" s="18">
        <f>PRODUCT(fact_daily_prices!$F768,fact_daily_prices!$G768)</f>
        <v>2830443.21</v>
      </c>
      <c r="J768" s="18" t="str">
        <f>_xlfn.XLOOKUP(fact_daily_prices!$B768,dim_company[company_id],dim_company[sector_id])</f>
        <v>SEC01</v>
      </c>
      <c r="K768" s="19" t="str">
        <f>_xlfn.XLOOKUP(fact_daily_prices!$J768,dim_sector[sector_id],dim_sector[sector_name])</f>
        <v>Information Technology</v>
      </c>
      <c r="L768" t="str">
        <v>COMP006-19-06-2025</v>
      </c>
      <c r="M768" t="str">
        <f>_xlfn.CONCAT(A767," ",B767)</f>
        <v>45826 COMP006</v>
      </c>
    </row>
    <row r="769" spans="1:13" x14ac:dyDescent="0.3">
      <c r="A769" s="20">
        <v>45828</v>
      </c>
      <c r="B769" s="7" t="s">
        <v>26</v>
      </c>
      <c r="C769" s="7">
        <v>212.44</v>
      </c>
      <c r="D769" s="7">
        <v>215.26</v>
      </c>
      <c r="E769" s="7">
        <v>209.62</v>
      </c>
      <c r="F769" s="7">
        <v>213.66</v>
      </c>
      <c r="G769" s="7">
        <v>47220</v>
      </c>
      <c r="H769" s="7">
        <f t="shared" si="13"/>
        <v>4.2122999157541614E-4</v>
      </c>
      <c r="I769" s="7">
        <f>PRODUCT(fact_daily_prices!$F769,fact_daily_prices!$G769)</f>
        <v>10089025.199999999</v>
      </c>
      <c r="J769" s="7" t="str">
        <f>_xlfn.XLOOKUP(fact_daily_prices!$B769,dim_company[company_id],dim_company[sector_id])</f>
        <v>SEC01</v>
      </c>
      <c r="K769" s="21" t="str">
        <f>_xlfn.XLOOKUP(fact_daily_prices!$J769,dim_sector[sector_id],dim_sector[sector_name])</f>
        <v>Information Technology</v>
      </c>
      <c r="L769" t="str">
        <v>COMP006-20-06-2025</v>
      </c>
      <c r="M769" t="str">
        <f>_xlfn.CONCAT(A768," ",B768)</f>
        <v>45827 COMP006</v>
      </c>
    </row>
    <row r="770" spans="1:13" x14ac:dyDescent="0.3">
      <c r="A770" s="17">
        <v>45831</v>
      </c>
      <c r="B770" s="18" t="s">
        <v>26</v>
      </c>
      <c r="C770" s="18">
        <v>215.28</v>
      </c>
      <c r="D770" s="18">
        <v>218.54</v>
      </c>
      <c r="E770" s="18">
        <v>212.01</v>
      </c>
      <c r="F770" s="18">
        <v>215.17</v>
      </c>
      <c r="G770" s="18">
        <v>46270</v>
      </c>
      <c r="H770" s="18">
        <f t="shared" si="13"/>
        <v>7.0177069294046152E-3</v>
      </c>
      <c r="I770" s="18">
        <f>PRODUCT(fact_daily_prices!$F770,fact_daily_prices!$G770)</f>
        <v>9955915.8999999985</v>
      </c>
      <c r="J770" s="18" t="str">
        <f>_xlfn.XLOOKUP(fact_daily_prices!$B770,dim_company[company_id],dim_company[sector_id])</f>
        <v>SEC01</v>
      </c>
      <c r="K770" s="19" t="str">
        <f>_xlfn.XLOOKUP(fact_daily_prices!$J770,dim_sector[sector_id],dim_sector[sector_name])</f>
        <v>Information Technology</v>
      </c>
      <c r="L770" t="str">
        <v>COMP006-23-06-2025</v>
      </c>
      <c r="M770" t="str">
        <f>_xlfn.CONCAT(A769," ",B769)</f>
        <v>45828 COMP006</v>
      </c>
    </row>
    <row r="771" spans="1:13" x14ac:dyDescent="0.3">
      <c r="A771" s="20">
        <v>45832</v>
      </c>
      <c r="B771" s="7" t="s">
        <v>26</v>
      </c>
      <c r="C771" s="7">
        <v>214.63</v>
      </c>
      <c r="D771" s="7">
        <v>215.96</v>
      </c>
      <c r="E771" s="7">
        <v>213.3</v>
      </c>
      <c r="F771" s="7">
        <v>215.1</v>
      </c>
      <c r="G771" s="7">
        <v>39709</v>
      </c>
      <c r="H771" s="7">
        <f t="shared" si="13"/>
        <v>-3.2543003254297155E-4</v>
      </c>
      <c r="I771" s="7">
        <f>PRODUCT(fact_daily_prices!$F771,fact_daily_prices!$G771)</f>
        <v>8541405.9000000004</v>
      </c>
      <c r="J771" s="7" t="str">
        <f>_xlfn.XLOOKUP(fact_daily_prices!$B771,dim_company[company_id],dim_company[sector_id])</f>
        <v>SEC01</v>
      </c>
      <c r="K771" s="21" t="str">
        <f>_xlfn.XLOOKUP(fact_daily_prices!$J771,dim_sector[sector_id],dim_sector[sector_name])</f>
        <v>Information Technology</v>
      </c>
      <c r="L771" t="str">
        <v>COMP006-24-06-2025</v>
      </c>
      <c r="M771" t="str">
        <f>_xlfn.CONCAT(A770," ",B770)</f>
        <v>45831 COMP006</v>
      </c>
    </row>
    <row r="772" spans="1:13" x14ac:dyDescent="0.3">
      <c r="A772" s="17">
        <v>45833</v>
      </c>
      <c r="B772" s="18" t="s">
        <v>26</v>
      </c>
      <c r="C772" s="18">
        <v>219.84</v>
      </c>
      <c r="D772" s="18">
        <v>223.35</v>
      </c>
      <c r="E772" s="18">
        <v>216.32</v>
      </c>
      <c r="F772" s="18">
        <v>220.69</v>
      </c>
      <c r="G772" s="18">
        <v>16166</v>
      </c>
      <c r="H772" s="18">
        <f t="shared" ref="H772:H835" si="14">(F772-F771)/F772</f>
        <v>2.5329647922425137E-2</v>
      </c>
      <c r="I772" s="18">
        <f>PRODUCT(fact_daily_prices!$F772,fact_daily_prices!$G772)</f>
        <v>3567674.54</v>
      </c>
      <c r="J772" s="18" t="str">
        <f>_xlfn.XLOOKUP(fact_daily_prices!$B772,dim_company[company_id],dim_company[sector_id])</f>
        <v>SEC01</v>
      </c>
      <c r="K772" s="19" t="str">
        <f>_xlfn.XLOOKUP(fact_daily_prices!$J772,dim_sector[sector_id],dim_sector[sector_name])</f>
        <v>Information Technology</v>
      </c>
      <c r="L772" t="str">
        <v>COMP006-25-06-2025</v>
      </c>
      <c r="M772" t="str">
        <f>_xlfn.CONCAT(A771," ",B771)</f>
        <v>45832 COMP006</v>
      </c>
    </row>
    <row r="773" spans="1:13" x14ac:dyDescent="0.3">
      <c r="A773" s="20">
        <v>45834</v>
      </c>
      <c r="B773" s="7" t="s">
        <v>26</v>
      </c>
      <c r="C773" s="7">
        <v>220.14</v>
      </c>
      <c r="D773" s="7">
        <v>223.26</v>
      </c>
      <c r="E773" s="7">
        <v>217.01</v>
      </c>
      <c r="F773" s="7">
        <v>221.35</v>
      </c>
      <c r="G773" s="7">
        <v>39556</v>
      </c>
      <c r="H773" s="7">
        <f t="shared" si="14"/>
        <v>2.9817031850011143E-3</v>
      </c>
      <c r="I773" s="7">
        <f>PRODUCT(fact_daily_prices!$F773,fact_daily_prices!$G773)</f>
        <v>8755720.5999999996</v>
      </c>
      <c r="J773" s="7" t="str">
        <f>_xlfn.XLOOKUP(fact_daily_prices!$B773,dim_company[company_id],dim_company[sector_id])</f>
        <v>SEC01</v>
      </c>
      <c r="K773" s="21" t="str">
        <f>_xlfn.XLOOKUP(fact_daily_prices!$J773,dim_sector[sector_id],dim_sector[sector_name])</f>
        <v>Information Technology</v>
      </c>
      <c r="L773" t="str">
        <v>COMP006-26-06-2025</v>
      </c>
      <c r="M773" t="str">
        <f>_xlfn.CONCAT(A772," ",B772)</f>
        <v>45833 COMP006</v>
      </c>
    </row>
    <row r="774" spans="1:13" x14ac:dyDescent="0.3">
      <c r="A774" s="17">
        <v>45835</v>
      </c>
      <c r="B774" s="18" t="s">
        <v>26</v>
      </c>
      <c r="C774" s="18">
        <v>226.32</v>
      </c>
      <c r="D774" s="18">
        <v>228.75</v>
      </c>
      <c r="E774" s="18">
        <v>223.9</v>
      </c>
      <c r="F774" s="18">
        <v>224.36</v>
      </c>
      <c r="G774" s="18">
        <v>41505</v>
      </c>
      <c r="H774" s="18">
        <f t="shared" si="14"/>
        <v>1.3415938669994737E-2</v>
      </c>
      <c r="I774" s="18">
        <f>PRODUCT(fact_daily_prices!$F774,fact_daily_prices!$G774)</f>
        <v>9312061.8000000007</v>
      </c>
      <c r="J774" s="18" t="str">
        <f>_xlfn.XLOOKUP(fact_daily_prices!$B774,dim_company[company_id],dim_company[sector_id])</f>
        <v>SEC01</v>
      </c>
      <c r="K774" s="19" t="str">
        <f>_xlfn.XLOOKUP(fact_daily_prices!$J774,dim_sector[sector_id],dim_sector[sector_name])</f>
        <v>Information Technology</v>
      </c>
      <c r="L774" t="str">
        <v>COMP006-27-06-2025</v>
      </c>
      <c r="M774" t="str">
        <f>_xlfn.CONCAT(A773," ",B773)</f>
        <v>45834 COMP006</v>
      </c>
    </row>
    <row r="775" spans="1:13" x14ac:dyDescent="0.3">
      <c r="A775" s="20">
        <v>45838</v>
      </c>
      <c r="B775" s="7" t="s">
        <v>26</v>
      </c>
      <c r="C775" s="7">
        <v>221.73</v>
      </c>
      <c r="D775" s="7">
        <v>222.88</v>
      </c>
      <c r="E775" s="7">
        <v>220.58</v>
      </c>
      <c r="F775" s="7">
        <v>222.38</v>
      </c>
      <c r="G775" s="7">
        <v>2988</v>
      </c>
      <c r="H775" s="7">
        <f t="shared" si="14"/>
        <v>-8.9036783883443583E-3</v>
      </c>
      <c r="I775" s="7">
        <f>PRODUCT(fact_daily_prices!$F775,fact_daily_prices!$G775)</f>
        <v>664471.43999999994</v>
      </c>
      <c r="J775" s="7" t="str">
        <f>_xlfn.XLOOKUP(fact_daily_prices!$B775,dim_company[company_id],dim_company[sector_id])</f>
        <v>SEC01</v>
      </c>
      <c r="K775" s="21" t="str">
        <f>_xlfn.XLOOKUP(fact_daily_prices!$J775,dim_sector[sector_id],dim_sector[sector_name])</f>
        <v>Information Technology</v>
      </c>
      <c r="L775" t="str">
        <v>COMP006-30-06-2025</v>
      </c>
      <c r="M775" t="str">
        <f>_xlfn.CONCAT(A774," ",B774)</f>
        <v>45835 COMP006</v>
      </c>
    </row>
    <row r="776" spans="1:13" x14ac:dyDescent="0.3">
      <c r="A776" s="17">
        <v>45658</v>
      </c>
      <c r="B776" s="18" t="s">
        <v>29</v>
      </c>
      <c r="C776" s="18">
        <v>451.6</v>
      </c>
      <c r="D776" s="18">
        <v>456.73</v>
      </c>
      <c r="E776" s="18">
        <v>446.47</v>
      </c>
      <c r="F776" s="18">
        <v>453.01</v>
      </c>
      <c r="G776" s="18">
        <v>33115</v>
      </c>
      <c r="H776" s="18">
        <v>0</v>
      </c>
      <c r="I776" s="18">
        <f>PRODUCT(fact_daily_prices!$F776,fact_daily_prices!$G776)</f>
        <v>15001426.15</v>
      </c>
      <c r="J776" s="18" t="str">
        <f>_xlfn.XLOOKUP(fact_daily_prices!$B776,dim_company[company_id],dim_company[sector_id])</f>
        <v>SEC05</v>
      </c>
      <c r="K776" s="19" t="str">
        <f>_xlfn.XLOOKUP(fact_daily_prices!$J776,dim_sector[sector_id],dim_sector[sector_name])</f>
        <v>Consumer Discretionary</v>
      </c>
      <c r="L776" t="str">
        <v>COMP007-01-01-2025</v>
      </c>
      <c r="M776" t="str">
        <f>_xlfn.CONCAT(A775," ",B775)</f>
        <v>45838 COMP006</v>
      </c>
    </row>
    <row r="777" spans="1:13" x14ac:dyDescent="0.3">
      <c r="A777" s="20">
        <v>45659</v>
      </c>
      <c r="B777" s="7" t="s">
        <v>29</v>
      </c>
      <c r="C777" s="7">
        <v>455.77</v>
      </c>
      <c r="D777" s="7">
        <v>457.35</v>
      </c>
      <c r="E777" s="7">
        <v>454.19</v>
      </c>
      <c r="F777" s="7">
        <v>455.26</v>
      </c>
      <c r="G777" s="7">
        <v>6520</v>
      </c>
      <c r="H777" s="7">
        <f t="shared" si="14"/>
        <v>4.9422308131617096E-3</v>
      </c>
      <c r="I777" s="7">
        <f>PRODUCT(fact_daily_prices!$F777,fact_daily_prices!$G777)</f>
        <v>2968295.1999999997</v>
      </c>
      <c r="J777" s="7" t="str">
        <f>_xlfn.XLOOKUP(fact_daily_prices!$B777,dim_company[company_id],dim_company[sector_id])</f>
        <v>SEC05</v>
      </c>
      <c r="K777" s="21" t="str">
        <f>_xlfn.XLOOKUP(fact_daily_prices!$J777,dim_sector[sector_id],dim_sector[sector_name])</f>
        <v>Consumer Discretionary</v>
      </c>
      <c r="L777" t="str">
        <v>COMP007-02-01-2025</v>
      </c>
      <c r="M777" t="str">
        <f>_xlfn.CONCAT(A776," ",B776)</f>
        <v>45658 COMP007</v>
      </c>
    </row>
    <row r="778" spans="1:13" x14ac:dyDescent="0.3">
      <c r="A778" s="17">
        <v>45660</v>
      </c>
      <c r="B778" s="18" t="s">
        <v>29</v>
      </c>
      <c r="C778" s="18">
        <v>450.26</v>
      </c>
      <c r="D778" s="18">
        <v>457.49</v>
      </c>
      <c r="E778" s="18">
        <v>443.03</v>
      </c>
      <c r="F778" s="18">
        <v>450.82</v>
      </c>
      <c r="G778" s="18">
        <v>42605</v>
      </c>
      <c r="H778" s="18">
        <f t="shared" si="14"/>
        <v>-9.8487201100217331E-3</v>
      </c>
      <c r="I778" s="18">
        <f>PRODUCT(fact_daily_prices!$F778,fact_daily_prices!$G778)</f>
        <v>19207186.100000001</v>
      </c>
      <c r="J778" s="18" t="str">
        <f>_xlfn.XLOOKUP(fact_daily_prices!$B778,dim_company[company_id],dim_company[sector_id])</f>
        <v>SEC05</v>
      </c>
      <c r="K778" s="19" t="str">
        <f>_xlfn.XLOOKUP(fact_daily_prices!$J778,dim_sector[sector_id],dim_sector[sector_name])</f>
        <v>Consumer Discretionary</v>
      </c>
      <c r="L778" t="str">
        <v>COMP007-03-01-2025</v>
      </c>
      <c r="M778" t="str">
        <f>_xlfn.CONCAT(A777," ",B777)</f>
        <v>45659 COMP007</v>
      </c>
    </row>
    <row r="779" spans="1:13" x14ac:dyDescent="0.3">
      <c r="A779" s="20">
        <v>45663</v>
      </c>
      <c r="B779" s="7" t="s">
        <v>29</v>
      </c>
      <c r="C779" s="7">
        <v>453.35</v>
      </c>
      <c r="D779" s="7">
        <v>458.26</v>
      </c>
      <c r="E779" s="7">
        <v>448.45</v>
      </c>
      <c r="F779" s="7">
        <v>451.13</v>
      </c>
      <c r="G779" s="7">
        <v>14045</v>
      </c>
      <c r="H779" s="7">
        <f t="shared" si="14"/>
        <v>6.8716334537716911E-4</v>
      </c>
      <c r="I779" s="7">
        <f>PRODUCT(fact_daily_prices!$F779,fact_daily_prices!$G779)</f>
        <v>6336120.8499999996</v>
      </c>
      <c r="J779" s="7" t="str">
        <f>_xlfn.XLOOKUP(fact_daily_prices!$B779,dim_company[company_id],dim_company[sector_id])</f>
        <v>SEC05</v>
      </c>
      <c r="K779" s="21" t="str">
        <f>_xlfn.XLOOKUP(fact_daily_prices!$J779,dim_sector[sector_id],dim_sector[sector_name])</f>
        <v>Consumer Discretionary</v>
      </c>
      <c r="L779" t="str">
        <v>COMP007-06-01-2025</v>
      </c>
      <c r="M779" t="str">
        <f>_xlfn.CONCAT(A778," ",B778)</f>
        <v>45660 COMP007</v>
      </c>
    </row>
    <row r="780" spans="1:13" x14ac:dyDescent="0.3">
      <c r="A780" s="17">
        <v>45664</v>
      </c>
      <c r="B780" s="18" t="s">
        <v>29</v>
      </c>
      <c r="C780" s="18">
        <v>453.76</v>
      </c>
      <c r="D780" s="18">
        <v>454.22</v>
      </c>
      <c r="E780" s="18">
        <v>453.29</v>
      </c>
      <c r="F780" s="18">
        <v>453.47</v>
      </c>
      <c r="G780" s="18">
        <v>31954</v>
      </c>
      <c r="H780" s="18">
        <f t="shared" si="14"/>
        <v>5.1602090546233083E-3</v>
      </c>
      <c r="I780" s="18">
        <f>PRODUCT(fact_daily_prices!$F780,fact_daily_prices!$G780)</f>
        <v>14490180.380000001</v>
      </c>
      <c r="J780" s="18" t="str">
        <f>_xlfn.XLOOKUP(fact_daily_prices!$B780,dim_company[company_id],dim_company[sector_id])</f>
        <v>SEC05</v>
      </c>
      <c r="K780" s="19" t="str">
        <f>_xlfn.XLOOKUP(fact_daily_prices!$J780,dim_sector[sector_id],dim_sector[sector_name])</f>
        <v>Consumer Discretionary</v>
      </c>
      <c r="L780" t="str">
        <v>COMP007-07-01-2025</v>
      </c>
      <c r="M780" t="str">
        <f>_xlfn.CONCAT(A779," ",B779)</f>
        <v>45663 COMP007</v>
      </c>
    </row>
    <row r="781" spans="1:13" x14ac:dyDescent="0.3">
      <c r="A781" s="20">
        <v>45665</v>
      </c>
      <c r="B781" s="7" t="s">
        <v>29</v>
      </c>
      <c r="C781" s="7">
        <v>467.12</v>
      </c>
      <c r="D781" s="7">
        <v>474.67</v>
      </c>
      <c r="E781" s="7">
        <v>459.57</v>
      </c>
      <c r="F781" s="7">
        <v>467.82</v>
      </c>
      <c r="G781" s="7">
        <v>22113</v>
      </c>
      <c r="H781" s="7">
        <f t="shared" si="14"/>
        <v>3.0674190928134681E-2</v>
      </c>
      <c r="I781" s="7">
        <f>PRODUCT(fact_daily_prices!$F781,fact_daily_prices!$G781)</f>
        <v>10344903.66</v>
      </c>
      <c r="J781" s="7" t="str">
        <f>_xlfn.XLOOKUP(fact_daily_prices!$B781,dim_company[company_id],dim_company[sector_id])</f>
        <v>SEC05</v>
      </c>
      <c r="K781" s="21" t="str">
        <f>_xlfn.XLOOKUP(fact_daily_prices!$J781,dim_sector[sector_id],dim_sector[sector_name])</f>
        <v>Consumer Discretionary</v>
      </c>
      <c r="L781" t="str">
        <v>COMP007-08-01-2025</v>
      </c>
      <c r="M781" t="str">
        <f>_xlfn.CONCAT(A780," ",B780)</f>
        <v>45664 COMP007</v>
      </c>
    </row>
    <row r="782" spans="1:13" x14ac:dyDescent="0.3">
      <c r="A782" s="17">
        <v>45666</v>
      </c>
      <c r="B782" s="18" t="s">
        <v>29</v>
      </c>
      <c r="C782" s="18">
        <v>473.5</v>
      </c>
      <c r="D782" s="18">
        <v>475.67</v>
      </c>
      <c r="E782" s="18">
        <v>471.33</v>
      </c>
      <c r="F782" s="18">
        <v>472.33</v>
      </c>
      <c r="G782" s="18">
        <v>44939</v>
      </c>
      <c r="H782" s="18">
        <f t="shared" si="14"/>
        <v>9.5484089513687281E-3</v>
      </c>
      <c r="I782" s="18">
        <f>PRODUCT(fact_daily_prices!$F782,fact_daily_prices!$G782)</f>
        <v>21226037.870000001</v>
      </c>
      <c r="J782" s="18" t="str">
        <f>_xlfn.XLOOKUP(fact_daily_prices!$B782,dim_company[company_id],dim_company[sector_id])</f>
        <v>SEC05</v>
      </c>
      <c r="K782" s="19" t="str">
        <f>_xlfn.XLOOKUP(fact_daily_prices!$J782,dim_sector[sector_id],dim_sector[sector_name])</f>
        <v>Consumer Discretionary</v>
      </c>
      <c r="L782" t="str">
        <v>COMP007-09-01-2025</v>
      </c>
      <c r="M782" t="str">
        <f>_xlfn.CONCAT(A781," ",B781)</f>
        <v>45665 COMP007</v>
      </c>
    </row>
    <row r="783" spans="1:13" x14ac:dyDescent="0.3">
      <c r="A783" s="20">
        <v>45667</v>
      </c>
      <c r="B783" s="7" t="s">
        <v>29</v>
      </c>
      <c r="C783" s="7">
        <v>480.18</v>
      </c>
      <c r="D783" s="7">
        <v>481.77</v>
      </c>
      <c r="E783" s="7">
        <v>478.6</v>
      </c>
      <c r="F783" s="7">
        <v>480.63</v>
      </c>
      <c r="G783" s="7">
        <v>27829</v>
      </c>
      <c r="H783" s="7">
        <f t="shared" si="14"/>
        <v>1.726900110271937E-2</v>
      </c>
      <c r="I783" s="7">
        <f>PRODUCT(fact_daily_prices!$F783,fact_daily_prices!$G783)</f>
        <v>13375452.27</v>
      </c>
      <c r="J783" s="7" t="str">
        <f>_xlfn.XLOOKUP(fact_daily_prices!$B783,dim_company[company_id],dim_company[sector_id])</f>
        <v>SEC05</v>
      </c>
      <c r="K783" s="21" t="str">
        <f>_xlfn.XLOOKUP(fact_daily_prices!$J783,dim_sector[sector_id],dim_sector[sector_name])</f>
        <v>Consumer Discretionary</v>
      </c>
      <c r="L783" t="str">
        <v>COMP007-10-01-2025</v>
      </c>
      <c r="M783" t="str">
        <f>_xlfn.CONCAT(A782," ",B782)</f>
        <v>45666 COMP007</v>
      </c>
    </row>
    <row r="784" spans="1:13" x14ac:dyDescent="0.3">
      <c r="A784" s="17">
        <v>45670</v>
      </c>
      <c r="B784" s="18" t="s">
        <v>29</v>
      </c>
      <c r="C784" s="18">
        <v>491.84</v>
      </c>
      <c r="D784" s="18">
        <v>493.86</v>
      </c>
      <c r="E784" s="18">
        <v>489.82</v>
      </c>
      <c r="F784" s="18">
        <v>492.22</v>
      </c>
      <c r="G784" s="18">
        <v>32870</v>
      </c>
      <c r="H784" s="18">
        <f t="shared" si="14"/>
        <v>2.354638169924024E-2</v>
      </c>
      <c r="I784" s="18">
        <f>PRODUCT(fact_daily_prices!$F784,fact_daily_prices!$G784)</f>
        <v>16179271.4</v>
      </c>
      <c r="J784" s="18" t="str">
        <f>_xlfn.XLOOKUP(fact_daily_prices!$B784,dim_company[company_id],dim_company[sector_id])</f>
        <v>SEC05</v>
      </c>
      <c r="K784" s="19" t="str">
        <f>_xlfn.XLOOKUP(fact_daily_prices!$J784,dim_sector[sector_id],dim_sector[sector_name])</f>
        <v>Consumer Discretionary</v>
      </c>
      <c r="L784" t="str">
        <v>COMP007-13-01-2025</v>
      </c>
      <c r="M784" t="str">
        <f>_xlfn.CONCAT(A783," ",B783)</f>
        <v>45667 COMP007</v>
      </c>
    </row>
    <row r="785" spans="1:13" x14ac:dyDescent="0.3">
      <c r="A785" s="20">
        <v>45671</v>
      </c>
      <c r="B785" s="7" t="s">
        <v>29</v>
      </c>
      <c r="C785" s="7">
        <v>495.45</v>
      </c>
      <c r="D785" s="7">
        <v>497.7</v>
      </c>
      <c r="E785" s="7">
        <v>493.2</v>
      </c>
      <c r="F785" s="7">
        <v>495.38</v>
      </c>
      <c r="G785" s="7">
        <v>38275</v>
      </c>
      <c r="H785" s="7">
        <f t="shared" si="14"/>
        <v>6.3789414187088054E-3</v>
      </c>
      <c r="I785" s="7">
        <f>PRODUCT(fact_daily_prices!$F785,fact_daily_prices!$G785)</f>
        <v>18960669.5</v>
      </c>
      <c r="J785" s="7" t="str">
        <f>_xlfn.XLOOKUP(fact_daily_prices!$B785,dim_company[company_id],dim_company[sector_id])</f>
        <v>SEC05</v>
      </c>
      <c r="K785" s="21" t="str">
        <f>_xlfn.XLOOKUP(fact_daily_prices!$J785,dim_sector[sector_id],dim_sector[sector_name])</f>
        <v>Consumer Discretionary</v>
      </c>
      <c r="L785" t="str">
        <v>COMP007-14-01-2025</v>
      </c>
      <c r="M785" t="str">
        <f>_xlfn.CONCAT(A784," ",B784)</f>
        <v>45670 COMP007</v>
      </c>
    </row>
    <row r="786" spans="1:13" x14ac:dyDescent="0.3">
      <c r="A786" s="17">
        <v>45672</v>
      </c>
      <c r="B786" s="18" t="s">
        <v>29</v>
      </c>
      <c r="C786" s="18">
        <v>495.22</v>
      </c>
      <c r="D786" s="18">
        <v>502.97</v>
      </c>
      <c r="E786" s="18">
        <v>487.48</v>
      </c>
      <c r="F786" s="18">
        <v>497.28</v>
      </c>
      <c r="G786" s="18">
        <v>9328</v>
      </c>
      <c r="H786" s="18">
        <f t="shared" si="14"/>
        <v>3.8207850707850251E-3</v>
      </c>
      <c r="I786" s="18">
        <f>PRODUCT(fact_daily_prices!$F786,fact_daily_prices!$G786)</f>
        <v>4638627.8399999999</v>
      </c>
      <c r="J786" s="18" t="str">
        <f>_xlfn.XLOOKUP(fact_daily_prices!$B786,dim_company[company_id],dim_company[sector_id])</f>
        <v>SEC05</v>
      </c>
      <c r="K786" s="19" t="str">
        <f>_xlfn.XLOOKUP(fact_daily_prices!$J786,dim_sector[sector_id],dim_sector[sector_name])</f>
        <v>Consumer Discretionary</v>
      </c>
      <c r="L786" t="str">
        <v>COMP007-15-01-2025</v>
      </c>
      <c r="M786" t="str">
        <f>_xlfn.CONCAT(A785," ",B785)</f>
        <v>45671 COMP007</v>
      </c>
    </row>
    <row r="787" spans="1:13" x14ac:dyDescent="0.3">
      <c r="A787" s="20">
        <v>45673</v>
      </c>
      <c r="B787" s="7" t="s">
        <v>29</v>
      </c>
      <c r="C787" s="7">
        <v>490.7</v>
      </c>
      <c r="D787" s="7">
        <v>494.84</v>
      </c>
      <c r="E787" s="7">
        <v>486.55</v>
      </c>
      <c r="F787" s="7">
        <v>490.76</v>
      </c>
      <c r="G787" s="7">
        <v>36010</v>
      </c>
      <c r="H787" s="7">
        <f t="shared" si="14"/>
        <v>-1.3285516342000127E-2</v>
      </c>
      <c r="I787" s="7">
        <f>PRODUCT(fact_daily_prices!$F787,fact_daily_prices!$G787)</f>
        <v>17672267.600000001</v>
      </c>
      <c r="J787" s="7" t="str">
        <f>_xlfn.XLOOKUP(fact_daily_prices!$B787,dim_company[company_id],dim_company[sector_id])</f>
        <v>SEC05</v>
      </c>
      <c r="K787" s="21" t="str">
        <f>_xlfn.XLOOKUP(fact_daily_prices!$J787,dim_sector[sector_id],dim_sector[sector_name])</f>
        <v>Consumer Discretionary</v>
      </c>
      <c r="L787" t="str">
        <v>COMP007-16-01-2025</v>
      </c>
      <c r="M787" t="str">
        <f>_xlfn.CONCAT(A786," ",B786)</f>
        <v>45672 COMP007</v>
      </c>
    </row>
    <row r="788" spans="1:13" x14ac:dyDescent="0.3">
      <c r="A788" s="17">
        <v>45674</v>
      </c>
      <c r="B788" s="18" t="s">
        <v>29</v>
      </c>
      <c r="C788" s="18">
        <v>490.13</v>
      </c>
      <c r="D788" s="18">
        <v>496.99</v>
      </c>
      <c r="E788" s="18">
        <v>483.28</v>
      </c>
      <c r="F788" s="18">
        <v>490.16</v>
      </c>
      <c r="G788" s="18">
        <v>9640</v>
      </c>
      <c r="H788" s="18">
        <f t="shared" si="14"/>
        <v>-1.2240900930307775E-3</v>
      </c>
      <c r="I788" s="18">
        <f>PRODUCT(fact_daily_prices!$F788,fact_daily_prices!$G788)</f>
        <v>4725142.4000000004</v>
      </c>
      <c r="J788" s="18" t="str">
        <f>_xlfn.XLOOKUP(fact_daily_prices!$B788,dim_company[company_id],dim_company[sector_id])</f>
        <v>SEC05</v>
      </c>
      <c r="K788" s="19" t="str">
        <f>_xlfn.XLOOKUP(fact_daily_prices!$J788,dim_sector[sector_id],dim_sector[sector_name])</f>
        <v>Consumer Discretionary</v>
      </c>
      <c r="L788" t="str">
        <v>COMP007-17-01-2025</v>
      </c>
      <c r="M788" t="str">
        <f>_xlfn.CONCAT(A787," ",B787)</f>
        <v>45673 COMP007</v>
      </c>
    </row>
    <row r="789" spans="1:13" x14ac:dyDescent="0.3">
      <c r="A789" s="20">
        <v>45677</v>
      </c>
      <c r="B789" s="7" t="s">
        <v>29</v>
      </c>
      <c r="C789" s="7">
        <v>485.23</v>
      </c>
      <c r="D789" s="7">
        <v>487.81</v>
      </c>
      <c r="E789" s="7">
        <v>482.65</v>
      </c>
      <c r="F789" s="7">
        <v>485.83</v>
      </c>
      <c r="G789" s="7">
        <v>38004</v>
      </c>
      <c r="H789" s="7">
        <f t="shared" si="14"/>
        <v>-8.9125825906182024E-3</v>
      </c>
      <c r="I789" s="7">
        <f>PRODUCT(fact_daily_prices!$F789,fact_daily_prices!$G789)</f>
        <v>18463483.32</v>
      </c>
      <c r="J789" s="7" t="str">
        <f>_xlfn.XLOOKUP(fact_daily_prices!$B789,dim_company[company_id],dim_company[sector_id])</f>
        <v>SEC05</v>
      </c>
      <c r="K789" s="21" t="str">
        <f>_xlfn.XLOOKUP(fact_daily_prices!$J789,dim_sector[sector_id],dim_sector[sector_name])</f>
        <v>Consumer Discretionary</v>
      </c>
      <c r="L789" t="str">
        <v>COMP007-20-01-2025</v>
      </c>
      <c r="M789" t="str">
        <f>_xlfn.CONCAT(A788," ",B788)</f>
        <v>45674 COMP007</v>
      </c>
    </row>
    <row r="790" spans="1:13" x14ac:dyDescent="0.3">
      <c r="A790" s="17">
        <v>45678</v>
      </c>
      <c r="B790" s="18" t="s">
        <v>29</v>
      </c>
      <c r="C790" s="18">
        <v>484.65</v>
      </c>
      <c r="D790" s="18">
        <v>491.91</v>
      </c>
      <c r="E790" s="18">
        <v>477.39</v>
      </c>
      <c r="F790" s="18">
        <v>483.5</v>
      </c>
      <c r="G790" s="18">
        <v>13207</v>
      </c>
      <c r="H790" s="18">
        <f t="shared" si="14"/>
        <v>-4.8190279214063783E-3</v>
      </c>
      <c r="I790" s="18">
        <f>PRODUCT(fact_daily_prices!$F790,fact_daily_prices!$G790)</f>
        <v>6385584.5</v>
      </c>
      <c r="J790" s="18" t="str">
        <f>_xlfn.XLOOKUP(fact_daily_prices!$B790,dim_company[company_id],dim_company[sector_id])</f>
        <v>SEC05</v>
      </c>
      <c r="K790" s="19" t="str">
        <f>_xlfn.XLOOKUP(fact_daily_prices!$J790,dim_sector[sector_id],dim_sector[sector_name])</f>
        <v>Consumer Discretionary</v>
      </c>
      <c r="L790" t="str">
        <v>COMP007-21-01-2025</v>
      </c>
      <c r="M790" t="str">
        <f>_xlfn.CONCAT(A789," ",B789)</f>
        <v>45677 COMP007</v>
      </c>
    </row>
    <row r="791" spans="1:13" x14ac:dyDescent="0.3">
      <c r="A791" s="20">
        <v>45679</v>
      </c>
      <c r="B791" s="7" t="s">
        <v>29</v>
      </c>
      <c r="C791" s="7">
        <v>496.37</v>
      </c>
      <c r="D791" s="7">
        <v>504.5</v>
      </c>
      <c r="E791" s="7">
        <v>488.25</v>
      </c>
      <c r="F791" s="7">
        <v>495.14</v>
      </c>
      <c r="G791" s="7">
        <v>29916</v>
      </c>
      <c r="H791" s="7">
        <f t="shared" si="14"/>
        <v>2.3508502645716335E-2</v>
      </c>
      <c r="I791" s="7">
        <f>PRODUCT(fact_daily_prices!$F791,fact_daily_prices!$G791)</f>
        <v>14812608.24</v>
      </c>
      <c r="J791" s="7" t="str">
        <f>_xlfn.XLOOKUP(fact_daily_prices!$B791,dim_company[company_id],dim_company[sector_id])</f>
        <v>SEC05</v>
      </c>
      <c r="K791" s="21" t="str">
        <f>_xlfn.XLOOKUP(fact_daily_prices!$J791,dim_sector[sector_id],dim_sector[sector_name])</f>
        <v>Consumer Discretionary</v>
      </c>
      <c r="L791" t="str">
        <v>COMP007-22-01-2025</v>
      </c>
      <c r="M791" t="str">
        <f>_xlfn.CONCAT(A790," ",B790)</f>
        <v>45678 COMP007</v>
      </c>
    </row>
    <row r="792" spans="1:13" x14ac:dyDescent="0.3">
      <c r="A792" s="17">
        <v>45680</v>
      </c>
      <c r="B792" s="18" t="s">
        <v>29</v>
      </c>
      <c r="C792" s="18">
        <v>494.89</v>
      </c>
      <c r="D792" s="18">
        <v>497.14</v>
      </c>
      <c r="E792" s="18">
        <v>492.63</v>
      </c>
      <c r="F792" s="18">
        <v>495.98</v>
      </c>
      <c r="G792" s="18">
        <v>20071</v>
      </c>
      <c r="H792" s="18">
        <f t="shared" si="14"/>
        <v>1.6936166780919227E-3</v>
      </c>
      <c r="I792" s="18">
        <f>PRODUCT(fact_daily_prices!$F792,fact_daily_prices!$G792)</f>
        <v>9954814.5800000001</v>
      </c>
      <c r="J792" s="18" t="str">
        <f>_xlfn.XLOOKUP(fact_daily_prices!$B792,dim_company[company_id],dim_company[sector_id])</f>
        <v>SEC05</v>
      </c>
      <c r="K792" s="19" t="str">
        <f>_xlfn.XLOOKUP(fact_daily_prices!$J792,dim_sector[sector_id],dim_sector[sector_name])</f>
        <v>Consumer Discretionary</v>
      </c>
      <c r="L792" t="str">
        <v>COMP007-23-01-2025</v>
      </c>
      <c r="M792" t="str">
        <f>_xlfn.CONCAT(A791," ",B791)</f>
        <v>45679 COMP007</v>
      </c>
    </row>
    <row r="793" spans="1:13" x14ac:dyDescent="0.3">
      <c r="A793" s="20">
        <v>45681</v>
      </c>
      <c r="B793" s="7" t="s">
        <v>29</v>
      </c>
      <c r="C793" s="7">
        <v>492.95</v>
      </c>
      <c r="D793" s="7">
        <v>500.27</v>
      </c>
      <c r="E793" s="7">
        <v>485.62</v>
      </c>
      <c r="F793" s="7">
        <v>490.65</v>
      </c>
      <c r="G793" s="7">
        <v>16810</v>
      </c>
      <c r="H793" s="7">
        <f t="shared" si="14"/>
        <v>-1.0863140731682546E-2</v>
      </c>
      <c r="I793" s="7">
        <f>PRODUCT(fact_daily_prices!$F793,fact_daily_prices!$G793)</f>
        <v>8247826.5</v>
      </c>
      <c r="J793" s="7" t="str">
        <f>_xlfn.XLOOKUP(fact_daily_prices!$B793,dim_company[company_id],dim_company[sector_id])</f>
        <v>SEC05</v>
      </c>
      <c r="K793" s="21" t="str">
        <f>_xlfn.XLOOKUP(fact_daily_prices!$J793,dim_sector[sector_id],dim_sector[sector_name])</f>
        <v>Consumer Discretionary</v>
      </c>
      <c r="L793" t="str">
        <v>COMP007-24-01-2025</v>
      </c>
      <c r="M793" t="str">
        <f>_xlfn.CONCAT(A792," ",B792)</f>
        <v>45680 COMP007</v>
      </c>
    </row>
    <row r="794" spans="1:13" x14ac:dyDescent="0.3">
      <c r="A794" s="17">
        <v>45684</v>
      </c>
      <c r="B794" s="18" t="s">
        <v>29</v>
      </c>
      <c r="C794" s="18">
        <v>497.83</v>
      </c>
      <c r="D794" s="18">
        <v>501.38</v>
      </c>
      <c r="E794" s="18">
        <v>494.27</v>
      </c>
      <c r="F794" s="18">
        <v>499.34</v>
      </c>
      <c r="G794" s="18">
        <v>26396</v>
      </c>
      <c r="H794" s="18">
        <f t="shared" si="14"/>
        <v>1.7402971922938274E-2</v>
      </c>
      <c r="I794" s="18">
        <f>PRODUCT(fact_daily_prices!$F794,fact_daily_prices!$G794)</f>
        <v>13180578.639999999</v>
      </c>
      <c r="J794" s="18" t="str">
        <f>_xlfn.XLOOKUP(fact_daily_prices!$B794,dim_company[company_id],dim_company[sector_id])</f>
        <v>SEC05</v>
      </c>
      <c r="K794" s="19" t="str">
        <f>_xlfn.XLOOKUP(fact_daily_prices!$J794,dim_sector[sector_id],dim_sector[sector_name])</f>
        <v>Consumer Discretionary</v>
      </c>
      <c r="L794" t="str">
        <v>COMP007-27-01-2025</v>
      </c>
      <c r="M794" t="str">
        <f>_xlfn.CONCAT(A793," ",B793)</f>
        <v>45681 COMP007</v>
      </c>
    </row>
    <row r="795" spans="1:13" x14ac:dyDescent="0.3">
      <c r="A795" s="20">
        <v>45685</v>
      </c>
      <c r="B795" s="7" t="s">
        <v>29</v>
      </c>
      <c r="C795" s="7">
        <v>506.34</v>
      </c>
      <c r="D795" s="7">
        <v>513.36</v>
      </c>
      <c r="E795" s="7">
        <v>499.33</v>
      </c>
      <c r="F795" s="7">
        <v>505.51</v>
      </c>
      <c r="G795" s="7">
        <v>40082</v>
      </c>
      <c r="H795" s="7">
        <f t="shared" si="14"/>
        <v>1.2205495440248494E-2</v>
      </c>
      <c r="I795" s="7">
        <f>PRODUCT(fact_daily_prices!$F795,fact_daily_prices!$G795)</f>
        <v>20261851.82</v>
      </c>
      <c r="J795" s="7" t="str">
        <f>_xlfn.XLOOKUP(fact_daily_prices!$B795,dim_company[company_id],dim_company[sector_id])</f>
        <v>SEC05</v>
      </c>
      <c r="K795" s="21" t="str">
        <f>_xlfn.XLOOKUP(fact_daily_prices!$J795,dim_sector[sector_id],dim_sector[sector_name])</f>
        <v>Consumer Discretionary</v>
      </c>
      <c r="L795" t="str">
        <v>COMP007-28-01-2025</v>
      </c>
      <c r="M795" t="str">
        <f>_xlfn.CONCAT(A794," ",B794)</f>
        <v>45684 COMP007</v>
      </c>
    </row>
    <row r="796" spans="1:13" x14ac:dyDescent="0.3">
      <c r="A796" s="17">
        <v>45686</v>
      </c>
      <c r="B796" s="18" t="s">
        <v>29</v>
      </c>
      <c r="C796" s="18">
        <v>510.01</v>
      </c>
      <c r="D796" s="18">
        <v>512.79999999999995</v>
      </c>
      <c r="E796" s="18">
        <v>507.23</v>
      </c>
      <c r="F796" s="18">
        <v>512.09</v>
      </c>
      <c r="G796" s="18">
        <v>41142</v>
      </c>
      <c r="H796" s="18">
        <f t="shared" si="14"/>
        <v>1.284930383331063E-2</v>
      </c>
      <c r="I796" s="18">
        <f>PRODUCT(fact_daily_prices!$F796,fact_daily_prices!$G796)</f>
        <v>21068406.780000001</v>
      </c>
      <c r="J796" s="18" t="str">
        <f>_xlfn.XLOOKUP(fact_daily_prices!$B796,dim_company[company_id],dim_company[sector_id])</f>
        <v>SEC05</v>
      </c>
      <c r="K796" s="19" t="str">
        <f>_xlfn.XLOOKUP(fact_daily_prices!$J796,dim_sector[sector_id],dim_sector[sector_name])</f>
        <v>Consumer Discretionary</v>
      </c>
      <c r="L796" t="str">
        <v>COMP007-29-01-2025</v>
      </c>
      <c r="M796" t="str">
        <f>_xlfn.CONCAT(A795," ",B795)</f>
        <v>45685 COMP007</v>
      </c>
    </row>
    <row r="797" spans="1:13" x14ac:dyDescent="0.3">
      <c r="A797" s="20">
        <v>45687</v>
      </c>
      <c r="B797" s="7" t="s">
        <v>29</v>
      </c>
      <c r="C797" s="7">
        <v>502.74</v>
      </c>
      <c r="D797" s="7">
        <v>508.27</v>
      </c>
      <c r="E797" s="7">
        <v>497.21</v>
      </c>
      <c r="F797" s="7">
        <v>499.43</v>
      </c>
      <c r="G797" s="7">
        <v>48897</v>
      </c>
      <c r="H797" s="7">
        <f t="shared" si="14"/>
        <v>-2.5348897743427558E-2</v>
      </c>
      <c r="I797" s="7">
        <f>PRODUCT(fact_daily_prices!$F797,fact_daily_prices!$G797)</f>
        <v>24420628.710000001</v>
      </c>
      <c r="J797" s="7" t="str">
        <f>_xlfn.XLOOKUP(fact_daily_prices!$B797,dim_company[company_id],dim_company[sector_id])</f>
        <v>SEC05</v>
      </c>
      <c r="K797" s="21" t="str">
        <f>_xlfn.XLOOKUP(fact_daily_prices!$J797,dim_sector[sector_id],dim_sector[sector_name])</f>
        <v>Consumer Discretionary</v>
      </c>
      <c r="L797" t="str">
        <v>COMP007-30-01-2025</v>
      </c>
      <c r="M797" t="str">
        <f>_xlfn.CONCAT(A796," ",B796)</f>
        <v>45686 COMP007</v>
      </c>
    </row>
    <row r="798" spans="1:13" x14ac:dyDescent="0.3">
      <c r="A798" s="17">
        <v>45688</v>
      </c>
      <c r="B798" s="18" t="s">
        <v>29</v>
      </c>
      <c r="C798" s="18">
        <v>513.21</v>
      </c>
      <c r="D798" s="18">
        <v>514.54999999999995</v>
      </c>
      <c r="E798" s="18">
        <v>511.86</v>
      </c>
      <c r="F798" s="18">
        <v>511.96</v>
      </c>
      <c r="G798" s="18">
        <v>40579</v>
      </c>
      <c r="H798" s="18">
        <f t="shared" si="14"/>
        <v>2.4474568325650391E-2</v>
      </c>
      <c r="I798" s="18">
        <f>PRODUCT(fact_daily_prices!$F798,fact_daily_prices!$G798)</f>
        <v>20774824.84</v>
      </c>
      <c r="J798" s="18" t="str">
        <f>_xlfn.XLOOKUP(fact_daily_prices!$B798,dim_company[company_id],dim_company[sector_id])</f>
        <v>SEC05</v>
      </c>
      <c r="K798" s="19" t="str">
        <f>_xlfn.XLOOKUP(fact_daily_prices!$J798,dim_sector[sector_id],dim_sector[sector_name])</f>
        <v>Consumer Discretionary</v>
      </c>
      <c r="L798" t="str">
        <v>COMP007-31-01-2025</v>
      </c>
      <c r="M798" t="str">
        <f>_xlfn.CONCAT(A797," ",B797)</f>
        <v>45687 COMP007</v>
      </c>
    </row>
    <row r="799" spans="1:13" x14ac:dyDescent="0.3">
      <c r="A799" s="20">
        <v>45691</v>
      </c>
      <c r="B799" s="7" t="s">
        <v>29</v>
      </c>
      <c r="C799" s="7">
        <v>508.21</v>
      </c>
      <c r="D799" s="7">
        <v>515.58000000000004</v>
      </c>
      <c r="E799" s="7">
        <v>500.84</v>
      </c>
      <c r="F799" s="7">
        <v>508.49</v>
      </c>
      <c r="G799" s="7">
        <v>34272</v>
      </c>
      <c r="H799" s="7">
        <f t="shared" si="14"/>
        <v>-6.8241263348344516E-3</v>
      </c>
      <c r="I799" s="7">
        <f>PRODUCT(fact_daily_prices!$F799,fact_daily_prices!$G799)</f>
        <v>17426969.280000001</v>
      </c>
      <c r="J799" s="7" t="str">
        <f>_xlfn.XLOOKUP(fact_daily_prices!$B799,dim_company[company_id],dim_company[sector_id])</f>
        <v>SEC05</v>
      </c>
      <c r="K799" s="21" t="str">
        <f>_xlfn.XLOOKUP(fact_daily_prices!$J799,dim_sector[sector_id],dim_sector[sector_name])</f>
        <v>Consumer Discretionary</v>
      </c>
      <c r="L799" t="str">
        <v>COMP007-03-02-2025</v>
      </c>
      <c r="M799" t="str">
        <f>_xlfn.CONCAT(A798," ",B798)</f>
        <v>45688 COMP007</v>
      </c>
    </row>
    <row r="800" spans="1:13" x14ac:dyDescent="0.3">
      <c r="A800" s="17">
        <v>45692</v>
      </c>
      <c r="B800" s="18" t="s">
        <v>29</v>
      </c>
      <c r="C800" s="18">
        <v>517.07000000000005</v>
      </c>
      <c r="D800" s="18">
        <v>522.6</v>
      </c>
      <c r="E800" s="18">
        <v>511.53</v>
      </c>
      <c r="F800" s="18">
        <v>513.62</v>
      </c>
      <c r="G800" s="18">
        <v>26963</v>
      </c>
      <c r="H800" s="18">
        <f t="shared" si="14"/>
        <v>9.9879288189712156E-3</v>
      </c>
      <c r="I800" s="18">
        <f>PRODUCT(fact_daily_prices!$F800,fact_daily_prices!$G800)</f>
        <v>13848736.060000001</v>
      </c>
      <c r="J800" s="18" t="str">
        <f>_xlfn.XLOOKUP(fact_daily_prices!$B800,dim_company[company_id],dim_company[sector_id])</f>
        <v>SEC05</v>
      </c>
      <c r="K800" s="19" t="str">
        <f>_xlfn.XLOOKUP(fact_daily_prices!$J800,dim_sector[sector_id],dim_sector[sector_name])</f>
        <v>Consumer Discretionary</v>
      </c>
      <c r="L800" t="str">
        <v>COMP007-04-02-2025</v>
      </c>
      <c r="M800" t="str">
        <f>_xlfn.CONCAT(A799," ",B799)</f>
        <v>45691 COMP007</v>
      </c>
    </row>
    <row r="801" spans="1:13" x14ac:dyDescent="0.3">
      <c r="A801" s="20">
        <v>45693</v>
      </c>
      <c r="B801" s="7" t="s">
        <v>29</v>
      </c>
      <c r="C801" s="7">
        <v>527.91</v>
      </c>
      <c r="D801" s="7">
        <v>533.88</v>
      </c>
      <c r="E801" s="7">
        <v>521.95000000000005</v>
      </c>
      <c r="F801" s="7">
        <v>530.34</v>
      </c>
      <c r="G801" s="7">
        <v>1717</v>
      </c>
      <c r="H801" s="7">
        <f t="shared" si="14"/>
        <v>3.1526944978692961E-2</v>
      </c>
      <c r="I801" s="7">
        <f>PRODUCT(fact_daily_prices!$F801,fact_daily_prices!$G801)</f>
        <v>910593.78</v>
      </c>
      <c r="J801" s="7" t="str">
        <f>_xlfn.XLOOKUP(fact_daily_prices!$B801,dim_company[company_id],dim_company[sector_id])</f>
        <v>SEC05</v>
      </c>
      <c r="K801" s="21" t="str">
        <f>_xlfn.XLOOKUP(fact_daily_prices!$J801,dim_sector[sector_id],dim_sector[sector_name])</f>
        <v>Consumer Discretionary</v>
      </c>
      <c r="L801" t="str">
        <v>COMP007-05-02-2025</v>
      </c>
      <c r="M801" t="str">
        <f>_xlfn.CONCAT(A800," ",B800)</f>
        <v>45692 COMP007</v>
      </c>
    </row>
    <row r="802" spans="1:13" x14ac:dyDescent="0.3">
      <c r="A802" s="17">
        <v>45694</v>
      </c>
      <c r="B802" s="18" t="s">
        <v>29</v>
      </c>
      <c r="C802" s="18">
        <v>543.38</v>
      </c>
      <c r="D802" s="18">
        <v>550.64</v>
      </c>
      <c r="E802" s="18">
        <v>536.13</v>
      </c>
      <c r="F802" s="18">
        <v>545.07000000000005</v>
      </c>
      <c r="G802" s="18">
        <v>30100</v>
      </c>
      <c r="H802" s="18">
        <f t="shared" si="14"/>
        <v>2.7024051956629453E-2</v>
      </c>
      <c r="I802" s="18">
        <f>PRODUCT(fact_daily_prices!$F802,fact_daily_prices!$G802)</f>
        <v>16406607.000000002</v>
      </c>
      <c r="J802" s="18" t="str">
        <f>_xlfn.XLOOKUP(fact_daily_prices!$B802,dim_company[company_id],dim_company[sector_id])</f>
        <v>SEC05</v>
      </c>
      <c r="K802" s="19" t="str">
        <f>_xlfn.XLOOKUP(fact_daily_prices!$J802,dim_sector[sector_id],dim_sector[sector_name])</f>
        <v>Consumer Discretionary</v>
      </c>
      <c r="L802" t="str">
        <v>COMP007-06-02-2025</v>
      </c>
      <c r="M802" t="str">
        <f>_xlfn.CONCAT(A801," ",B801)</f>
        <v>45693 COMP007</v>
      </c>
    </row>
    <row r="803" spans="1:13" x14ac:dyDescent="0.3">
      <c r="A803" s="20">
        <v>45695</v>
      </c>
      <c r="B803" s="7" t="s">
        <v>29</v>
      </c>
      <c r="C803" s="7">
        <v>541.05999999999995</v>
      </c>
      <c r="D803" s="7">
        <v>543.74</v>
      </c>
      <c r="E803" s="7">
        <v>538.38</v>
      </c>
      <c r="F803" s="7">
        <v>538.53</v>
      </c>
      <c r="G803" s="7">
        <v>44949</v>
      </c>
      <c r="H803" s="7">
        <f t="shared" si="14"/>
        <v>-1.2144170241212332E-2</v>
      </c>
      <c r="I803" s="7">
        <f>PRODUCT(fact_daily_prices!$F803,fact_daily_prices!$G803)</f>
        <v>24206384.969999999</v>
      </c>
      <c r="J803" s="7" t="str">
        <f>_xlfn.XLOOKUP(fact_daily_prices!$B803,dim_company[company_id],dim_company[sector_id])</f>
        <v>SEC05</v>
      </c>
      <c r="K803" s="21" t="str">
        <f>_xlfn.XLOOKUP(fact_daily_prices!$J803,dim_sector[sector_id],dim_sector[sector_name])</f>
        <v>Consumer Discretionary</v>
      </c>
      <c r="L803" t="str">
        <v>COMP007-07-02-2025</v>
      </c>
      <c r="M803" t="str">
        <f>_xlfn.CONCAT(A802," ",B802)</f>
        <v>45694 COMP007</v>
      </c>
    </row>
    <row r="804" spans="1:13" x14ac:dyDescent="0.3">
      <c r="A804" s="17">
        <v>45698</v>
      </c>
      <c r="B804" s="18" t="s">
        <v>29</v>
      </c>
      <c r="C804" s="18">
        <v>526.74</v>
      </c>
      <c r="D804" s="18">
        <v>533.04</v>
      </c>
      <c r="E804" s="18">
        <v>520.44000000000005</v>
      </c>
      <c r="F804" s="18">
        <v>528.94000000000005</v>
      </c>
      <c r="G804" s="18">
        <v>44442</v>
      </c>
      <c r="H804" s="18">
        <f t="shared" si="14"/>
        <v>-1.8130600824289932E-2</v>
      </c>
      <c r="I804" s="18">
        <f>PRODUCT(fact_daily_prices!$F804,fact_daily_prices!$G804)</f>
        <v>23507151.480000004</v>
      </c>
      <c r="J804" s="18" t="str">
        <f>_xlfn.XLOOKUP(fact_daily_prices!$B804,dim_company[company_id],dim_company[sector_id])</f>
        <v>SEC05</v>
      </c>
      <c r="K804" s="19" t="str">
        <f>_xlfn.XLOOKUP(fact_daily_prices!$J804,dim_sector[sector_id],dim_sector[sector_name])</f>
        <v>Consumer Discretionary</v>
      </c>
      <c r="L804" t="str">
        <v>COMP007-10-02-2025</v>
      </c>
      <c r="M804" t="str">
        <f>_xlfn.CONCAT(A803," ",B803)</f>
        <v>45695 COMP007</v>
      </c>
    </row>
    <row r="805" spans="1:13" x14ac:dyDescent="0.3">
      <c r="A805" s="20">
        <v>45699</v>
      </c>
      <c r="B805" s="7" t="s">
        <v>29</v>
      </c>
      <c r="C805" s="7">
        <v>539.08000000000004</v>
      </c>
      <c r="D805" s="7">
        <v>541.71</v>
      </c>
      <c r="E805" s="7">
        <v>536.45000000000005</v>
      </c>
      <c r="F805" s="7">
        <v>538.69000000000005</v>
      </c>
      <c r="G805" s="7">
        <v>37487</v>
      </c>
      <c r="H805" s="7">
        <f t="shared" si="14"/>
        <v>1.809946351333791E-2</v>
      </c>
      <c r="I805" s="7">
        <f>PRODUCT(fact_daily_prices!$F805,fact_daily_prices!$G805)</f>
        <v>20193872.030000001</v>
      </c>
      <c r="J805" s="7" t="str">
        <f>_xlfn.XLOOKUP(fact_daily_prices!$B805,dim_company[company_id],dim_company[sector_id])</f>
        <v>SEC05</v>
      </c>
      <c r="K805" s="21" t="str">
        <f>_xlfn.XLOOKUP(fact_daily_prices!$J805,dim_sector[sector_id],dim_sector[sector_name])</f>
        <v>Consumer Discretionary</v>
      </c>
      <c r="L805" t="str">
        <v>COMP007-11-02-2025</v>
      </c>
      <c r="M805" t="str">
        <f>_xlfn.CONCAT(A804," ",B804)</f>
        <v>45698 COMP007</v>
      </c>
    </row>
    <row r="806" spans="1:13" x14ac:dyDescent="0.3">
      <c r="A806" s="17">
        <v>45700</v>
      </c>
      <c r="B806" s="18" t="s">
        <v>29</v>
      </c>
      <c r="C806" s="18">
        <v>542.41999999999996</v>
      </c>
      <c r="D806" s="18">
        <v>549.25</v>
      </c>
      <c r="E806" s="18">
        <v>535.58000000000004</v>
      </c>
      <c r="F806" s="18">
        <v>539.78</v>
      </c>
      <c r="G806" s="18">
        <v>39759</v>
      </c>
      <c r="H806" s="18">
        <f t="shared" si="14"/>
        <v>2.0193412130866616E-3</v>
      </c>
      <c r="I806" s="18">
        <f>PRODUCT(fact_daily_prices!$F806,fact_daily_prices!$G806)</f>
        <v>21461113.02</v>
      </c>
      <c r="J806" s="18" t="str">
        <f>_xlfn.XLOOKUP(fact_daily_prices!$B806,dim_company[company_id],dim_company[sector_id])</f>
        <v>SEC05</v>
      </c>
      <c r="K806" s="19" t="str">
        <f>_xlfn.XLOOKUP(fact_daily_prices!$J806,dim_sector[sector_id],dim_sector[sector_name])</f>
        <v>Consumer Discretionary</v>
      </c>
      <c r="L806" t="str">
        <v>COMP007-12-02-2025</v>
      </c>
      <c r="M806" t="str">
        <f>_xlfn.CONCAT(A805," ",B805)</f>
        <v>45699 COMP007</v>
      </c>
    </row>
    <row r="807" spans="1:13" x14ac:dyDescent="0.3">
      <c r="A807" s="20">
        <v>45701</v>
      </c>
      <c r="B807" s="7" t="s">
        <v>29</v>
      </c>
      <c r="C807" s="7">
        <v>541.35</v>
      </c>
      <c r="D807" s="7">
        <v>546.9</v>
      </c>
      <c r="E807" s="7">
        <v>535.79999999999995</v>
      </c>
      <c r="F807" s="7">
        <v>536.51</v>
      </c>
      <c r="G807" s="7">
        <v>12064</v>
      </c>
      <c r="H807" s="7">
        <f t="shared" si="14"/>
        <v>-6.0949469720974108E-3</v>
      </c>
      <c r="I807" s="7">
        <f>PRODUCT(fact_daily_prices!$F807,fact_daily_prices!$G807)</f>
        <v>6472456.6399999997</v>
      </c>
      <c r="J807" s="7" t="str">
        <f>_xlfn.XLOOKUP(fact_daily_prices!$B807,dim_company[company_id],dim_company[sector_id])</f>
        <v>SEC05</v>
      </c>
      <c r="K807" s="21" t="str">
        <f>_xlfn.XLOOKUP(fact_daily_prices!$J807,dim_sector[sector_id],dim_sector[sector_name])</f>
        <v>Consumer Discretionary</v>
      </c>
      <c r="L807" t="str">
        <v>COMP007-13-02-2025</v>
      </c>
      <c r="M807" t="str">
        <f>_xlfn.CONCAT(A806," ",B806)</f>
        <v>45700 COMP007</v>
      </c>
    </row>
    <row r="808" spans="1:13" x14ac:dyDescent="0.3">
      <c r="A808" s="17">
        <v>45702</v>
      </c>
      <c r="B808" s="18" t="s">
        <v>29</v>
      </c>
      <c r="C808" s="18">
        <v>543.73</v>
      </c>
      <c r="D808" s="18">
        <v>551.48</v>
      </c>
      <c r="E808" s="18">
        <v>535.99</v>
      </c>
      <c r="F808" s="18">
        <v>540.86</v>
      </c>
      <c r="G808" s="18">
        <v>7476</v>
      </c>
      <c r="H808" s="18">
        <f t="shared" si="14"/>
        <v>8.0427467366786642E-3</v>
      </c>
      <c r="I808" s="18">
        <f>PRODUCT(fact_daily_prices!$F808,fact_daily_prices!$G808)</f>
        <v>4043469.36</v>
      </c>
      <c r="J808" s="18" t="str">
        <f>_xlfn.XLOOKUP(fact_daily_prices!$B808,dim_company[company_id],dim_company[sector_id])</f>
        <v>SEC05</v>
      </c>
      <c r="K808" s="19" t="str">
        <f>_xlfn.XLOOKUP(fact_daily_prices!$J808,dim_sector[sector_id],dim_sector[sector_name])</f>
        <v>Consumer Discretionary</v>
      </c>
      <c r="L808" t="str">
        <v>COMP007-14-02-2025</v>
      </c>
      <c r="M808" t="str">
        <f>_xlfn.CONCAT(A807," ",B807)</f>
        <v>45701 COMP007</v>
      </c>
    </row>
    <row r="809" spans="1:13" x14ac:dyDescent="0.3">
      <c r="A809" s="20">
        <v>45705</v>
      </c>
      <c r="B809" s="7" t="s">
        <v>29</v>
      </c>
      <c r="C809" s="7">
        <v>541.88</v>
      </c>
      <c r="D809" s="7">
        <v>548.55999999999995</v>
      </c>
      <c r="E809" s="7">
        <v>535.20000000000005</v>
      </c>
      <c r="F809" s="7">
        <v>539.88</v>
      </c>
      <c r="G809" s="7">
        <v>23463</v>
      </c>
      <c r="H809" s="7">
        <f t="shared" si="14"/>
        <v>-1.8152181966363233E-3</v>
      </c>
      <c r="I809" s="7">
        <f>PRODUCT(fact_daily_prices!$F809,fact_daily_prices!$G809)</f>
        <v>12667204.439999999</v>
      </c>
      <c r="J809" s="7" t="str">
        <f>_xlfn.XLOOKUP(fact_daily_prices!$B809,dim_company[company_id],dim_company[sector_id])</f>
        <v>SEC05</v>
      </c>
      <c r="K809" s="21" t="str">
        <f>_xlfn.XLOOKUP(fact_daily_prices!$J809,dim_sector[sector_id],dim_sector[sector_name])</f>
        <v>Consumer Discretionary</v>
      </c>
      <c r="L809" t="str">
        <v>COMP007-17-02-2025</v>
      </c>
      <c r="M809" t="str">
        <f>_xlfn.CONCAT(A808," ",B808)</f>
        <v>45702 COMP007</v>
      </c>
    </row>
    <row r="810" spans="1:13" x14ac:dyDescent="0.3">
      <c r="A810" s="17">
        <v>45706</v>
      </c>
      <c r="B810" s="18" t="s">
        <v>29</v>
      </c>
      <c r="C810" s="18">
        <v>549.70000000000005</v>
      </c>
      <c r="D810" s="18">
        <v>555.07000000000005</v>
      </c>
      <c r="E810" s="18">
        <v>544.33000000000004</v>
      </c>
      <c r="F810" s="18">
        <v>544.79999999999995</v>
      </c>
      <c r="G810" s="18">
        <v>27946</v>
      </c>
      <c r="H810" s="18">
        <f t="shared" si="14"/>
        <v>9.0308370044052122E-3</v>
      </c>
      <c r="I810" s="18">
        <f>PRODUCT(fact_daily_prices!$F810,fact_daily_prices!$G810)</f>
        <v>15224980.799999999</v>
      </c>
      <c r="J810" s="18" t="str">
        <f>_xlfn.XLOOKUP(fact_daily_prices!$B810,dim_company[company_id],dim_company[sector_id])</f>
        <v>SEC05</v>
      </c>
      <c r="K810" s="19" t="str">
        <f>_xlfn.XLOOKUP(fact_daily_prices!$J810,dim_sector[sector_id],dim_sector[sector_name])</f>
        <v>Consumer Discretionary</v>
      </c>
      <c r="L810" t="str">
        <v>COMP007-18-02-2025</v>
      </c>
      <c r="M810" t="str">
        <f>_xlfn.CONCAT(A809," ",B809)</f>
        <v>45705 COMP007</v>
      </c>
    </row>
    <row r="811" spans="1:13" x14ac:dyDescent="0.3">
      <c r="A811" s="20">
        <v>45707</v>
      </c>
      <c r="B811" s="7" t="s">
        <v>29</v>
      </c>
      <c r="C811" s="7">
        <v>544.67999999999995</v>
      </c>
      <c r="D811" s="7">
        <v>547.79</v>
      </c>
      <c r="E811" s="7">
        <v>541.57000000000005</v>
      </c>
      <c r="F811" s="7">
        <v>545.39</v>
      </c>
      <c r="G811" s="7">
        <v>23335</v>
      </c>
      <c r="H811" s="7">
        <f t="shared" si="14"/>
        <v>1.0817946790370777E-3</v>
      </c>
      <c r="I811" s="7">
        <f>PRODUCT(fact_daily_prices!$F811,fact_daily_prices!$G811)</f>
        <v>12726675.65</v>
      </c>
      <c r="J811" s="7" t="str">
        <f>_xlfn.XLOOKUP(fact_daily_prices!$B811,dim_company[company_id],dim_company[sector_id])</f>
        <v>SEC05</v>
      </c>
      <c r="K811" s="21" t="str">
        <f>_xlfn.XLOOKUP(fact_daily_prices!$J811,dim_sector[sector_id],dim_sector[sector_name])</f>
        <v>Consumer Discretionary</v>
      </c>
      <c r="L811" t="str">
        <v>COMP007-19-02-2025</v>
      </c>
      <c r="M811" t="str">
        <f>_xlfn.CONCAT(A810," ",B810)</f>
        <v>45706 COMP007</v>
      </c>
    </row>
    <row r="812" spans="1:13" x14ac:dyDescent="0.3">
      <c r="A812" s="17">
        <v>45708</v>
      </c>
      <c r="B812" s="18" t="s">
        <v>29</v>
      </c>
      <c r="C812" s="18">
        <v>549.97</v>
      </c>
      <c r="D812" s="18">
        <v>557.21</v>
      </c>
      <c r="E812" s="18">
        <v>542.73</v>
      </c>
      <c r="F812" s="18">
        <v>550.51</v>
      </c>
      <c r="G812" s="18">
        <v>23010</v>
      </c>
      <c r="H812" s="18">
        <f t="shared" si="14"/>
        <v>9.3004668398394292E-3</v>
      </c>
      <c r="I812" s="18">
        <f>PRODUCT(fact_daily_prices!$F812,fact_daily_prices!$G812)</f>
        <v>12667235.1</v>
      </c>
      <c r="J812" s="18" t="str">
        <f>_xlfn.XLOOKUP(fact_daily_prices!$B812,dim_company[company_id],dim_company[sector_id])</f>
        <v>SEC05</v>
      </c>
      <c r="K812" s="19" t="str">
        <f>_xlfn.XLOOKUP(fact_daily_prices!$J812,dim_sector[sector_id],dim_sector[sector_name])</f>
        <v>Consumer Discretionary</v>
      </c>
      <c r="L812" t="str">
        <v>COMP007-20-02-2025</v>
      </c>
      <c r="M812" t="str">
        <f>_xlfn.CONCAT(A811," ",B811)</f>
        <v>45707 COMP007</v>
      </c>
    </row>
    <row r="813" spans="1:13" x14ac:dyDescent="0.3">
      <c r="A813" s="20">
        <v>45709</v>
      </c>
      <c r="B813" s="7" t="s">
        <v>29</v>
      </c>
      <c r="C813" s="7">
        <v>546.23</v>
      </c>
      <c r="D813" s="7">
        <v>548.49</v>
      </c>
      <c r="E813" s="7">
        <v>543.97</v>
      </c>
      <c r="F813" s="7">
        <v>544.47</v>
      </c>
      <c r="G813" s="7">
        <v>44626</v>
      </c>
      <c r="H813" s="7">
        <f t="shared" si="14"/>
        <v>-1.1093356842433859E-2</v>
      </c>
      <c r="I813" s="7">
        <f>PRODUCT(fact_daily_prices!$F813,fact_daily_prices!$G813)</f>
        <v>24297518.220000003</v>
      </c>
      <c r="J813" s="7" t="str">
        <f>_xlfn.XLOOKUP(fact_daily_prices!$B813,dim_company[company_id],dim_company[sector_id])</f>
        <v>SEC05</v>
      </c>
      <c r="K813" s="21" t="str">
        <f>_xlfn.XLOOKUP(fact_daily_prices!$J813,dim_sector[sector_id],dim_sector[sector_name])</f>
        <v>Consumer Discretionary</v>
      </c>
      <c r="L813" t="str">
        <v>COMP007-21-02-2025</v>
      </c>
      <c r="M813" t="str">
        <f>_xlfn.CONCAT(A812," ",B812)</f>
        <v>45708 COMP007</v>
      </c>
    </row>
    <row r="814" spans="1:13" x14ac:dyDescent="0.3">
      <c r="A814" s="17">
        <v>45712</v>
      </c>
      <c r="B814" s="18" t="s">
        <v>29</v>
      </c>
      <c r="C814" s="18">
        <v>557.51</v>
      </c>
      <c r="D814" s="18">
        <v>564.76</v>
      </c>
      <c r="E814" s="18">
        <v>550.25</v>
      </c>
      <c r="F814" s="18">
        <v>554.46</v>
      </c>
      <c r="G814" s="18">
        <v>34665</v>
      </c>
      <c r="H814" s="18">
        <f t="shared" si="14"/>
        <v>1.8017530570284615E-2</v>
      </c>
      <c r="I814" s="18">
        <f>PRODUCT(fact_daily_prices!$F814,fact_daily_prices!$G814)</f>
        <v>19220355.900000002</v>
      </c>
      <c r="J814" s="18" t="str">
        <f>_xlfn.XLOOKUP(fact_daily_prices!$B814,dim_company[company_id],dim_company[sector_id])</f>
        <v>SEC05</v>
      </c>
      <c r="K814" s="19" t="str">
        <f>_xlfn.XLOOKUP(fact_daily_prices!$J814,dim_sector[sector_id],dim_sector[sector_name])</f>
        <v>Consumer Discretionary</v>
      </c>
      <c r="L814" t="str">
        <v>COMP007-24-02-2025</v>
      </c>
      <c r="M814" t="str">
        <f>_xlfn.CONCAT(A813," ",B813)</f>
        <v>45709 COMP007</v>
      </c>
    </row>
    <row r="815" spans="1:13" x14ac:dyDescent="0.3">
      <c r="A815" s="20">
        <v>45713</v>
      </c>
      <c r="B815" s="7" t="s">
        <v>29</v>
      </c>
      <c r="C815" s="7">
        <v>560.48</v>
      </c>
      <c r="D815" s="7">
        <v>566.89</v>
      </c>
      <c r="E815" s="7">
        <v>554.07000000000005</v>
      </c>
      <c r="F815" s="7">
        <v>559.49</v>
      </c>
      <c r="G815" s="7">
        <v>15683</v>
      </c>
      <c r="H815" s="7">
        <f t="shared" si="14"/>
        <v>8.9903304795438208E-3</v>
      </c>
      <c r="I815" s="7">
        <f>PRODUCT(fact_daily_prices!$F815,fact_daily_prices!$G815)</f>
        <v>8774481.6699999999</v>
      </c>
      <c r="J815" s="7" t="str">
        <f>_xlfn.XLOOKUP(fact_daily_prices!$B815,dim_company[company_id],dim_company[sector_id])</f>
        <v>SEC05</v>
      </c>
      <c r="K815" s="21" t="str">
        <f>_xlfn.XLOOKUP(fact_daily_prices!$J815,dim_sector[sector_id],dim_sector[sector_name])</f>
        <v>Consumer Discretionary</v>
      </c>
      <c r="L815" t="str">
        <v>COMP007-25-02-2025</v>
      </c>
      <c r="M815" t="str">
        <f>_xlfn.CONCAT(A814," ",B814)</f>
        <v>45712 COMP007</v>
      </c>
    </row>
    <row r="816" spans="1:13" x14ac:dyDescent="0.3">
      <c r="A816" s="17">
        <v>45714</v>
      </c>
      <c r="B816" s="18" t="s">
        <v>29</v>
      </c>
      <c r="C816" s="18">
        <v>567.22</v>
      </c>
      <c r="D816" s="18">
        <v>571.33000000000004</v>
      </c>
      <c r="E816" s="18">
        <v>563.12</v>
      </c>
      <c r="F816" s="18">
        <v>564.19000000000005</v>
      </c>
      <c r="G816" s="18">
        <v>45535</v>
      </c>
      <c r="H816" s="18">
        <f t="shared" si="14"/>
        <v>8.3305269501409897E-3</v>
      </c>
      <c r="I816" s="18">
        <f>PRODUCT(fact_daily_prices!$F816,fact_daily_prices!$G816)</f>
        <v>25690391.650000002</v>
      </c>
      <c r="J816" s="18" t="str">
        <f>_xlfn.XLOOKUP(fact_daily_prices!$B816,dim_company[company_id],dim_company[sector_id])</f>
        <v>SEC05</v>
      </c>
      <c r="K816" s="19" t="str">
        <f>_xlfn.XLOOKUP(fact_daily_prices!$J816,dim_sector[sector_id],dim_sector[sector_name])</f>
        <v>Consumer Discretionary</v>
      </c>
      <c r="L816" t="str">
        <v>COMP007-26-02-2025</v>
      </c>
      <c r="M816" t="str">
        <f>_xlfn.CONCAT(A815," ",B815)</f>
        <v>45713 COMP007</v>
      </c>
    </row>
    <row r="817" spans="1:13" x14ac:dyDescent="0.3">
      <c r="A817" s="20">
        <v>45715</v>
      </c>
      <c r="B817" s="7" t="s">
        <v>29</v>
      </c>
      <c r="C817" s="7">
        <v>559.12</v>
      </c>
      <c r="D817" s="7">
        <v>562.54</v>
      </c>
      <c r="E817" s="7">
        <v>555.70000000000005</v>
      </c>
      <c r="F817" s="7">
        <v>556.44000000000005</v>
      </c>
      <c r="G817" s="7">
        <v>22639</v>
      </c>
      <c r="H817" s="7">
        <f t="shared" si="14"/>
        <v>-1.3927826899575875E-2</v>
      </c>
      <c r="I817" s="7">
        <f>PRODUCT(fact_daily_prices!$F817,fact_daily_prices!$G817)</f>
        <v>12597245.160000002</v>
      </c>
      <c r="J817" s="7" t="str">
        <f>_xlfn.XLOOKUP(fact_daily_prices!$B817,dim_company[company_id],dim_company[sector_id])</f>
        <v>SEC05</v>
      </c>
      <c r="K817" s="21" t="str">
        <f>_xlfn.XLOOKUP(fact_daily_prices!$J817,dim_sector[sector_id],dim_sector[sector_name])</f>
        <v>Consumer Discretionary</v>
      </c>
      <c r="L817" t="str">
        <v>COMP007-27-02-2025</v>
      </c>
      <c r="M817" t="str">
        <f>_xlfn.CONCAT(A816," ",B816)</f>
        <v>45714 COMP007</v>
      </c>
    </row>
    <row r="818" spans="1:13" x14ac:dyDescent="0.3">
      <c r="A818" s="17">
        <v>45716</v>
      </c>
      <c r="B818" s="18" t="s">
        <v>29</v>
      </c>
      <c r="C818" s="18">
        <v>567.91999999999996</v>
      </c>
      <c r="D818" s="18">
        <v>573.46</v>
      </c>
      <c r="E818" s="18">
        <v>562.38</v>
      </c>
      <c r="F818" s="18">
        <v>568.62</v>
      </c>
      <c r="G818" s="18">
        <v>4439</v>
      </c>
      <c r="H818" s="18">
        <f t="shared" si="14"/>
        <v>2.1420280679539851E-2</v>
      </c>
      <c r="I818" s="18">
        <f>PRODUCT(fact_daily_prices!$F818,fact_daily_prices!$G818)</f>
        <v>2524104.1800000002</v>
      </c>
      <c r="J818" s="18" t="str">
        <f>_xlfn.XLOOKUP(fact_daily_prices!$B818,dim_company[company_id],dim_company[sector_id])</f>
        <v>SEC05</v>
      </c>
      <c r="K818" s="19" t="str">
        <f>_xlfn.XLOOKUP(fact_daily_prices!$J818,dim_sector[sector_id],dim_sector[sector_name])</f>
        <v>Consumer Discretionary</v>
      </c>
      <c r="L818" t="str">
        <v>COMP007-28-02-2025</v>
      </c>
      <c r="M818" t="str">
        <f>_xlfn.CONCAT(A817," ",B817)</f>
        <v>45715 COMP007</v>
      </c>
    </row>
    <row r="819" spans="1:13" x14ac:dyDescent="0.3">
      <c r="A819" s="20">
        <v>45719</v>
      </c>
      <c r="B819" s="7" t="s">
        <v>29</v>
      </c>
      <c r="C819" s="7">
        <v>568.36</v>
      </c>
      <c r="D819" s="7">
        <v>577.20000000000005</v>
      </c>
      <c r="E819" s="7">
        <v>559.52</v>
      </c>
      <c r="F819" s="7">
        <v>568.65</v>
      </c>
      <c r="G819" s="7">
        <v>12577</v>
      </c>
      <c r="H819" s="7">
        <f t="shared" si="14"/>
        <v>5.27565286203688E-5</v>
      </c>
      <c r="I819" s="7">
        <f>PRODUCT(fact_daily_prices!$F819,fact_daily_prices!$G819)</f>
        <v>7151911.0499999998</v>
      </c>
      <c r="J819" s="7" t="str">
        <f>_xlfn.XLOOKUP(fact_daily_prices!$B819,dim_company[company_id],dim_company[sector_id])</f>
        <v>SEC05</v>
      </c>
      <c r="K819" s="21" t="str">
        <f>_xlfn.XLOOKUP(fact_daily_prices!$J819,dim_sector[sector_id],dim_sector[sector_name])</f>
        <v>Consumer Discretionary</v>
      </c>
      <c r="L819" t="str">
        <v>COMP007-03-03-2025</v>
      </c>
      <c r="M819" t="str">
        <f>_xlfn.CONCAT(A818," ",B818)</f>
        <v>45716 COMP007</v>
      </c>
    </row>
    <row r="820" spans="1:13" x14ac:dyDescent="0.3">
      <c r="A820" s="17">
        <v>45720</v>
      </c>
      <c r="B820" s="18" t="s">
        <v>29</v>
      </c>
      <c r="C820" s="18">
        <v>578.29999999999995</v>
      </c>
      <c r="D820" s="18">
        <v>582.74</v>
      </c>
      <c r="E820" s="18">
        <v>573.86</v>
      </c>
      <c r="F820" s="18">
        <v>574.03</v>
      </c>
      <c r="G820" s="18">
        <v>25255</v>
      </c>
      <c r="H820" s="18">
        <f t="shared" si="14"/>
        <v>9.3723324564918137E-3</v>
      </c>
      <c r="I820" s="18">
        <f>PRODUCT(fact_daily_prices!$F820,fact_daily_prices!$G820)</f>
        <v>14497127.649999999</v>
      </c>
      <c r="J820" s="18" t="str">
        <f>_xlfn.XLOOKUP(fact_daily_prices!$B820,dim_company[company_id],dim_company[sector_id])</f>
        <v>SEC05</v>
      </c>
      <c r="K820" s="19" t="str">
        <f>_xlfn.XLOOKUP(fact_daily_prices!$J820,dim_sector[sector_id],dim_sector[sector_name])</f>
        <v>Consumer Discretionary</v>
      </c>
      <c r="L820" t="str">
        <v>COMP007-04-03-2025</v>
      </c>
      <c r="M820" t="str">
        <f>_xlfn.CONCAT(A819," ",B819)</f>
        <v>45719 COMP007</v>
      </c>
    </row>
    <row r="821" spans="1:13" x14ac:dyDescent="0.3">
      <c r="A821" s="20">
        <v>45721</v>
      </c>
      <c r="B821" s="7" t="s">
        <v>29</v>
      </c>
      <c r="C821" s="7">
        <v>573.70000000000005</v>
      </c>
      <c r="D821" s="7">
        <v>579.99</v>
      </c>
      <c r="E821" s="7">
        <v>567.41999999999996</v>
      </c>
      <c r="F821" s="7">
        <v>571.84</v>
      </c>
      <c r="G821" s="7">
        <v>36931</v>
      </c>
      <c r="H821" s="7">
        <f t="shared" si="14"/>
        <v>-3.8297425853384527E-3</v>
      </c>
      <c r="I821" s="7">
        <f>PRODUCT(fact_daily_prices!$F821,fact_daily_prices!$G821)</f>
        <v>21118623.040000003</v>
      </c>
      <c r="J821" s="7" t="str">
        <f>_xlfn.XLOOKUP(fact_daily_prices!$B821,dim_company[company_id],dim_company[sector_id])</f>
        <v>SEC05</v>
      </c>
      <c r="K821" s="21" t="str">
        <f>_xlfn.XLOOKUP(fact_daily_prices!$J821,dim_sector[sector_id],dim_sector[sector_name])</f>
        <v>Consumer Discretionary</v>
      </c>
      <c r="L821" t="str">
        <v>COMP007-05-03-2025</v>
      </c>
      <c r="M821" t="str">
        <f>_xlfn.CONCAT(A820," ",B820)</f>
        <v>45720 COMP007</v>
      </c>
    </row>
    <row r="822" spans="1:13" x14ac:dyDescent="0.3">
      <c r="A822" s="17">
        <v>45722</v>
      </c>
      <c r="B822" s="18" t="s">
        <v>29</v>
      </c>
      <c r="C822" s="18">
        <v>569.87</v>
      </c>
      <c r="D822" s="18">
        <v>576.09</v>
      </c>
      <c r="E822" s="18">
        <v>563.64</v>
      </c>
      <c r="F822" s="18">
        <v>573.86</v>
      </c>
      <c r="G822" s="18">
        <v>36740</v>
      </c>
      <c r="H822" s="18">
        <f t="shared" si="14"/>
        <v>3.5200223050918023E-3</v>
      </c>
      <c r="I822" s="18">
        <f>PRODUCT(fact_daily_prices!$F822,fact_daily_prices!$G822)</f>
        <v>21083616.400000002</v>
      </c>
      <c r="J822" s="18" t="str">
        <f>_xlfn.XLOOKUP(fact_daily_prices!$B822,dim_company[company_id],dim_company[sector_id])</f>
        <v>SEC05</v>
      </c>
      <c r="K822" s="19" t="str">
        <f>_xlfn.XLOOKUP(fact_daily_prices!$J822,dim_sector[sector_id],dim_sector[sector_name])</f>
        <v>Consumer Discretionary</v>
      </c>
      <c r="L822" t="str">
        <v>COMP007-06-03-2025</v>
      </c>
      <c r="M822" t="str">
        <f>_xlfn.CONCAT(A821," ",B821)</f>
        <v>45721 COMP007</v>
      </c>
    </row>
    <row r="823" spans="1:13" x14ac:dyDescent="0.3">
      <c r="A823" s="20">
        <v>45723</v>
      </c>
      <c r="B823" s="7" t="s">
        <v>29</v>
      </c>
      <c r="C823" s="7">
        <v>575.57000000000005</v>
      </c>
      <c r="D823" s="7">
        <v>577.97</v>
      </c>
      <c r="E823" s="7">
        <v>573.16999999999996</v>
      </c>
      <c r="F823" s="7">
        <v>576.15</v>
      </c>
      <c r="G823" s="7">
        <v>18374</v>
      </c>
      <c r="H823" s="7">
        <f t="shared" si="14"/>
        <v>3.974659376898314E-3</v>
      </c>
      <c r="I823" s="7">
        <f>PRODUCT(fact_daily_prices!$F823,fact_daily_prices!$G823)</f>
        <v>10586180.1</v>
      </c>
      <c r="J823" s="7" t="str">
        <f>_xlfn.XLOOKUP(fact_daily_prices!$B823,dim_company[company_id],dim_company[sector_id])</f>
        <v>SEC05</v>
      </c>
      <c r="K823" s="21" t="str">
        <f>_xlfn.XLOOKUP(fact_daily_prices!$J823,dim_sector[sector_id],dim_sector[sector_name])</f>
        <v>Consumer Discretionary</v>
      </c>
      <c r="L823" t="str">
        <v>COMP007-07-03-2025</v>
      </c>
      <c r="M823" t="str">
        <f>_xlfn.CONCAT(A822," ",B822)</f>
        <v>45722 COMP007</v>
      </c>
    </row>
    <row r="824" spans="1:13" x14ac:dyDescent="0.3">
      <c r="A824" s="17">
        <v>45726</v>
      </c>
      <c r="B824" s="18" t="s">
        <v>29</v>
      </c>
      <c r="C824" s="18">
        <v>555.85</v>
      </c>
      <c r="D824" s="18">
        <v>562.80999999999995</v>
      </c>
      <c r="E824" s="18">
        <v>548.89</v>
      </c>
      <c r="F824" s="18">
        <v>556.16999999999996</v>
      </c>
      <c r="G824" s="18">
        <v>1489</v>
      </c>
      <c r="H824" s="18">
        <f t="shared" si="14"/>
        <v>-3.5924267759857631E-2</v>
      </c>
      <c r="I824" s="18">
        <f>PRODUCT(fact_daily_prices!$F824,fact_daily_prices!$G824)</f>
        <v>828137.12999999989</v>
      </c>
      <c r="J824" s="18" t="str">
        <f>_xlfn.XLOOKUP(fact_daily_prices!$B824,dim_company[company_id],dim_company[sector_id])</f>
        <v>SEC05</v>
      </c>
      <c r="K824" s="19" t="str">
        <f>_xlfn.XLOOKUP(fact_daily_prices!$J824,dim_sector[sector_id],dim_sector[sector_name])</f>
        <v>Consumer Discretionary</v>
      </c>
      <c r="L824" t="str">
        <v>COMP007-10-03-2025</v>
      </c>
      <c r="M824" t="str">
        <f>_xlfn.CONCAT(A823," ",B823)</f>
        <v>45723 COMP007</v>
      </c>
    </row>
    <row r="825" spans="1:13" x14ac:dyDescent="0.3">
      <c r="A825" s="20">
        <v>45727</v>
      </c>
      <c r="B825" s="7" t="s">
        <v>29</v>
      </c>
      <c r="C825" s="7">
        <v>560.1</v>
      </c>
      <c r="D825" s="7">
        <v>566.89</v>
      </c>
      <c r="E825" s="7">
        <v>553.30999999999995</v>
      </c>
      <c r="F825" s="7">
        <v>560.4</v>
      </c>
      <c r="G825" s="7">
        <v>20275</v>
      </c>
      <c r="H825" s="7">
        <f t="shared" si="14"/>
        <v>7.5481798715203753E-3</v>
      </c>
      <c r="I825" s="7">
        <f>PRODUCT(fact_daily_prices!$F825,fact_daily_prices!$G825)</f>
        <v>11362110</v>
      </c>
      <c r="J825" s="7" t="str">
        <f>_xlfn.XLOOKUP(fact_daily_prices!$B825,dim_company[company_id],dim_company[sector_id])</f>
        <v>SEC05</v>
      </c>
      <c r="K825" s="21" t="str">
        <f>_xlfn.XLOOKUP(fact_daily_prices!$J825,dim_sector[sector_id],dim_sector[sector_name])</f>
        <v>Consumer Discretionary</v>
      </c>
      <c r="L825" t="str">
        <v>COMP007-11-03-2025</v>
      </c>
      <c r="M825" t="str">
        <f>_xlfn.CONCAT(A824," ",B824)</f>
        <v>45726 COMP007</v>
      </c>
    </row>
    <row r="826" spans="1:13" x14ac:dyDescent="0.3">
      <c r="A826" s="17">
        <v>45728</v>
      </c>
      <c r="B826" s="18" t="s">
        <v>29</v>
      </c>
      <c r="C826" s="18">
        <v>573.19000000000005</v>
      </c>
      <c r="D826" s="18">
        <v>580.03</v>
      </c>
      <c r="E826" s="18">
        <v>566.35</v>
      </c>
      <c r="F826" s="18">
        <v>574.58000000000004</v>
      </c>
      <c r="G826" s="18">
        <v>33821</v>
      </c>
      <c r="H826" s="18">
        <f t="shared" si="14"/>
        <v>2.467889588917133E-2</v>
      </c>
      <c r="I826" s="18">
        <f>PRODUCT(fact_daily_prices!$F826,fact_daily_prices!$G826)</f>
        <v>19432870.18</v>
      </c>
      <c r="J826" s="18" t="str">
        <f>_xlfn.XLOOKUP(fact_daily_prices!$B826,dim_company[company_id],dim_company[sector_id])</f>
        <v>SEC05</v>
      </c>
      <c r="K826" s="19" t="str">
        <f>_xlfn.XLOOKUP(fact_daily_prices!$J826,dim_sector[sector_id],dim_sector[sector_name])</f>
        <v>Consumer Discretionary</v>
      </c>
      <c r="L826" t="str">
        <v>COMP007-12-03-2025</v>
      </c>
      <c r="M826" t="str">
        <f>_xlfn.CONCAT(A825," ",B825)</f>
        <v>45727 COMP007</v>
      </c>
    </row>
    <row r="827" spans="1:13" x14ac:dyDescent="0.3">
      <c r="A827" s="20">
        <v>45729</v>
      </c>
      <c r="B827" s="7" t="s">
        <v>29</v>
      </c>
      <c r="C827" s="7">
        <v>577.47</v>
      </c>
      <c r="D827" s="7">
        <v>583.11</v>
      </c>
      <c r="E827" s="7">
        <v>571.83000000000004</v>
      </c>
      <c r="F827" s="7">
        <v>578.64</v>
      </c>
      <c r="G827" s="7">
        <v>39712</v>
      </c>
      <c r="H827" s="7">
        <f t="shared" si="14"/>
        <v>7.0164523710769143E-3</v>
      </c>
      <c r="I827" s="7">
        <f>PRODUCT(fact_daily_prices!$F827,fact_daily_prices!$G827)</f>
        <v>22978951.68</v>
      </c>
      <c r="J827" s="7" t="str">
        <f>_xlfn.XLOOKUP(fact_daily_prices!$B827,dim_company[company_id],dim_company[sector_id])</f>
        <v>SEC05</v>
      </c>
      <c r="K827" s="21" t="str">
        <f>_xlfn.XLOOKUP(fact_daily_prices!$J827,dim_sector[sector_id],dim_sector[sector_name])</f>
        <v>Consumer Discretionary</v>
      </c>
      <c r="L827" t="str">
        <v>COMP007-13-03-2025</v>
      </c>
      <c r="M827" t="str">
        <f>_xlfn.CONCAT(A826," ",B826)</f>
        <v>45728 COMP007</v>
      </c>
    </row>
    <row r="828" spans="1:13" x14ac:dyDescent="0.3">
      <c r="A828" s="17">
        <v>45730</v>
      </c>
      <c r="B828" s="18" t="s">
        <v>29</v>
      </c>
      <c r="C828" s="18">
        <v>571.99</v>
      </c>
      <c r="D828" s="18">
        <v>574.6</v>
      </c>
      <c r="E828" s="18">
        <v>569.38</v>
      </c>
      <c r="F828" s="18">
        <v>571.84</v>
      </c>
      <c r="G828" s="18">
        <v>2629</v>
      </c>
      <c r="H828" s="18">
        <f t="shared" si="14"/>
        <v>-1.1891438164521465E-2</v>
      </c>
      <c r="I828" s="18">
        <f>PRODUCT(fact_daily_prices!$F828,fact_daily_prices!$G828)</f>
        <v>1503367.36</v>
      </c>
      <c r="J828" s="18" t="str">
        <f>_xlfn.XLOOKUP(fact_daily_prices!$B828,dim_company[company_id],dim_company[sector_id])</f>
        <v>SEC05</v>
      </c>
      <c r="K828" s="19" t="str">
        <f>_xlfn.XLOOKUP(fact_daily_prices!$J828,dim_sector[sector_id],dim_sector[sector_name])</f>
        <v>Consumer Discretionary</v>
      </c>
      <c r="L828" t="str">
        <v>COMP007-14-03-2025</v>
      </c>
      <c r="M828" t="str">
        <f>_xlfn.CONCAT(A827," ",B827)</f>
        <v>45729 COMP007</v>
      </c>
    </row>
    <row r="829" spans="1:13" x14ac:dyDescent="0.3">
      <c r="A829" s="20">
        <v>45733</v>
      </c>
      <c r="B829" s="7" t="s">
        <v>29</v>
      </c>
      <c r="C829" s="7">
        <v>577.51</v>
      </c>
      <c r="D829" s="7">
        <v>586.70000000000005</v>
      </c>
      <c r="E829" s="7">
        <v>568.32000000000005</v>
      </c>
      <c r="F829" s="7">
        <v>576.67999999999995</v>
      </c>
      <c r="G829" s="7">
        <v>46450</v>
      </c>
      <c r="H829" s="7">
        <f t="shared" si="14"/>
        <v>8.3928695290280894E-3</v>
      </c>
      <c r="I829" s="7">
        <f>PRODUCT(fact_daily_prices!$F829,fact_daily_prices!$G829)</f>
        <v>26786785.999999996</v>
      </c>
      <c r="J829" s="7" t="str">
        <f>_xlfn.XLOOKUP(fact_daily_prices!$B829,dim_company[company_id],dim_company[sector_id])</f>
        <v>SEC05</v>
      </c>
      <c r="K829" s="21" t="str">
        <f>_xlfn.XLOOKUP(fact_daily_prices!$J829,dim_sector[sector_id],dim_sector[sector_name])</f>
        <v>Consumer Discretionary</v>
      </c>
      <c r="L829" t="str">
        <v>COMP007-17-03-2025</v>
      </c>
      <c r="M829" t="str">
        <f>_xlfn.CONCAT(A828," ",B828)</f>
        <v>45730 COMP007</v>
      </c>
    </row>
    <row r="830" spans="1:13" x14ac:dyDescent="0.3">
      <c r="A830" s="17">
        <v>45734</v>
      </c>
      <c r="B830" s="18" t="s">
        <v>29</v>
      </c>
      <c r="C830" s="18">
        <v>585.22</v>
      </c>
      <c r="D830" s="18">
        <v>586.76</v>
      </c>
      <c r="E830" s="18">
        <v>583.66999999999996</v>
      </c>
      <c r="F830" s="18">
        <v>584.57000000000005</v>
      </c>
      <c r="G830" s="18">
        <v>19945</v>
      </c>
      <c r="H830" s="18">
        <f t="shared" si="14"/>
        <v>1.3497100432796926E-2</v>
      </c>
      <c r="I830" s="18">
        <f>PRODUCT(fact_daily_prices!$F830,fact_daily_prices!$G830)</f>
        <v>11659248.65</v>
      </c>
      <c r="J830" s="18" t="str">
        <f>_xlfn.XLOOKUP(fact_daily_prices!$B830,dim_company[company_id],dim_company[sector_id])</f>
        <v>SEC05</v>
      </c>
      <c r="K830" s="19" t="str">
        <f>_xlfn.XLOOKUP(fact_daily_prices!$J830,dim_sector[sector_id],dim_sector[sector_name])</f>
        <v>Consumer Discretionary</v>
      </c>
      <c r="L830" t="str">
        <v>COMP007-18-03-2025</v>
      </c>
      <c r="M830" t="str">
        <f>_xlfn.CONCAT(A829," ",B829)</f>
        <v>45733 COMP007</v>
      </c>
    </row>
    <row r="831" spans="1:13" x14ac:dyDescent="0.3">
      <c r="A831" s="20">
        <v>45735</v>
      </c>
      <c r="B831" s="7" t="s">
        <v>29</v>
      </c>
      <c r="C831" s="7">
        <v>586.66999999999996</v>
      </c>
      <c r="D831" s="7">
        <v>590.07000000000005</v>
      </c>
      <c r="E831" s="7">
        <v>583.27</v>
      </c>
      <c r="F831" s="7">
        <v>588.49</v>
      </c>
      <c r="G831" s="7">
        <v>5886</v>
      </c>
      <c r="H831" s="7">
        <f t="shared" si="14"/>
        <v>6.6611157368858583E-3</v>
      </c>
      <c r="I831" s="7">
        <f>PRODUCT(fact_daily_prices!$F831,fact_daily_prices!$G831)</f>
        <v>3463852.14</v>
      </c>
      <c r="J831" s="7" t="str">
        <f>_xlfn.XLOOKUP(fact_daily_prices!$B831,dim_company[company_id],dim_company[sector_id])</f>
        <v>SEC05</v>
      </c>
      <c r="K831" s="21" t="str">
        <f>_xlfn.XLOOKUP(fact_daily_prices!$J831,dim_sector[sector_id],dim_sector[sector_name])</f>
        <v>Consumer Discretionary</v>
      </c>
      <c r="L831" t="str">
        <v>COMP007-19-03-2025</v>
      </c>
      <c r="M831" t="str">
        <f>_xlfn.CONCAT(A830," ",B830)</f>
        <v>45734 COMP007</v>
      </c>
    </row>
    <row r="832" spans="1:13" x14ac:dyDescent="0.3">
      <c r="A832" s="17">
        <v>45736</v>
      </c>
      <c r="B832" s="18" t="s">
        <v>29</v>
      </c>
      <c r="C832" s="18">
        <v>587.28</v>
      </c>
      <c r="D832" s="18">
        <v>595.84</v>
      </c>
      <c r="E832" s="18">
        <v>578.72</v>
      </c>
      <c r="F832" s="18">
        <v>588.08000000000004</v>
      </c>
      <c r="G832" s="18">
        <v>17767</v>
      </c>
      <c r="H832" s="18">
        <f t="shared" si="14"/>
        <v>-6.9718405659088584E-4</v>
      </c>
      <c r="I832" s="18">
        <f>PRODUCT(fact_daily_prices!$F832,fact_daily_prices!$G832)</f>
        <v>10448417.360000001</v>
      </c>
      <c r="J832" s="18" t="str">
        <f>_xlfn.XLOOKUP(fact_daily_prices!$B832,dim_company[company_id],dim_company[sector_id])</f>
        <v>SEC05</v>
      </c>
      <c r="K832" s="19" t="str">
        <f>_xlfn.XLOOKUP(fact_daily_prices!$J832,dim_sector[sector_id],dim_sector[sector_name])</f>
        <v>Consumer Discretionary</v>
      </c>
      <c r="L832" t="str">
        <v>COMP007-20-03-2025</v>
      </c>
      <c r="M832" t="str">
        <f>_xlfn.CONCAT(A831," ",B831)</f>
        <v>45735 COMP007</v>
      </c>
    </row>
    <row r="833" spans="1:13" x14ac:dyDescent="0.3">
      <c r="A833" s="20">
        <v>45737</v>
      </c>
      <c r="B833" s="7" t="s">
        <v>29</v>
      </c>
      <c r="C833" s="7">
        <v>586.53</v>
      </c>
      <c r="D833" s="7">
        <v>592.87</v>
      </c>
      <c r="E833" s="7">
        <v>580.17999999999995</v>
      </c>
      <c r="F833" s="7">
        <v>586.42999999999995</v>
      </c>
      <c r="G833" s="7">
        <v>13226</v>
      </c>
      <c r="H833" s="7">
        <f t="shared" si="14"/>
        <v>-2.8136350459561942E-3</v>
      </c>
      <c r="I833" s="7">
        <f>PRODUCT(fact_daily_prices!$F833,fact_daily_prices!$G833)</f>
        <v>7756123.1799999997</v>
      </c>
      <c r="J833" s="7" t="str">
        <f>_xlfn.XLOOKUP(fact_daily_prices!$B833,dim_company[company_id],dim_company[sector_id])</f>
        <v>SEC05</v>
      </c>
      <c r="K833" s="21" t="str">
        <f>_xlfn.XLOOKUP(fact_daily_prices!$J833,dim_sector[sector_id],dim_sector[sector_name])</f>
        <v>Consumer Discretionary</v>
      </c>
      <c r="L833" t="str">
        <v>COMP007-21-03-2025</v>
      </c>
      <c r="M833" t="str">
        <f>_xlfn.CONCAT(A832," ",B832)</f>
        <v>45736 COMP007</v>
      </c>
    </row>
    <row r="834" spans="1:13" x14ac:dyDescent="0.3">
      <c r="A834" s="17">
        <v>45740</v>
      </c>
      <c r="B834" s="18" t="s">
        <v>29</v>
      </c>
      <c r="C834" s="18">
        <v>586.58000000000004</v>
      </c>
      <c r="D834" s="18">
        <v>592.20000000000005</v>
      </c>
      <c r="E834" s="18">
        <v>580.96</v>
      </c>
      <c r="F834" s="18">
        <v>584.75</v>
      </c>
      <c r="G834" s="18">
        <v>48788</v>
      </c>
      <c r="H834" s="18">
        <f t="shared" si="14"/>
        <v>-2.8730226592560068E-3</v>
      </c>
      <c r="I834" s="18">
        <f>PRODUCT(fact_daily_prices!$F834,fact_daily_prices!$G834)</f>
        <v>28528783</v>
      </c>
      <c r="J834" s="18" t="str">
        <f>_xlfn.XLOOKUP(fact_daily_prices!$B834,dim_company[company_id],dim_company[sector_id])</f>
        <v>SEC05</v>
      </c>
      <c r="K834" s="19" t="str">
        <f>_xlfn.XLOOKUP(fact_daily_prices!$J834,dim_sector[sector_id],dim_sector[sector_name])</f>
        <v>Consumer Discretionary</v>
      </c>
      <c r="L834" t="str">
        <v>COMP007-24-03-2025</v>
      </c>
      <c r="M834" t="str">
        <f>_xlfn.CONCAT(A833," ",B833)</f>
        <v>45737 COMP007</v>
      </c>
    </row>
    <row r="835" spans="1:13" x14ac:dyDescent="0.3">
      <c r="A835" s="20">
        <v>45741</v>
      </c>
      <c r="B835" s="7" t="s">
        <v>29</v>
      </c>
      <c r="C835" s="7">
        <v>592.20000000000005</v>
      </c>
      <c r="D835" s="7">
        <v>599.79999999999995</v>
      </c>
      <c r="E835" s="7">
        <v>584.59</v>
      </c>
      <c r="F835" s="7">
        <v>590.05999999999995</v>
      </c>
      <c r="G835" s="7">
        <v>49908</v>
      </c>
      <c r="H835" s="7">
        <f t="shared" si="14"/>
        <v>8.9990848388298572E-3</v>
      </c>
      <c r="I835" s="7">
        <f>PRODUCT(fact_daily_prices!$F835,fact_daily_prices!$G835)</f>
        <v>29448714.479999997</v>
      </c>
      <c r="J835" s="7" t="str">
        <f>_xlfn.XLOOKUP(fact_daily_prices!$B835,dim_company[company_id],dim_company[sector_id])</f>
        <v>SEC05</v>
      </c>
      <c r="K835" s="21" t="str">
        <f>_xlfn.XLOOKUP(fact_daily_prices!$J835,dim_sector[sector_id],dim_sector[sector_name])</f>
        <v>Consumer Discretionary</v>
      </c>
      <c r="L835" t="str">
        <v>COMP007-25-03-2025</v>
      </c>
      <c r="M835" t="str">
        <f>_xlfn.CONCAT(A834," ",B834)</f>
        <v>45740 COMP007</v>
      </c>
    </row>
    <row r="836" spans="1:13" x14ac:dyDescent="0.3">
      <c r="A836" s="17">
        <v>45742</v>
      </c>
      <c r="B836" s="18" t="s">
        <v>29</v>
      </c>
      <c r="C836" s="18">
        <v>578.85</v>
      </c>
      <c r="D836" s="18">
        <v>587.41999999999996</v>
      </c>
      <c r="E836" s="18">
        <v>570.27</v>
      </c>
      <c r="F836" s="18">
        <v>579.83000000000004</v>
      </c>
      <c r="G836" s="18">
        <v>49564</v>
      </c>
      <c r="H836" s="18">
        <f t="shared" ref="H836:H899" si="15">(F836-F835)/F836</f>
        <v>-1.7643102288601664E-2</v>
      </c>
      <c r="I836" s="18">
        <f>PRODUCT(fact_daily_prices!$F836,fact_daily_prices!$G836)</f>
        <v>28738694.120000001</v>
      </c>
      <c r="J836" s="18" t="str">
        <f>_xlfn.XLOOKUP(fact_daily_prices!$B836,dim_company[company_id],dim_company[sector_id])</f>
        <v>SEC05</v>
      </c>
      <c r="K836" s="19" t="str">
        <f>_xlfn.XLOOKUP(fact_daily_prices!$J836,dim_sector[sector_id],dim_sector[sector_name])</f>
        <v>Consumer Discretionary</v>
      </c>
      <c r="L836" t="str">
        <v>COMP007-26-03-2025</v>
      </c>
      <c r="M836" t="str">
        <f>_xlfn.CONCAT(A835," ",B835)</f>
        <v>45741 COMP007</v>
      </c>
    </row>
    <row r="837" spans="1:13" x14ac:dyDescent="0.3">
      <c r="A837" s="20">
        <v>45743</v>
      </c>
      <c r="B837" s="7" t="s">
        <v>29</v>
      </c>
      <c r="C837" s="7">
        <v>577.47</v>
      </c>
      <c r="D837" s="7">
        <v>586.66</v>
      </c>
      <c r="E837" s="7">
        <v>568.27</v>
      </c>
      <c r="F837" s="7">
        <v>577.25</v>
      </c>
      <c r="G837" s="7">
        <v>11006</v>
      </c>
      <c r="H837" s="7">
        <f t="shared" si="15"/>
        <v>-4.4694673018623489E-3</v>
      </c>
      <c r="I837" s="7">
        <f>PRODUCT(fact_daily_prices!$F837,fact_daily_prices!$G837)</f>
        <v>6353213.5</v>
      </c>
      <c r="J837" s="7" t="str">
        <f>_xlfn.XLOOKUP(fact_daily_prices!$B837,dim_company[company_id],dim_company[sector_id])</f>
        <v>SEC05</v>
      </c>
      <c r="K837" s="21" t="str">
        <f>_xlfn.XLOOKUP(fact_daily_prices!$J837,dim_sector[sector_id],dim_sector[sector_name])</f>
        <v>Consumer Discretionary</v>
      </c>
      <c r="L837" t="str">
        <v>COMP007-27-03-2025</v>
      </c>
      <c r="M837" t="str">
        <f>_xlfn.CONCAT(A836," ",B836)</f>
        <v>45742 COMP007</v>
      </c>
    </row>
    <row r="838" spans="1:13" x14ac:dyDescent="0.3">
      <c r="A838" s="17">
        <v>45744</v>
      </c>
      <c r="B838" s="18" t="s">
        <v>29</v>
      </c>
      <c r="C838" s="18">
        <v>590.28</v>
      </c>
      <c r="D838" s="18">
        <v>600.70000000000005</v>
      </c>
      <c r="E838" s="18">
        <v>579.85</v>
      </c>
      <c r="F838" s="18">
        <v>589.12</v>
      </c>
      <c r="G838" s="18">
        <v>21324</v>
      </c>
      <c r="H838" s="18">
        <f t="shared" si="15"/>
        <v>2.0148696360673554E-2</v>
      </c>
      <c r="I838" s="18">
        <f>PRODUCT(fact_daily_prices!$F838,fact_daily_prices!$G838)</f>
        <v>12562394.880000001</v>
      </c>
      <c r="J838" s="18" t="str">
        <f>_xlfn.XLOOKUP(fact_daily_prices!$B838,dim_company[company_id],dim_company[sector_id])</f>
        <v>SEC05</v>
      </c>
      <c r="K838" s="19" t="str">
        <f>_xlfn.XLOOKUP(fact_daily_prices!$J838,dim_sector[sector_id],dim_sector[sector_name])</f>
        <v>Consumer Discretionary</v>
      </c>
      <c r="L838" t="str">
        <v>COMP007-28-03-2025</v>
      </c>
      <c r="M838" t="str">
        <f>_xlfn.CONCAT(A837," ",B837)</f>
        <v>45743 COMP007</v>
      </c>
    </row>
    <row r="839" spans="1:13" x14ac:dyDescent="0.3">
      <c r="A839" s="20">
        <v>45747</v>
      </c>
      <c r="B839" s="7" t="s">
        <v>29</v>
      </c>
      <c r="C839" s="7">
        <v>605.11</v>
      </c>
      <c r="D839" s="7">
        <v>610.51</v>
      </c>
      <c r="E839" s="7">
        <v>599.70000000000005</v>
      </c>
      <c r="F839" s="7">
        <v>601.52</v>
      </c>
      <c r="G839" s="7">
        <v>30063</v>
      </c>
      <c r="H839" s="7">
        <f t="shared" si="15"/>
        <v>2.0614443410027893E-2</v>
      </c>
      <c r="I839" s="7">
        <f>PRODUCT(fact_daily_prices!$F839,fact_daily_prices!$G839)</f>
        <v>18083495.759999998</v>
      </c>
      <c r="J839" s="7" t="str">
        <f>_xlfn.XLOOKUP(fact_daily_prices!$B839,dim_company[company_id],dim_company[sector_id])</f>
        <v>SEC05</v>
      </c>
      <c r="K839" s="21" t="str">
        <f>_xlfn.XLOOKUP(fact_daily_prices!$J839,dim_sector[sector_id],dim_sector[sector_name])</f>
        <v>Consumer Discretionary</v>
      </c>
      <c r="L839" t="str">
        <v>COMP007-31-03-2025</v>
      </c>
      <c r="M839" t="str">
        <f>_xlfn.CONCAT(A838," ",B838)</f>
        <v>45744 COMP007</v>
      </c>
    </row>
    <row r="840" spans="1:13" x14ac:dyDescent="0.3">
      <c r="A840" s="17">
        <v>45748</v>
      </c>
      <c r="B840" s="18" t="s">
        <v>29</v>
      </c>
      <c r="C840" s="18">
        <v>589.21</v>
      </c>
      <c r="D840" s="18">
        <v>590.92999999999995</v>
      </c>
      <c r="E840" s="18">
        <v>587.49</v>
      </c>
      <c r="F840" s="18">
        <v>590.55999999999995</v>
      </c>
      <c r="G840" s="18">
        <v>2093</v>
      </c>
      <c r="H840" s="18">
        <f t="shared" si="15"/>
        <v>-1.8558656190734282E-2</v>
      </c>
      <c r="I840" s="18">
        <f>PRODUCT(fact_daily_prices!$F840,fact_daily_prices!$G840)</f>
        <v>1236042.0799999998</v>
      </c>
      <c r="J840" s="18" t="str">
        <f>_xlfn.XLOOKUP(fact_daily_prices!$B840,dim_company[company_id],dim_company[sector_id])</f>
        <v>SEC05</v>
      </c>
      <c r="K840" s="19" t="str">
        <f>_xlfn.XLOOKUP(fact_daily_prices!$J840,dim_sector[sector_id],dim_sector[sector_name])</f>
        <v>Consumer Discretionary</v>
      </c>
      <c r="L840" t="str">
        <v>COMP007-01-04-2025</v>
      </c>
      <c r="M840" t="str">
        <f>_xlfn.CONCAT(A839," ",B839)</f>
        <v>45747 COMP007</v>
      </c>
    </row>
    <row r="841" spans="1:13" x14ac:dyDescent="0.3">
      <c r="A841" s="20">
        <v>45749</v>
      </c>
      <c r="B841" s="7" t="s">
        <v>29</v>
      </c>
      <c r="C841" s="7">
        <v>579.58000000000004</v>
      </c>
      <c r="D841" s="7">
        <v>587.16999999999996</v>
      </c>
      <c r="E841" s="7">
        <v>571.99</v>
      </c>
      <c r="F841" s="7">
        <v>582.34</v>
      </c>
      <c r="G841" s="7">
        <v>6710</v>
      </c>
      <c r="H841" s="7">
        <f t="shared" si="15"/>
        <v>-1.4115465192155636E-2</v>
      </c>
      <c r="I841" s="7">
        <f>PRODUCT(fact_daily_prices!$F841,fact_daily_prices!$G841)</f>
        <v>3907501.4000000004</v>
      </c>
      <c r="J841" s="7" t="str">
        <f>_xlfn.XLOOKUP(fact_daily_prices!$B841,dim_company[company_id],dim_company[sector_id])</f>
        <v>SEC05</v>
      </c>
      <c r="K841" s="21" t="str">
        <f>_xlfn.XLOOKUP(fact_daily_prices!$J841,dim_sector[sector_id],dim_sector[sector_name])</f>
        <v>Consumer Discretionary</v>
      </c>
      <c r="L841" t="str">
        <v>COMP007-02-04-2025</v>
      </c>
      <c r="M841" t="str">
        <f>_xlfn.CONCAT(A840," ",B840)</f>
        <v>45748 COMP007</v>
      </c>
    </row>
    <row r="842" spans="1:13" x14ac:dyDescent="0.3">
      <c r="A842" s="17">
        <v>45750</v>
      </c>
      <c r="B842" s="18" t="s">
        <v>29</v>
      </c>
      <c r="C842" s="18">
        <v>583.5</v>
      </c>
      <c r="D842" s="18">
        <v>586.96</v>
      </c>
      <c r="E842" s="18">
        <v>580.04</v>
      </c>
      <c r="F842" s="18">
        <v>580.49</v>
      </c>
      <c r="G842" s="18">
        <v>34457</v>
      </c>
      <c r="H842" s="18">
        <f t="shared" si="15"/>
        <v>-3.1869627383762384E-3</v>
      </c>
      <c r="I842" s="18">
        <f>PRODUCT(fact_daily_prices!$F842,fact_daily_prices!$G842)</f>
        <v>20001943.93</v>
      </c>
      <c r="J842" s="18" t="str">
        <f>_xlfn.XLOOKUP(fact_daily_prices!$B842,dim_company[company_id],dim_company[sector_id])</f>
        <v>SEC05</v>
      </c>
      <c r="K842" s="19" t="str">
        <f>_xlfn.XLOOKUP(fact_daily_prices!$J842,dim_sector[sector_id],dim_sector[sector_name])</f>
        <v>Consumer Discretionary</v>
      </c>
      <c r="L842" t="str">
        <v>COMP007-03-04-2025</v>
      </c>
      <c r="M842" t="str">
        <f>_xlfn.CONCAT(A841," ",B841)</f>
        <v>45749 COMP007</v>
      </c>
    </row>
    <row r="843" spans="1:13" x14ac:dyDescent="0.3">
      <c r="A843" s="20">
        <v>45751</v>
      </c>
      <c r="B843" s="7" t="s">
        <v>29</v>
      </c>
      <c r="C843" s="7">
        <v>589.28</v>
      </c>
      <c r="D843" s="7">
        <v>596.4</v>
      </c>
      <c r="E843" s="7">
        <v>582.16</v>
      </c>
      <c r="F843" s="7">
        <v>587.20000000000005</v>
      </c>
      <c r="G843" s="7">
        <v>1365</v>
      </c>
      <c r="H843" s="7">
        <f t="shared" si="15"/>
        <v>1.1427111716621315E-2</v>
      </c>
      <c r="I843" s="7">
        <f>PRODUCT(fact_daily_prices!$F843,fact_daily_prices!$G843)</f>
        <v>801528.00000000012</v>
      </c>
      <c r="J843" s="7" t="str">
        <f>_xlfn.XLOOKUP(fact_daily_prices!$B843,dim_company[company_id],dim_company[sector_id])</f>
        <v>SEC05</v>
      </c>
      <c r="K843" s="21" t="str">
        <f>_xlfn.XLOOKUP(fact_daily_prices!$J843,dim_sector[sector_id],dim_sector[sector_name])</f>
        <v>Consumer Discretionary</v>
      </c>
      <c r="L843" t="str">
        <v>COMP007-04-04-2025</v>
      </c>
      <c r="M843" t="str">
        <f>_xlfn.CONCAT(A842," ",B842)</f>
        <v>45750 COMP007</v>
      </c>
    </row>
    <row r="844" spans="1:13" x14ac:dyDescent="0.3">
      <c r="A844" s="17">
        <v>45754</v>
      </c>
      <c r="B844" s="18" t="s">
        <v>29</v>
      </c>
      <c r="C844" s="18">
        <v>577.20000000000005</v>
      </c>
      <c r="D844" s="18">
        <v>584.16</v>
      </c>
      <c r="E844" s="18">
        <v>570.24</v>
      </c>
      <c r="F844" s="18">
        <v>573.97</v>
      </c>
      <c r="G844" s="18">
        <v>25476</v>
      </c>
      <c r="H844" s="18">
        <f t="shared" si="15"/>
        <v>-2.3049985190863664E-2</v>
      </c>
      <c r="I844" s="18">
        <f>PRODUCT(fact_daily_prices!$F844,fact_daily_prices!$G844)</f>
        <v>14622459.720000001</v>
      </c>
      <c r="J844" s="18" t="str">
        <f>_xlfn.XLOOKUP(fact_daily_prices!$B844,dim_company[company_id],dim_company[sector_id])</f>
        <v>SEC05</v>
      </c>
      <c r="K844" s="19" t="str">
        <f>_xlfn.XLOOKUP(fact_daily_prices!$J844,dim_sector[sector_id],dim_sector[sector_name])</f>
        <v>Consumer Discretionary</v>
      </c>
      <c r="L844" t="str">
        <v>COMP007-07-04-2025</v>
      </c>
      <c r="M844" t="str">
        <f>_xlfn.CONCAT(A843," ",B843)</f>
        <v>45751 COMP007</v>
      </c>
    </row>
    <row r="845" spans="1:13" x14ac:dyDescent="0.3">
      <c r="A845" s="20">
        <v>45755</v>
      </c>
      <c r="B845" s="7" t="s">
        <v>29</v>
      </c>
      <c r="C845" s="7">
        <v>572.39</v>
      </c>
      <c r="D845" s="7">
        <v>578.72</v>
      </c>
      <c r="E845" s="7">
        <v>566.05999999999995</v>
      </c>
      <c r="F845" s="7">
        <v>573.71</v>
      </c>
      <c r="G845" s="7">
        <v>33001</v>
      </c>
      <c r="H845" s="7">
        <f t="shared" si="15"/>
        <v>-4.5319063638422008E-4</v>
      </c>
      <c r="I845" s="7">
        <f>PRODUCT(fact_daily_prices!$F845,fact_daily_prices!$G845)</f>
        <v>18933003.710000001</v>
      </c>
      <c r="J845" s="7" t="str">
        <f>_xlfn.XLOOKUP(fact_daily_prices!$B845,dim_company[company_id],dim_company[sector_id])</f>
        <v>SEC05</v>
      </c>
      <c r="K845" s="21" t="str">
        <f>_xlfn.XLOOKUP(fact_daily_prices!$J845,dim_sector[sector_id],dim_sector[sector_name])</f>
        <v>Consumer Discretionary</v>
      </c>
      <c r="L845" t="str">
        <v>COMP007-08-04-2025</v>
      </c>
      <c r="M845" t="str">
        <f>_xlfn.CONCAT(A844," ",B844)</f>
        <v>45754 COMP007</v>
      </c>
    </row>
    <row r="846" spans="1:13" x14ac:dyDescent="0.3">
      <c r="A846" s="17">
        <v>45756</v>
      </c>
      <c r="B846" s="18" t="s">
        <v>29</v>
      </c>
      <c r="C846" s="18">
        <v>570.05999999999995</v>
      </c>
      <c r="D846" s="18">
        <v>578.96</v>
      </c>
      <c r="E846" s="18">
        <v>561.16</v>
      </c>
      <c r="F846" s="18">
        <v>570.42999999999995</v>
      </c>
      <c r="G846" s="18">
        <v>22372</v>
      </c>
      <c r="H846" s="18">
        <f t="shared" si="15"/>
        <v>-5.7500482092458088E-3</v>
      </c>
      <c r="I846" s="18">
        <f>PRODUCT(fact_daily_prices!$F846,fact_daily_prices!$G846)</f>
        <v>12761659.959999999</v>
      </c>
      <c r="J846" s="18" t="str">
        <f>_xlfn.XLOOKUP(fact_daily_prices!$B846,dim_company[company_id],dim_company[sector_id])</f>
        <v>SEC05</v>
      </c>
      <c r="K846" s="19" t="str">
        <f>_xlfn.XLOOKUP(fact_daily_prices!$J846,dim_sector[sector_id],dim_sector[sector_name])</f>
        <v>Consumer Discretionary</v>
      </c>
      <c r="L846" t="str">
        <v>COMP007-09-04-2025</v>
      </c>
      <c r="M846" t="str">
        <f>_xlfn.CONCAT(A845," ",B845)</f>
        <v>45755 COMP007</v>
      </c>
    </row>
    <row r="847" spans="1:13" x14ac:dyDescent="0.3">
      <c r="A847" s="20">
        <v>45757</v>
      </c>
      <c r="B847" s="7" t="s">
        <v>29</v>
      </c>
      <c r="C847" s="7">
        <v>580.02</v>
      </c>
      <c r="D847" s="7">
        <v>580.96</v>
      </c>
      <c r="E847" s="7">
        <v>579.07000000000005</v>
      </c>
      <c r="F847" s="7">
        <v>580.17999999999995</v>
      </c>
      <c r="G847" s="7">
        <v>28923</v>
      </c>
      <c r="H847" s="7">
        <f t="shared" si="15"/>
        <v>1.6805129442586785E-2</v>
      </c>
      <c r="I847" s="7">
        <f>PRODUCT(fact_daily_prices!$F847,fact_daily_prices!$G847)</f>
        <v>16780546.139999997</v>
      </c>
      <c r="J847" s="7" t="str">
        <f>_xlfn.XLOOKUP(fact_daily_prices!$B847,dim_company[company_id],dim_company[sector_id])</f>
        <v>SEC05</v>
      </c>
      <c r="K847" s="21" t="str">
        <f>_xlfn.XLOOKUP(fact_daily_prices!$J847,dim_sector[sector_id],dim_sector[sector_name])</f>
        <v>Consumer Discretionary</v>
      </c>
      <c r="L847" t="str">
        <v>COMP007-10-04-2025</v>
      </c>
      <c r="M847" t="str">
        <f>_xlfn.CONCAT(A846," ",B846)</f>
        <v>45756 COMP007</v>
      </c>
    </row>
    <row r="848" spans="1:13" x14ac:dyDescent="0.3">
      <c r="A848" s="17">
        <v>45758</v>
      </c>
      <c r="B848" s="18" t="s">
        <v>29</v>
      </c>
      <c r="C848" s="18">
        <v>568.01</v>
      </c>
      <c r="D848" s="18">
        <v>578.45000000000005</v>
      </c>
      <c r="E848" s="18">
        <v>557.57000000000005</v>
      </c>
      <c r="F848" s="18">
        <v>568.17999999999995</v>
      </c>
      <c r="G848" s="18">
        <v>10306</v>
      </c>
      <c r="H848" s="18">
        <f t="shared" si="15"/>
        <v>-2.1120067584216272E-2</v>
      </c>
      <c r="I848" s="18">
        <f>PRODUCT(fact_daily_prices!$F848,fact_daily_prices!$G848)</f>
        <v>5855663.0799999991</v>
      </c>
      <c r="J848" s="18" t="str">
        <f>_xlfn.XLOOKUP(fact_daily_prices!$B848,dim_company[company_id],dim_company[sector_id])</f>
        <v>SEC05</v>
      </c>
      <c r="K848" s="19" t="str">
        <f>_xlfn.XLOOKUP(fact_daily_prices!$J848,dim_sector[sector_id],dim_sector[sector_name])</f>
        <v>Consumer Discretionary</v>
      </c>
      <c r="L848" t="str">
        <v>COMP007-11-04-2025</v>
      </c>
      <c r="M848" t="str">
        <f>_xlfn.CONCAT(A847," ",B847)</f>
        <v>45757 COMP007</v>
      </c>
    </row>
    <row r="849" spans="1:13" x14ac:dyDescent="0.3">
      <c r="A849" s="20">
        <v>45761</v>
      </c>
      <c r="B849" s="7" t="s">
        <v>29</v>
      </c>
      <c r="C849" s="7">
        <v>568.69000000000005</v>
      </c>
      <c r="D849" s="7">
        <v>578.16</v>
      </c>
      <c r="E849" s="7">
        <v>559.22</v>
      </c>
      <c r="F849" s="7">
        <v>568.98</v>
      </c>
      <c r="G849" s="7">
        <v>38228</v>
      </c>
      <c r="H849" s="7">
        <f t="shared" si="15"/>
        <v>1.4060248163381282E-3</v>
      </c>
      <c r="I849" s="7">
        <f>PRODUCT(fact_daily_prices!$F849,fact_daily_prices!$G849)</f>
        <v>21750967.440000001</v>
      </c>
      <c r="J849" s="7" t="str">
        <f>_xlfn.XLOOKUP(fact_daily_prices!$B849,dim_company[company_id],dim_company[sector_id])</f>
        <v>SEC05</v>
      </c>
      <c r="K849" s="21" t="str">
        <f>_xlfn.XLOOKUP(fact_daily_prices!$J849,dim_sector[sector_id],dim_sector[sector_name])</f>
        <v>Consumer Discretionary</v>
      </c>
      <c r="L849" t="str">
        <v>COMP007-14-04-2025</v>
      </c>
      <c r="M849" t="str">
        <f>_xlfn.CONCAT(A848," ",B848)</f>
        <v>45758 COMP007</v>
      </c>
    </row>
    <row r="850" spans="1:13" x14ac:dyDescent="0.3">
      <c r="A850" s="17">
        <v>45762</v>
      </c>
      <c r="B850" s="18" t="s">
        <v>29</v>
      </c>
      <c r="C850" s="18">
        <v>565.70000000000005</v>
      </c>
      <c r="D850" s="18">
        <v>571.58000000000004</v>
      </c>
      <c r="E850" s="18">
        <v>559.83000000000004</v>
      </c>
      <c r="F850" s="18">
        <v>566.29999999999995</v>
      </c>
      <c r="G850" s="18">
        <v>20212</v>
      </c>
      <c r="H850" s="18">
        <f t="shared" si="15"/>
        <v>-4.7324739537348819E-3</v>
      </c>
      <c r="I850" s="18">
        <f>PRODUCT(fact_daily_prices!$F850,fact_daily_prices!$G850)</f>
        <v>11446055.6</v>
      </c>
      <c r="J850" s="18" t="str">
        <f>_xlfn.XLOOKUP(fact_daily_prices!$B850,dim_company[company_id],dim_company[sector_id])</f>
        <v>SEC05</v>
      </c>
      <c r="K850" s="19" t="str">
        <f>_xlfn.XLOOKUP(fact_daily_prices!$J850,dim_sector[sector_id],dim_sector[sector_name])</f>
        <v>Consumer Discretionary</v>
      </c>
      <c r="L850" t="str">
        <v>COMP007-15-04-2025</v>
      </c>
      <c r="M850" t="str">
        <f>_xlfn.CONCAT(A849," ",B849)</f>
        <v>45761 COMP007</v>
      </c>
    </row>
    <row r="851" spans="1:13" x14ac:dyDescent="0.3">
      <c r="A851" s="20">
        <v>45763</v>
      </c>
      <c r="B851" s="7" t="s">
        <v>29</v>
      </c>
      <c r="C851" s="7">
        <v>577.64</v>
      </c>
      <c r="D851" s="7">
        <v>578.52</v>
      </c>
      <c r="E851" s="7">
        <v>576.76</v>
      </c>
      <c r="F851" s="7">
        <v>577.02</v>
      </c>
      <c r="G851" s="7">
        <v>5594</v>
      </c>
      <c r="H851" s="7">
        <f t="shared" si="15"/>
        <v>1.8578212193684843E-2</v>
      </c>
      <c r="I851" s="7">
        <f>PRODUCT(fact_daily_prices!$F851,fact_daily_prices!$G851)</f>
        <v>3227849.88</v>
      </c>
      <c r="J851" s="7" t="str">
        <f>_xlfn.XLOOKUP(fact_daily_prices!$B851,dim_company[company_id],dim_company[sector_id])</f>
        <v>SEC05</v>
      </c>
      <c r="K851" s="21" t="str">
        <f>_xlfn.XLOOKUP(fact_daily_prices!$J851,dim_sector[sector_id],dim_sector[sector_name])</f>
        <v>Consumer Discretionary</v>
      </c>
      <c r="L851" t="str">
        <v>COMP007-16-04-2025</v>
      </c>
      <c r="M851" t="str">
        <f>_xlfn.CONCAT(A850," ",B850)</f>
        <v>45762 COMP007</v>
      </c>
    </row>
    <row r="852" spans="1:13" x14ac:dyDescent="0.3">
      <c r="A852" s="17">
        <v>45764</v>
      </c>
      <c r="B852" s="18" t="s">
        <v>29</v>
      </c>
      <c r="C852" s="18">
        <v>583.79999999999995</v>
      </c>
      <c r="D852" s="18">
        <v>586.24</v>
      </c>
      <c r="E852" s="18">
        <v>581.36</v>
      </c>
      <c r="F852" s="18">
        <v>581.52</v>
      </c>
      <c r="G852" s="18">
        <v>30179</v>
      </c>
      <c r="H852" s="18">
        <f t="shared" si="15"/>
        <v>7.7383408997111023E-3</v>
      </c>
      <c r="I852" s="18">
        <f>PRODUCT(fact_daily_prices!$F852,fact_daily_prices!$G852)</f>
        <v>17549692.079999998</v>
      </c>
      <c r="J852" s="18" t="str">
        <f>_xlfn.XLOOKUP(fact_daily_prices!$B852,dim_company[company_id],dim_company[sector_id])</f>
        <v>SEC05</v>
      </c>
      <c r="K852" s="19" t="str">
        <f>_xlfn.XLOOKUP(fact_daily_prices!$J852,dim_sector[sector_id],dim_sector[sector_name])</f>
        <v>Consumer Discretionary</v>
      </c>
      <c r="L852" t="str">
        <v>COMP007-17-04-2025</v>
      </c>
      <c r="M852" t="str">
        <f>_xlfn.CONCAT(A851," ",B851)</f>
        <v>45763 COMP007</v>
      </c>
    </row>
    <row r="853" spans="1:13" x14ac:dyDescent="0.3">
      <c r="A853" s="20">
        <v>45765</v>
      </c>
      <c r="B853" s="7" t="s">
        <v>29</v>
      </c>
      <c r="C853" s="7">
        <v>579.82000000000005</v>
      </c>
      <c r="D853" s="7">
        <v>584.94000000000005</v>
      </c>
      <c r="E853" s="7">
        <v>574.70000000000005</v>
      </c>
      <c r="F853" s="7">
        <v>577.38</v>
      </c>
      <c r="G853" s="7">
        <v>33933</v>
      </c>
      <c r="H853" s="7">
        <f t="shared" si="15"/>
        <v>-7.1703211056842742E-3</v>
      </c>
      <c r="I853" s="7">
        <f>PRODUCT(fact_daily_prices!$F853,fact_daily_prices!$G853)</f>
        <v>19592235.539999999</v>
      </c>
      <c r="J853" s="7" t="str">
        <f>_xlfn.XLOOKUP(fact_daily_prices!$B853,dim_company[company_id],dim_company[sector_id])</f>
        <v>SEC05</v>
      </c>
      <c r="K853" s="21" t="str">
        <f>_xlfn.XLOOKUP(fact_daily_prices!$J853,dim_sector[sector_id],dim_sector[sector_name])</f>
        <v>Consumer Discretionary</v>
      </c>
      <c r="L853" t="str">
        <v>COMP007-18-04-2025</v>
      </c>
      <c r="M853" t="str">
        <f>_xlfn.CONCAT(A852," ",B852)</f>
        <v>45764 COMP007</v>
      </c>
    </row>
    <row r="854" spans="1:13" x14ac:dyDescent="0.3">
      <c r="A854" s="17">
        <v>45768</v>
      </c>
      <c r="B854" s="18" t="s">
        <v>29</v>
      </c>
      <c r="C854" s="18">
        <v>578.51</v>
      </c>
      <c r="D854" s="18">
        <v>583.96</v>
      </c>
      <c r="E854" s="18">
        <v>573.05999999999995</v>
      </c>
      <c r="F854" s="18">
        <v>583.76</v>
      </c>
      <c r="G854" s="18">
        <v>18375</v>
      </c>
      <c r="H854" s="18">
        <f t="shared" si="15"/>
        <v>1.0929148965328209E-2</v>
      </c>
      <c r="I854" s="18">
        <f>PRODUCT(fact_daily_prices!$F854,fact_daily_prices!$G854)</f>
        <v>10726590</v>
      </c>
      <c r="J854" s="18" t="str">
        <f>_xlfn.XLOOKUP(fact_daily_prices!$B854,dim_company[company_id],dim_company[sector_id])</f>
        <v>SEC05</v>
      </c>
      <c r="K854" s="19" t="str">
        <f>_xlfn.XLOOKUP(fact_daily_prices!$J854,dim_sector[sector_id],dim_sector[sector_name])</f>
        <v>Consumer Discretionary</v>
      </c>
      <c r="L854" t="str">
        <v>COMP007-21-04-2025</v>
      </c>
      <c r="M854" t="str">
        <f>_xlfn.CONCAT(A853," ",B853)</f>
        <v>45765 COMP007</v>
      </c>
    </row>
    <row r="855" spans="1:13" x14ac:dyDescent="0.3">
      <c r="A855" s="20">
        <v>45769</v>
      </c>
      <c r="B855" s="7" t="s">
        <v>29</v>
      </c>
      <c r="C855" s="7">
        <v>582.07000000000005</v>
      </c>
      <c r="D855" s="7">
        <v>584.64</v>
      </c>
      <c r="E855" s="7">
        <v>579.51</v>
      </c>
      <c r="F855" s="7">
        <v>581.04999999999995</v>
      </c>
      <c r="G855" s="7">
        <v>37607</v>
      </c>
      <c r="H855" s="7">
        <f t="shared" si="15"/>
        <v>-4.6639703984167223E-3</v>
      </c>
      <c r="I855" s="7">
        <f>PRODUCT(fact_daily_prices!$F855,fact_daily_prices!$G855)</f>
        <v>21851547.349999998</v>
      </c>
      <c r="J855" s="7" t="str">
        <f>_xlfn.XLOOKUP(fact_daily_prices!$B855,dim_company[company_id],dim_company[sector_id])</f>
        <v>SEC05</v>
      </c>
      <c r="K855" s="21" t="str">
        <f>_xlfn.XLOOKUP(fact_daily_prices!$J855,dim_sector[sector_id],dim_sector[sector_name])</f>
        <v>Consumer Discretionary</v>
      </c>
      <c r="L855" t="str">
        <v>COMP007-22-04-2025</v>
      </c>
      <c r="M855" t="str">
        <f>_xlfn.CONCAT(A854," ",B854)</f>
        <v>45768 COMP007</v>
      </c>
    </row>
    <row r="856" spans="1:13" x14ac:dyDescent="0.3">
      <c r="A856" s="17">
        <v>45770</v>
      </c>
      <c r="B856" s="18" t="s">
        <v>29</v>
      </c>
      <c r="C856" s="18">
        <v>588.88</v>
      </c>
      <c r="D856" s="18">
        <v>595.84</v>
      </c>
      <c r="E856" s="18">
        <v>581.91999999999996</v>
      </c>
      <c r="F856" s="18">
        <v>588.54999999999995</v>
      </c>
      <c r="G856" s="18">
        <v>47287</v>
      </c>
      <c r="H856" s="18">
        <f t="shared" si="15"/>
        <v>1.2743182397417382E-2</v>
      </c>
      <c r="I856" s="18">
        <f>PRODUCT(fact_daily_prices!$F856,fact_daily_prices!$G856)</f>
        <v>27830763.849999998</v>
      </c>
      <c r="J856" s="18" t="str">
        <f>_xlfn.XLOOKUP(fact_daily_prices!$B856,dim_company[company_id],dim_company[sector_id])</f>
        <v>SEC05</v>
      </c>
      <c r="K856" s="19" t="str">
        <f>_xlfn.XLOOKUP(fact_daily_prices!$J856,dim_sector[sector_id],dim_sector[sector_name])</f>
        <v>Consumer Discretionary</v>
      </c>
      <c r="L856" t="str">
        <v>COMP007-23-04-2025</v>
      </c>
      <c r="M856" t="str">
        <f>_xlfn.CONCAT(A855," ",B855)</f>
        <v>45769 COMP007</v>
      </c>
    </row>
    <row r="857" spans="1:13" x14ac:dyDescent="0.3">
      <c r="A857" s="20">
        <v>45771</v>
      </c>
      <c r="B857" s="7" t="s">
        <v>29</v>
      </c>
      <c r="C857" s="7">
        <v>587.01</v>
      </c>
      <c r="D857" s="7">
        <v>591.80999999999995</v>
      </c>
      <c r="E857" s="7">
        <v>582.21</v>
      </c>
      <c r="F857" s="7">
        <v>586.94000000000005</v>
      </c>
      <c r="G857" s="7">
        <v>11776</v>
      </c>
      <c r="H857" s="7">
        <f t="shared" si="15"/>
        <v>-2.7430401744639992E-3</v>
      </c>
      <c r="I857" s="7">
        <f>PRODUCT(fact_daily_prices!$F857,fact_daily_prices!$G857)</f>
        <v>6911805.4400000004</v>
      </c>
      <c r="J857" s="7" t="str">
        <f>_xlfn.XLOOKUP(fact_daily_prices!$B857,dim_company[company_id],dim_company[sector_id])</f>
        <v>SEC05</v>
      </c>
      <c r="K857" s="21" t="str">
        <f>_xlfn.XLOOKUP(fact_daily_prices!$J857,dim_sector[sector_id],dim_sector[sector_name])</f>
        <v>Consumer Discretionary</v>
      </c>
      <c r="L857" t="str">
        <v>COMP007-24-04-2025</v>
      </c>
      <c r="M857" t="str">
        <f>_xlfn.CONCAT(A856," ",B856)</f>
        <v>45770 COMP007</v>
      </c>
    </row>
    <row r="858" spans="1:13" x14ac:dyDescent="0.3">
      <c r="A858" s="17">
        <v>45772</v>
      </c>
      <c r="B858" s="18" t="s">
        <v>29</v>
      </c>
      <c r="C858" s="18">
        <v>591.54</v>
      </c>
      <c r="D858" s="18">
        <v>595.75</v>
      </c>
      <c r="E858" s="18">
        <v>587.33000000000004</v>
      </c>
      <c r="F858" s="18">
        <v>594.92999999999995</v>
      </c>
      <c r="G858" s="18">
        <v>9210</v>
      </c>
      <c r="H858" s="18">
        <f t="shared" si="15"/>
        <v>1.3430151446388476E-2</v>
      </c>
      <c r="I858" s="18">
        <f>PRODUCT(fact_daily_prices!$F858,fact_daily_prices!$G858)</f>
        <v>5479305.2999999998</v>
      </c>
      <c r="J858" s="18" t="str">
        <f>_xlfn.XLOOKUP(fact_daily_prices!$B858,dim_company[company_id],dim_company[sector_id])</f>
        <v>SEC05</v>
      </c>
      <c r="K858" s="19" t="str">
        <f>_xlfn.XLOOKUP(fact_daily_prices!$J858,dim_sector[sector_id],dim_sector[sector_name])</f>
        <v>Consumer Discretionary</v>
      </c>
      <c r="L858" t="str">
        <v>COMP007-25-04-2025</v>
      </c>
      <c r="M858" t="str">
        <f>_xlfn.CONCAT(A857," ",B857)</f>
        <v>45771 COMP007</v>
      </c>
    </row>
    <row r="859" spans="1:13" x14ac:dyDescent="0.3">
      <c r="A859" s="20">
        <v>45775</v>
      </c>
      <c r="B859" s="7" t="s">
        <v>29</v>
      </c>
      <c r="C859" s="7">
        <v>596.76</v>
      </c>
      <c r="D859" s="7">
        <v>603.64</v>
      </c>
      <c r="E859" s="7">
        <v>589.88</v>
      </c>
      <c r="F859" s="7">
        <v>598.35</v>
      </c>
      <c r="G859" s="7">
        <v>40850</v>
      </c>
      <c r="H859" s="7">
        <f t="shared" si="15"/>
        <v>5.7157182251191992E-3</v>
      </c>
      <c r="I859" s="7">
        <f>PRODUCT(fact_daily_prices!$F859,fact_daily_prices!$G859)</f>
        <v>24442597.5</v>
      </c>
      <c r="J859" s="7" t="str">
        <f>_xlfn.XLOOKUP(fact_daily_prices!$B859,dim_company[company_id],dim_company[sector_id])</f>
        <v>SEC05</v>
      </c>
      <c r="K859" s="21" t="str">
        <f>_xlfn.XLOOKUP(fact_daily_prices!$J859,dim_sector[sector_id],dim_sector[sector_name])</f>
        <v>Consumer Discretionary</v>
      </c>
      <c r="L859" t="str">
        <v>COMP007-28-04-2025</v>
      </c>
      <c r="M859" t="str">
        <f>_xlfn.CONCAT(A858," ",B858)</f>
        <v>45772 COMP007</v>
      </c>
    </row>
    <row r="860" spans="1:13" x14ac:dyDescent="0.3">
      <c r="A860" s="17">
        <v>45776</v>
      </c>
      <c r="B860" s="18" t="s">
        <v>29</v>
      </c>
      <c r="C860" s="18">
        <v>623.65</v>
      </c>
      <c r="D860" s="18">
        <v>630.80999999999995</v>
      </c>
      <c r="E860" s="18">
        <v>616.49</v>
      </c>
      <c r="F860" s="18">
        <v>623.59</v>
      </c>
      <c r="G860" s="18">
        <v>12094</v>
      </c>
      <c r="H860" s="18">
        <f t="shared" si="15"/>
        <v>4.04753123045591E-2</v>
      </c>
      <c r="I860" s="18">
        <f>PRODUCT(fact_daily_prices!$F860,fact_daily_prices!$G860)</f>
        <v>7541697.46</v>
      </c>
      <c r="J860" s="18" t="str">
        <f>_xlfn.XLOOKUP(fact_daily_prices!$B860,dim_company[company_id],dim_company[sector_id])</f>
        <v>SEC05</v>
      </c>
      <c r="K860" s="19" t="str">
        <f>_xlfn.XLOOKUP(fact_daily_prices!$J860,dim_sector[sector_id],dim_sector[sector_name])</f>
        <v>Consumer Discretionary</v>
      </c>
      <c r="L860" t="str">
        <v>COMP007-29-04-2025</v>
      </c>
      <c r="M860" t="str">
        <f>_xlfn.CONCAT(A859," ",B859)</f>
        <v>45775 COMP007</v>
      </c>
    </row>
    <row r="861" spans="1:13" x14ac:dyDescent="0.3">
      <c r="A861" s="20">
        <v>45777</v>
      </c>
      <c r="B861" s="7" t="s">
        <v>29</v>
      </c>
      <c r="C861" s="7">
        <v>623.32000000000005</v>
      </c>
      <c r="D861" s="7">
        <v>634.89</v>
      </c>
      <c r="E861" s="7">
        <v>611.74</v>
      </c>
      <c r="F861" s="7">
        <v>623.32000000000005</v>
      </c>
      <c r="G861" s="7">
        <v>7838</v>
      </c>
      <c r="H861" s="7">
        <f t="shared" si="15"/>
        <v>-4.3316434576137747E-4</v>
      </c>
      <c r="I861" s="7">
        <f>PRODUCT(fact_daily_prices!$F861,fact_daily_prices!$G861)</f>
        <v>4885582.16</v>
      </c>
      <c r="J861" s="7" t="str">
        <f>_xlfn.XLOOKUP(fact_daily_prices!$B861,dim_company[company_id],dim_company[sector_id])</f>
        <v>SEC05</v>
      </c>
      <c r="K861" s="21" t="str">
        <f>_xlfn.XLOOKUP(fact_daily_prices!$J861,dim_sector[sector_id],dim_sector[sector_name])</f>
        <v>Consumer Discretionary</v>
      </c>
      <c r="L861" t="str">
        <v>COMP007-30-04-2025</v>
      </c>
      <c r="M861" t="str">
        <f>_xlfn.CONCAT(A860," ",B860)</f>
        <v>45776 COMP007</v>
      </c>
    </row>
    <row r="862" spans="1:13" x14ac:dyDescent="0.3">
      <c r="A862" s="17">
        <v>45778</v>
      </c>
      <c r="B862" s="18" t="s">
        <v>29</v>
      </c>
      <c r="C862" s="18">
        <v>626.39</v>
      </c>
      <c r="D862" s="18">
        <v>634.23</v>
      </c>
      <c r="E862" s="18">
        <v>618.54999999999995</v>
      </c>
      <c r="F862" s="18">
        <v>626.48</v>
      </c>
      <c r="G862" s="18">
        <v>5996</v>
      </c>
      <c r="H862" s="18">
        <f t="shared" si="15"/>
        <v>5.0440556761588047E-3</v>
      </c>
      <c r="I862" s="18">
        <f>PRODUCT(fact_daily_prices!$F862,fact_daily_prices!$G862)</f>
        <v>3756374.08</v>
      </c>
      <c r="J862" s="18" t="str">
        <f>_xlfn.XLOOKUP(fact_daily_prices!$B862,dim_company[company_id],dim_company[sector_id])</f>
        <v>SEC05</v>
      </c>
      <c r="K862" s="19" t="str">
        <f>_xlfn.XLOOKUP(fact_daily_prices!$J862,dim_sector[sector_id],dim_sector[sector_name])</f>
        <v>Consumer Discretionary</v>
      </c>
      <c r="L862" t="str">
        <v>COMP007-01-05-2025</v>
      </c>
      <c r="M862" t="str">
        <f>_xlfn.CONCAT(A861," ",B861)</f>
        <v>45777 COMP007</v>
      </c>
    </row>
    <row r="863" spans="1:13" x14ac:dyDescent="0.3">
      <c r="A863" s="20">
        <v>45779</v>
      </c>
      <c r="B863" s="7" t="s">
        <v>29</v>
      </c>
      <c r="C863" s="7">
        <v>622.95000000000005</v>
      </c>
      <c r="D863" s="7">
        <v>635.26</v>
      </c>
      <c r="E863" s="7">
        <v>610.64</v>
      </c>
      <c r="F863" s="7">
        <v>622.86</v>
      </c>
      <c r="G863" s="7">
        <v>15211</v>
      </c>
      <c r="H863" s="7">
        <f t="shared" si="15"/>
        <v>-5.8118999454131017E-3</v>
      </c>
      <c r="I863" s="7">
        <f>PRODUCT(fact_daily_prices!$F863,fact_daily_prices!$G863)</f>
        <v>9474323.4600000009</v>
      </c>
      <c r="J863" s="7" t="str">
        <f>_xlfn.XLOOKUP(fact_daily_prices!$B863,dim_company[company_id],dim_company[sector_id])</f>
        <v>SEC05</v>
      </c>
      <c r="K863" s="21" t="str">
        <f>_xlfn.XLOOKUP(fact_daily_prices!$J863,dim_sector[sector_id],dim_sector[sector_name])</f>
        <v>Consumer Discretionary</v>
      </c>
      <c r="L863" t="str">
        <v>COMP007-02-05-2025</v>
      </c>
      <c r="M863" t="str">
        <f>_xlfn.CONCAT(A862," ",B862)</f>
        <v>45778 COMP007</v>
      </c>
    </row>
    <row r="864" spans="1:13" x14ac:dyDescent="0.3">
      <c r="A864" s="17">
        <v>45782</v>
      </c>
      <c r="B864" s="18" t="s">
        <v>29</v>
      </c>
      <c r="C864" s="18">
        <v>625.52</v>
      </c>
      <c r="D864" s="18">
        <v>633.76</v>
      </c>
      <c r="E864" s="18">
        <v>617.28</v>
      </c>
      <c r="F864" s="18">
        <v>623.03</v>
      </c>
      <c r="G864" s="18">
        <v>25229</v>
      </c>
      <c r="H864" s="18">
        <f t="shared" si="15"/>
        <v>2.7286005489295714E-4</v>
      </c>
      <c r="I864" s="18">
        <f>PRODUCT(fact_daily_prices!$F864,fact_daily_prices!$G864)</f>
        <v>15718423.869999999</v>
      </c>
      <c r="J864" s="18" t="str">
        <f>_xlfn.XLOOKUP(fact_daily_prices!$B864,dim_company[company_id],dim_company[sector_id])</f>
        <v>SEC05</v>
      </c>
      <c r="K864" s="19" t="str">
        <f>_xlfn.XLOOKUP(fact_daily_prices!$J864,dim_sector[sector_id],dim_sector[sector_name])</f>
        <v>Consumer Discretionary</v>
      </c>
      <c r="L864" t="str">
        <v>COMP007-05-05-2025</v>
      </c>
      <c r="M864" t="str">
        <f>_xlfn.CONCAT(A863," ",B863)</f>
        <v>45779 COMP007</v>
      </c>
    </row>
    <row r="865" spans="1:13" x14ac:dyDescent="0.3">
      <c r="A865" s="20">
        <v>45783</v>
      </c>
      <c r="B865" s="7" t="s">
        <v>29</v>
      </c>
      <c r="C865" s="7">
        <v>605.57000000000005</v>
      </c>
      <c r="D865" s="7">
        <v>609.47</v>
      </c>
      <c r="E865" s="7">
        <v>601.67999999999995</v>
      </c>
      <c r="F865" s="7">
        <v>602.32000000000005</v>
      </c>
      <c r="G865" s="7">
        <v>29554</v>
      </c>
      <c r="H865" s="7">
        <f t="shared" si="15"/>
        <v>-3.4383716296984862E-2</v>
      </c>
      <c r="I865" s="7">
        <f>PRODUCT(fact_daily_prices!$F865,fact_daily_prices!$G865)</f>
        <v>17800965.280000001</v>
      </c>
      <c r="J865" s="7" t="str">
        <f>_xlfn.XLOOKUP(fact_daily_prices!$B865,dim_company[company_id],dim_company[sector_id])</f>
        <v>SEC05</v>
      </c>
      <c r="K865" s="21" t="str">
        <f>_xlfn.XLOOKUP(fact_daily_prices!$J865,dim_sector[sector_id],dim_sector[sector_name])</f>
        <v>Consumer Discretionary</v>
      </c>
      <c r="L865" t="str">
        <v>COMP007-06-05-2025</v>
      </c>
      <c r="M865" t="str">
        <f>_xlfn.CONCAT(A864," ",B864)</f>
        <v>45782 COMP007</v>
      </c>
    </row>
    <row r="866" spans="1:13" x14ac:dyDescent="0.3">
      <c r="A866" s="17">
        <v>45784</v>
      </c>
      <c r="B866" s="18" t="s">
        <v>29</v>
      </c>
      <c r="C866" s="18">
        <v>608.86</v>
      </c>
      <c r="D866" s="18">
        <v>616.1</v>
      </c>
      <c r="E866" s="18">
        <v>601.62</v>
      </c>
      <c r="F866" s="18">
        <v>606.01</v>
      </c>
      <c r="G866" s="18">
        <v>40605</v>
      </c>
      <c r="H866" s="18">
        <f t="shared" si="15"/>
        <v>6.0890084322039913E-3</v>
      </c>
      <c r="I866" s="18">
        <f>PRODUCT(fact_daily_prices!$F866,fact_daily_prices!$G866)</f>
        <v>24607036.050000001</v>
      </c>
      <c r="J866" s="18" t="str">
        <f>_xlfn.XLOOKUP(fact_daily_prices!$B866,dim_company[company_id],dim_company[sector_id])</f>
        <v>SEC05</v>
      </c>
      <c r="K866" s="19" t="str">
        <f>_xlfn.XLOOKUP(fact_daily_prices!$J866,dim_sector[sector_id],dim_sector[sector_name])</f>
        <v>Consumer Discretionary</v>
      </c>
      <c r="L866" t="str">
        <v>COMP007-07-05-2025</v>
      </c>
      <c r="M866" t="str">
        <f>_xlfn.CONCAT(A865," ",B865)</f>
        <v>45783 COMP007</v>
      </c>
    </row>
    <row r="867" spans="1:13" x14ac:dyDescent="0.3">
      <c r="A867" s="20">
        <v>45785</v>
      </c>
      <c r="B867" s="7" t="s">
        <v>29</v>
      </c>
      <c r="C867" s="7">
        <v>612.99</v>
      </c>
      <c r="D867" s="7">
        <v>621.1</v>
      </c>
      <c r="E867" s="7">
        <v>604.89</v>
      </c>
      <c r="F867" s="7">
        <v>616.5</v>
      </c>
      <c r="G867" s="7">
        <v>26515</v>
      </c>
      <c r="H867" s="7">
        <f t="shared" si="15"/>
        <v>1.701540957015411E-2</v>
      </c>
      <c r="I867" s="7">
        <f>PRODUCT(fact_daily_prices!$F867,fact_daily_prices!$G867)</f>
        <v>16346497.5</v>
      </c>
      <c r="J867" s="7" t="str">
        <f>_xlfn.XLOOKUP(fact_daily_prices!$B867,dim_company[company_id],dim_company[sector_id])</f>
        <v>SEC05</v>
      </c>
      <c r="K867" s="21" t="str">
        <f>_xlfn.XLOOKUP(fact_daily_prices!$J867,dim_sector[sector_id],dim_sector[sector_name])</f>
        <v>Consumer Discretionary</v>
      </c>
      <c r="L867" t="str">
        <v>COMP007-08-05-2025</v>
      </c>
      <c r="M867" t="str">
        <f>_xlfn.CONCAT(A866," ",B866)</f>
        <v>45784 COMP007</v>
      </c>
    </row>
    <row r="868" spans="1:13" x14ac:dyDescent="0.3">
      <c r="A868" s="17">
        <v>45786</v>
      </c>
      <c r="B868" s="18" t="s">
        <v>29</v>
      </c>
      <c r="C868" s="18">
        <v>618.54999999999995</v>
      </c>
      <c r="D868" s="18">
        <v>625.92999999999995</v>
      </c>
      <c r="E868" s="18">
        <v>611.16999999999996</v>
      </c>
      <c r="F868" s="18">
        <v>619.73</v>
      </c>
      <c r="G868" s="18">
        <v>33254</v>
      </c>
      <c r="H868" s="18">
        <f t="shared" si="15"/>
        <v>5.2119471382699213E-3</v>
      </c>
      <c r="I868" s="18">
        <f>PRODUCT(fact_daily_prices!$F868,fact_daily_prices!$G868)</f>
        <v>20608501.420000002</v>
      </c>
      <c r="J868" s="18" t="str">
        <f>_xlfn.XLOOKUP(fact_daily_prices!$B868,dim_company[company_id],dim_company[sector_id])</f>
        <v>SEC05</v>
      </c>
      <c r="K868" s="19" t="str">
        <f>_xlfn.XLOOKUP(fact_daily_prices!$J868,dim_sector[sector_id],dim_sector[sector_name])</f>
        <v>Consumer Discretionary</v>
      </c>
      <c r="L868" t="str">
        <v>COMP007-09-05-2025</v>
      </c>
      <c r="M868" t="str">
        <f>_xlfn.CONCAT(A867," ",B867)</f>
        <v>45785 COMP007</v>
      </c>
    </row>
    <row r="869" spans="1:13" x14ac:dyDescent="0.3">
      <c r="A869" s="20">
        <v>45789</v>
      </c>
      <c r="B869" s="7" t="s">
        <v>29</v>
      </c>
      <c r="C869" s="7">
        <v>615.22</v>
      </c>
      <c r="D869" s="7">
        <v>621.58000000000004</v>
      </c>
      <c r="E869" s="7">
        <v>608.85</v>
      </c>
      <c r="F869" s="7">
        <v>609.70000000000005</v>
      </c>
      <c r="G869" s="7">
        <v>1917</v>
      </c>
      <c r="H869" s="7">
        <f t="shared" si="15"/>
        <v>-1.6450713465638794E-2</v>
      </c>
      <c r="I869" s="7">
        <f>PRODUCT(fact_daily_prices!$F869,fact_daily_prices!$G869)</f>
        <v>1168794.9000000001</v>
      </c>
      <c r="J869" s="7" t="str">
        <f>_xlfn.XLOOKUP(fact_daily_prices!$B869,dim_company[company_id],dim_company[sector_id])</f>
        <v>SEC05</v>
      </c>
      <c r="K869" s="21" t="str">
        <f>_xlfn.XLOOKUP(fact_daily_prices!$J869,dim_sector[sector_id],dim_sector[sector_name])</f>
        <v>Consumer Discretionary</v>
      </c>
      <c r="L869" t="str">
        <v>COMP007-12-05-2025</v>
      </c>
      <c r="M869" t="str">
        <f>_xlfn.CONCAT(A868," ",B868)</f>
        <v>45786 COMP007</v>
      </c>
    </row>
    <row r="870" spans="1:13" x14ac:dyDescent="0.3">
      <c r="A870" s="17">
        <v>45790</v>
      </c>
      <c r="B870" s="18" t="s">
        <v>29</v>
      </c>
      <c r="C870" s="18">
        <v>600.82000000000005</v>
      </c>
      <c r="D870" s="18">
        <v>605.61</v>
      </c>
      <c r="E870" s="18">
        <v>596.04</v>
      </c>
      <c r="F870" s="18">
        <v>603.72</v>
      </c>
      <c r="G870" s="18">
        <v>40104</v>
      </c>
      <c r="H870" s="18">
        <f t="shared" si="15"/>
        <v>-9.9052540913006325E-3</v>
      </c>
      <c r="I870" s="18">
        <f>PRODUCT(fact_daily_prices!$F870,fact_daily_prices!$G870)</f>
        <v>24211586.880000003</v>
      </c>
      <c r="J870" s="18" t="str">
        <f>_xlfn.XLOOKUP(fact_daily_prices!$B870,dim_company[company_id],dim_company[sector_id])</f>
        <v>SEC05</v>
      </c>
      <c r="K870" s="19" t="str">
        <f>_xlfn.XLOOKUP(fact_daily_prices!$J870,dim_sector[sector_id],dim_sector[sector_name])</f>
        <v>Consumer Discretionary</v>
      </c>
      <c r="L870" t="str">
        <v>COMP007-13-05-2025</v>
      </c>
      <c r="M870" t="str">
        <f>_xlfn.CONCAT(A869," ",B869)</f>
        <v>45789 COMP007</v>
      </c>
    </row>
    <row r="871" spans="1:13" x14ac:dyDescent="0.3">
      <c r="A871" s="20">
        <v>45791</v>
      </c>
      <c r="B871" s="7" t="s">
        <v>29</v>
      </c>
      <c r="C871" s="7">
        <v>582.57000000000005</v>
      </c>
      <c r="D871" s="7">
        <v>587.76</v>
      </c>
      <c r="E871" s="7">
        <v>577.39</v>
      </c>
      <c r="F871" s="7">
        <v>585.65</v>
      </c>
      <c r="G871" s="7">
        <v>10941</v>
      </c>
      <c r="H871" s="7">
        <f t="shared" si="15"/>
        <v>-3.085460599334082E-2</v>
      </c>
      <c r="I871" s="7">
        <f>PRODUCT(fact_daily_prices!$F871,fact_daily_prices!$G871)</f>
        <v>6407596.6499999994</v>
      </c>
      <c r="J871" s="7" t="str">
        <f>_xlfn.XLOOKUP(fact_daily_prices!$B871,dim_company[company_id],dim_company[sector_id])</f>
        <v>SEC05</v>
      </c>
      <c r="K871" s="21" t="str">
        <f>_xlfn.XLOOKUP(fact_daily_prices!$J871,dim_sector[sector_id],dim_sector[sector_name])</f>
        <v>Consumer Discretionary</v>
      </c>
      <c r="L871" t="str">
        <v>COMP007-14-05-2025</v>
      </c>
      <c r="M871" t="str">
        <f>_xlfn.CONCAT(A870," ",B870)</f>
        <v>45790 COMP007</v>
      </c>
    </row>
    <row r="872" spans="1:13" x14ac:dyDescent="0.3">
      <c r="A872" s="17">
        <v>45792</v>
      </c>
      <c r="B872" s="18" t="s">
        <v>29</v>
      </c>
      <c r="C872" s="18">
        <v>593.82000000000005</v>
      </c>
      <c r="D872" s="18">
        <v>599.94000000000005</v>
      </c>
      <c r="E872" s="18">
        <v>587.69000000000005</v>
      </c>
      <c r="F872" s="18">
        <v>593.05999999999995</v>
      </c>
      <c r="G872" s="18">
        <v>22133</v>
      </c>
      <c r="H872" s="18">
        <f t="shared" si="15"/>
        <v>1.2494519947391442E-2</v>
      </c>
      <c r="I872" s="18">
        <f>PRODUCT(fact_daily_prices!$F872,fact_daily_prices!$G872)</f>
        <v>13126196.979999999</v>
      </c>
      <c r="J872" s="18" t="str">
        <f>_xlfn.XLOOKUP(fact_daily_prices!$B872,dim_company[company_id],dim_company[sector_id])</f>
        <v>SEC05</v>
      </c>
      <c r="K872" s="19" t="str">
        <f>_xlfn.XLOOKUP(fact_daily_prices!$J872,dim_sector[sector_id],dim_sector[sector_name])</f>
        <v>Consumer Discretionary</v>
      </c>
      <c r="L872" t="str">
        <v>COMP007-15-05-2025</v>
      </c>
      <c r="M872" t="str">
        <f>_xlfn.CONCAT(A871," ",B871)</f>
        <v>45791 COMP007</v>
      </c>
    </row>
    <row r="873" spans="1:13" x14ac:dyDescent="0.3">
      <c r="A873" s="20">
        <v>45793</v>
      </c>
      <c r="B873" s="7" t="s">
        <v>29</v>
      </c>
      <c r="C873" s="7">
        <v>582.07000000000005</v>
      </c>
      <c r="D873" s="7">
        <v>586.44000000000005</v>
      </c>
      <c r="E873" s="7">
        <v>577.70000000000005</v>
      </c>
      <c r="F873" s="7">
        <v>585.73</v>
      </c>
      <c r="G873" s="7">
        <v>13192</v>
      </c>
      <c r="H873" s="7">
        <f t="shared" si="15"/>
        <v>-1.2514298396872155E-2</v>
      </c>
      <c r="I873" s="7">
        <f>PRODUCT(fact_daily_prices!$F873,fact_daily_prices!$G873)</f>
        <v>7726950.1600000001</v>
      </c>
      <c r="J873" s="7" t="str">
        <f>_xlfn.XLOOKUP(fact_daily_prices!$B873,dim_company[company_id],dim_company[sector_id])</f>
        <v>SEC05</v>
      </c>
      <c r="K873" s="21" t="str">
        <f>_xlfn.XLOOKUP(fact_daily_prices!$J873,dim_sector[sector_id],dim_sector[sector_name])</f>
        <v>Consumer Discretionary</v>
      </c>
      <c r="L873" t="str">
        <v>COMP007-16-05-2025</v>
      </c>
      <c r="M873" t="str">
        <f>_xlfn.CONCAT(A872," ",B872)</f>
        <v>45792 COMP007</v>
      </c>
    </row>
    <row r="874" spans="1:13" x14ac:dyDescent="0.3">
      <c r="A874" s="17">
        <v>45796</v>
      </c>
      <c r="B874" s="18" t="s">
        <v>29</v>
      </c>
      <c r="C874" s="18">
        <v>585.13</v>
      </c>
      <c r="D874" s="18">
        <v>592.79999999999995</v>
      </c>
      <c r="E874" s="18">
        <v>577.46</v>
      </c>
      <c r="F874" s="18">
        <v>585.66</v>
      </c>
      <c r="G874" s="18">
        <v>22259</v>
      </c>
      <c r="H874" s="18">
        <f t="shared" si="15"/>
        <v>-1.1952327288879217E-4</v>
      </c>
      <c r="I874" s="18">
        <f>PRODUCT(fact_daily_prices!$F874,fact_daily_prices!$G874)</f>
        <v>13036205.939999999</v>
      </c>
      <c r="J874" s="18" t="str">
        <f>_xlfn.XLOOKUP(fact_daily_prices!$B874,dim_company[company_id],dim_company[sector_id])</f>
        <v>SEC05</v>
      </c>
      <c r="K874" s="19" t="str">
        <f>_xlfn.XLOOKUP(fact_daily_prices!$J874,dim_sector[sector_id],dim_sector[sector_name])</f>
        <v>Consumer Discretionary</v>
      </c>
      <c r="L874" t="str">
        <v>COMP007-19-05-2025</v>
      </c>
      <c r="M874" t="str">
        <f>_xlfn.CONCAT(A873," ",B873)</f>
        <v>45793 COMP007</v>
      </c>
    </row>
    <row r="875" spans="1:13" x14ac:dyDescent="0.3">
      <c r="A875" s="20">
        <v>45797</v>
      </c>
      <c r="B875" s="7" t="s">
        <v>29</v>
      </c>
      <c r="C875" s="7">
        <v>583.30999999999995</v>
      </c>
      <c r="D875" s="7">
        <v>589.98</v>
      </c>
      <c r="E875" s="7">
        <v>576.64</v>
      </c>
      <c r="F875" s="7">
        <v>584.66</v>
      </c>
      <c r="G875" s="7">
        <v>48269</v>
      </c>
      <c r="H875" s="7">
        <f t="shared" si="15"/>
        <v>-1.7103957855847845E-3</v>
      </c>
      <c r="I875" s="7">
        <f>PRODUCT(fact_daily_prices!$F875,fact_daily_prices!$G875)</f>
        <v>28220953.539999999</v>
      </c>
      <c r="J875" s="7" t="str">
        <f>_xlfn.XLOOKUP(fact_daily_prices!$B875,dim_company[company_id],dim_company[sector_id])</f>
        <v>SEC05</v>
      </c>
      <c r="K875" s="21" t="str">
        <f>_xlfn.XLOOKUP(fact_daily_prices!$J875,dim_sector[sector_id],dim_sector[sector_name])</f>
        <v>Consumer Discretionary</v>
      </c>
      <c r="L875" t="str">
        <v>COMP007-20-05-2025</v>
      </c>
      <c r="M875" t="str">
        <f>_xlfn.CONCAT(A874," ",B874)</f>
        <v>45796 COMP007</v>
      </c>
    </row>
    <row r="876" spans="1:13" x14ac:dyDescent="0.3">
      <c r="A876" s="17">
        <v>45798</v>
      </c>
      <c r="B876" s="18" t="s">
        <v>29</v>
      </c>
      <c r="C876" s="18">
        <v>596.15</v>
      </c>
      <c r="D876" s="18">
        <v>602.25</v>
      </c>
      <c r="E876" s="18">
        <v>590.04999999999995</v>
      </c>
      <c r="F876" s="18">
        <v>595.87</v>
      </c>
      <c r="G876" s="18">
        <v>6213</v>
      </c>
      <c r="H876" s="18">
        <f t="shared" si="15"/>
        <v>1.8812828301475217E-2</v>
      </c>
      <c r="I876" s="18">
        <f>PRODUCT(fact_daily_prices!$F876,fact_daily_prices!$G876)</f>
        <v>3702140.31</v>
      </c>
      <c r="J876" s="18" t="str">
        <f>_xlfn.XLOOKUP(fact_daily_prices!$B876,dim_company[company_id],dim_company[sector_id])</f>
        <v>SEC05</v>
      </c>
      <c r="K876" s="19" t="str">
        <f>_xlfn.XLOOKUP(fact_daily_prices!$J876,dim_sector[sector_id],dim_sector[sector_name])</f>
        <v>Consumer Discretionary</v>
      </c>
      <c r="L876" t="str">
        <v>COMP007-21-05-2025</v>
      </c>
      <c r="M876" t="str">
        <f>_xlfn.CONCAT(A875," ",B875)</f>
        <v>45797 COMP007</v>
      </c>
    </row>
    <row r="877" spans="1:13" x14ac:dyDescent="0.3">
      <c r="A877" s="20">
        <v>45799</v>
      </c>
      <c r="B877" s="7" t="s">
        <v>29</v>
      </c>
      <c r="C877" s="7">
        <v>598.41999999999996</v>
      </c>
      <c r="D877" s="7">
        <v>607.16999999999996</v>
      </c>
      <c r="E877" s="7">
        <v>589.66999999999996</v>
      </c>
      <c r="F877" s="7">
        <v>596.65</v>
      </c>
      <c r="G877" s="7">
        <v>26520</v>
      </c>
      <c r="H877" s="7">
        <f t="shared" si="15"/>
        <v>1.3072990865666183E-3</v>
      </c>
      <c r="I877" s="7">
        <f>PRODUCT(fact_daily_prices!$F877,fact_daily_prices!$G877)</f>
        <v>15823158</v>
      </c>
      <c r="J877" s="7" t="str">
        <f>_xlfn.XLOOKUP(fact_daily_prices!$B877,dim_company[company_id],dim_company[sector_id])</f>
        <v>SEC05</v>
      </c>
      <c r="K877" s="21" t="str">
        <f>_xlfn.XLOOKUP(fact_daily_prices!$J877,dim_sector[sector_id],dim_sector[sector_name])</f>
        <v>Consumer Discretionary</v>
      </c>
      <c r="L877" t="str">
        <v>COMP007-22-05-2025</v>
      </c>
      <c r="M877" t="str">
        <f>_xlfn.CONCAT(A876," ",B876)</f>
        <v>45798 COMP007</v>
      </c>
    </row>
    <row r="878" spans="1:13" x14ac:dyDescent="0.3">
      <c r="A878" s="17">
        <v>45800</v>
      </c>
      <c r="B878" s="18" t="s">
        <v>29</v>
      </c>
      <c r="C878" s="18">
        <v>599.02</v>
      </c>
      <c r="D878" s="18">
        <v>606.24</v>
      </c>
      <c r="E878" s="18">
        <v>591.79999999999995</v>
      </c>
      <c r="F878" s="18">
        <v>602.9</v>
      </c>
      <c r="G878" s="18">
        <v>43570</v>
      </c>
      <c r="H878" s="18">
        <f t="shared" si="15"/>
        <v>1.0366561618842262E-2</v>
      </c>
      <c r="I878" s="18">
        <f>PRODUCT(fact_daily_prices!$F878,fact_daily_prices!$G878)</f>
        <v>26268353</v>
      </c>
      <c r="J878" s="18" t="str">
        <f>_xlfn.XLOOKUP(fact_daily_prices!$B878,dim_company[company_id],dim_company[sector_id])</f>
        <v>SEC05</v>
      </c>
      <c r="K878" s="19" t="str">
        <f>_xlfn.XLOOKUP(fact_daily_prices!$J878,dim_sector[sector_id],dim_sector[sector_name])</f>
        <v>Consumer Discretionary</v>
      </c>
      <c r="L878" t="str">
        <v>COMP007-23-05-2025</v>
      </c>
      <c r="M878" t="str">
        <f>_xlfn.CONCAT(A877," ",B877)</f>
        <v>45799 COMP007</v>
      </c>
    </row>
    <row r="879" spans="1:13" x14ac:dyDescent="0.3">
      <c r="A879" s="20">
        <v>45803</v>
      </c>
      <c r="B879" s="7" t="s">
        <v>29</v>
      </c>
      <c r="C879" s="7">
        <v>608.66</v>
      </c>
      <c r="D879" s="7">
        <v>614.41</v>
      </c>
      <c r="E879" s="7">
        <v>602.9</v>
      </c>
      <c r="F879" s="7">
        <v>607.21</v>
      </c>
      <c r="G879" s="7">
        <v>12413</v>
      </c>
      <c r="H879" s="7">
        <f t="shared" si="15"/>
        <v>7.098038569852372E-3</v>
      </c>
      <c r="I879" s="7">
        <f>PRODUCT(fact_daily_prices!$F879,fact_daily_prices!$G879)</f>
        <v>7537297.7300000004</v>
      </c>
      <c r="J879" s="7" t="str">
        <f>_xlfn.XLOOKUP(fact_daily_prices!$B879,dim_company[company_id],dim_company[sector_id])</f>
        <v>SEC05</v>
      </c>
      <c r="K879" s="21" t="str">
        <f>_xlfn.XLOOKUP(fact_daily_prices!$J879,dim_sector[sector_id],dim_sector[sector_name])</f>
        <v>Consumer Discretionary</v>
      </c>
      <c r="L879" t="str">
        <v>COMP007-26-05-2025</v>
      </c>
      <c r="M879" t="str">
        <f>_xlfn.CONCAT(A878," ",B878)</f>
        <v>45800 COMP007</v>
      </c>
    </row>
    <row r="880" spans="1:13" x14ac:dyDescent="0.3">
      <c r="A880" s="17">
        <v>45804</v>
      </c>
      <c r="B880" s="18" t="s">
        <v>29</v>
      </c>
      <c r="C880" s="18">
        <v>621.78</v>
      </c>
      <c r="D880" s="18">
        <v>626.53</v>
      </c>
      <c r="E880" s="18">
        <v>617.03</v>
      </c>
      <c r="F880" s="18">
        <v>617.85</v>
      </c>
      <c r="G880" s="18">
        <v>24513</v>
      </c>
      <c r="H880" s="18">
        <f t="shared" si="15"/>
        <v>1.7221008335356454E-2</v>
      </c>
      <c r="I880" s="18">
        <f>PRODUCT(fact_daily_prices!$F880,fact_daily_prices!$G880)</f>
        <v>15145357.050000001</v>
      </c>
      <c r="J880" s="18" t="str">
        <f>_xlfn.XLOOKUP(fact_daily_prices!$B880,dim_company[company_id],dim_company[sector_id])</f>
        <v>SEC05</v>
      </c>
      <c r="K880" s="19" t="str">
        <f>_xlfn.XLOOKUP(fact_daily_prices!$J880,dim_sector[sector_id],dim_sector[sector_name])</f>
        <v>Consumer Discretionary</v>
      </c>
      <c r="L880" t="str">
        <v>COMP007-27-05-2025</v>
      </c>
      <c r="M880" t="str">
        <f>_xlfn.CONCAT(A879," ",B879)</f>
        <v>45803 COMP007</v>
      </c>
    </row>
    <row r="881" spans="1:13" x14ac:dyDescent="0.3">
      <c r="A881" s="20">
        <v>45805</v>
      </c>
      <c r="B881" s="7" t="s">
        <v>29</v>
      </c>
      <c r="C881" s="7">
        <v>612.91999999999996</v>
      </c>
      <c r="D881" s="7">
        <v>617.17999999999995</v>
      </c>
      <c r="E881" s="7">
        <v>608.66</v>
      </c>
      <c r="F881" s="7">
        <v>616.14</v>
      </c>
      <c r="G881" s="7">
        <v>30299</v>
      </c>
      <c r="H881" s="7">
        <f t="shared" si="15"/>
        <v>-2.7753432661408711E-3</v>
      </c>
      <c r="I881" s="7">
        <f>PRODUCT(fact_daily_prices!$F881,fact_daily_prices!$G881)</f>
        <v>18668425.859999999</v>
      </c>
      <c r="J881" s="7" t="str">
        <f>_xlfn.XLOOKUP(fact_daily_prices!$B881,dim_company[company_id],dim_company[sector_id])</f>
        <v>SEC05</v>
      </c>
      <c r="K881" s="21" t="str">
        <f>_xlfn.XLOOKUP(fact_daily_prices!$J881,dim_sector[sector_id],dim_sector[sector_name])</f>
        <v>Consumer Discretionary</v>
      </c>
      <c r="L881" t="str">
        <v>COMP007-28-05-2025</v>
      </c>
      <c r="M881" t="str">
        <f>_xlfn.CONCAT(A880," ",B880)</f>
        <v>45804 COMP007</v>
      </c>
    </row>
    <row r="882" spans="1:13" x14ac:dyDescent="0.3">
      <c r="A882" s="17">
        <v>45806</v>
      </c>
      <c r="B882" s="18" t="s">
        <v>29</v>
      </c>
      <c r="C882" s="18">
        <v>628.16999999999996</v>
      </c>
      <c r="D882" s="18">
        <v>634.08000000000004</v>
      </c>
      <c r="E882" s="18">
        <v>622.26</v>
      </c>
      <c r="F882" s="18">
        <v>630.97</v>
      </c>
      <c r="G882" s="18">
        <v>23250</v>
      </c>
      <c r="H882" s="18">
        <f t="shared" si="15"/>
        <v>2.3503494619395597E-2</v>
      </c>
      <c r="I882" s="18">
        <f>PRODUCT(fact_daily_prices!$F882,fact_daily_prices!$G882)</f>
        <v>14670052.5</v>
      </c>
      <c r="J882" s="18" t="str">
        <f>_xlfn.XLOOKUP(fact_daily_prices!$B882,dim_company[company_id],dim_company[sector_id])</f>
        <v>SEC05</v>
      </c>
      <c r="K882" s="19" t="str">
        <f>_xlfn.XLOOKUP(fact_daily_prices!$J882,dim_sector[sector_id],dim_sector[sector_name])</f>
        <v>Consumer Discretionary</v>
      </c>
      <c r="L882" t="str">
        <v>COMP007-29-05-2025</v>
      </c>
      <c r="M882" t="str">
        <f>_xlfn.CONCAT(A881," ",B881)</f>
        <v>45805 COMP007</v>
      </c>
    </row>
    <row r="883" spans="1:13" x14ac:dyDescent="0.3">
      <c r="A883" s="20">
        <v>45807</v>
      </c>
      <c r="B883" s="7" t="s">
        <v>29</v>
      </c>
      <c r="C883" s="7">
        <v>611.52</v>
      </c>
      <c r="D883" s="7">
        <v>618.13</v>
      </c>
      <c r="E883" s="7">
        <v>604.91</v>
      </c>
      <c r="F883" s="7">
        <v>615.53</v>
      </c>
      <c r="G883" s="7">
        <v>2262</v>
      </c>
      <c r="H883" s="7">
        <f t="shared" si="15"/>
        <v>-2.5084073887544158E-2</v>
      </c>
      <c r="I883" s="7">
        <f>PRODUCT(fact_daily_prices!$F883,fact_daily_prices!$G883)</f>
        <v>1392328.8599999999</v>
      </c>
      <c r="J883" s="7" t="str">
        <f>_xlfn.XLOOKUP(fact_daily_prices!$B883,dim_company[company_id],dim_company[sector_id])</f>
        <v>SEC05</v>
      </c>
      <c r="K883" s="21" t="str">
        <f>_xlfn.XLOOKUP(fact_daily_prices!$J883,dim_sector[sector_id],dim_sector[sector_name])</f>
        <v>Consumer Discretionary</v>
      </c>
      <c r="L883" t="str">
        <v>COMP007-30-05-2025</v>
      </c>
      <c r="M883" t="str">
        <f>_xlfn.CONCAT(A882," ",B882)</f>
        <v>45806 COMP007</v>
      </c>
    </row>
    <row r="884" spans="1:13" x14ac:dyDescent="0.3">
      <c r="A884" s="17">
        <v>45810</v>
      </c>
      <c r="B884" s="18" t="s">
        <v>29</v>
      </c>
      <c r="C884" s="18">
        <v>624.28</v>
      </c>
      <c r="D884" s="18">
        <v>630.87</v>
      </c>
      <c r="E884" s="18">
        <v>617.69000000000005</v>
      </c>
      <c r="F884" s="18">
        <v>622.37</v>
      </c>
      <c r="G884" s="18">
        <v>41150</v>
      </c>
      <c r="H884" s="18">
        <f t="shared" si="15"/>
        <v>1.0990246959204383E-2</v>
      </c>
      <c r="I884" s="18">
        <f>PRODUCT(fact_daily_prices!$F884,fact_daily_prices!$G884)</f>
        <v>25610525.5</v>
      </c>
      <c r="J884" s="18" t="str">
        <f>_xlfn.XLOOKUP(fact_daily_prices!$B884,dim_company[company_id],dim_company[sector_id])</f>
        <v>SEC05</v>
      </c>
      <c r="K884" s="19" t="str">
        <f>_xlfn.XLOOKUP(fact_daily_prices!$J884,dim_sector[sector_id],dim_sector[sector_name])</f>
        <v>Consumer Discretionary</v>
      </c>
      <c r="L884" t="str">
        <v>COMP007-02-06-2025</v>
      </c>
      <c r="M884" t="str">
        <f>_xlfn.CONCAT(A883," ",B883)</f>
        <v>45807 COMP007</v>
      </c>
    </row>
    <row r="885" spans="1:13" x14ac:dyDescent="0.3">
      <c r="A885" s="20">
        <v>45811</v>
      </c>
      <c r="B885" s="7" t="s">
        <v>29</v>
      </c>
      <c r="C885" s="7">
        <v>612.58000000000004</v>
      </c>
      <c r="D885" s="7">
        <v>619.28</v>
      </c>
      <c r="E885" s="7">
        <v>605.87</v>
      </c>
      <c r="F885" s="7">
        <v>615.75</v>
      </c>
      <c r="G885" s="7">
        <v>29850</v>
      </c>
      <c r="H885" s="7">
        <f t="shared" si="15"/>
        <v>-1.0751116524563549E-2</v>
      </c>
      <c r="I885" s="7">
        <f>PRODUCT(fact_daily_prices!$F885,fact_daily_prices!$G885)</f>
        <v>18380137.5</v>
      </c>
      <c r="J885" s="7" t="str">
        <f>_xlfn.XLOOKUP(fact_daily_prices!$B885,dim_company[company_id],dim_company[sector_id])</f>
        <v>SEC05</v>
      </c>
      <c r="K885" s="21" t="str">
        <f>_xlfn.XLOOKUP(fact_daily_prices!$J885,dim_sector[sector_id],dim_sector[sector_name])</f>
        <v>Consumer Discretionary</v>
      </c>
      <c r="L885" t="str">
        <v>COMP007-03-06-2025</v>
      </c>
      <c r="M885" t="str">
        <f>_xlfn.CONCAT(A884," ",B884)</f>
        <v>45810 COMP007</v>
      </c>
    </row>
    <row r="886" spans="1:13" x14ac:dyDescent="0.3">
      <c r="A886" s="17">
        <v>45812</v>
      </c>
      <c r="B886" s="18" t="s">
        <v>29</v>
      </c>
      <c r="C886" s="18">
        <v>606.78</v>
      </c>
      <c r="D886" s="18">
        <v>612.46</v>
      </c>
      <c r="E886" s="18">
        <v>601.1</v>
      </c>
      <c r="F886" s="18">
        <v>612.09</v>
      </c>
      <c r="G886" s="18">
        <v>47830</v>
      </c>
      <c r="H886" s="18">
        <f t="shared" si="15"/>
        <v>-5.9795128167425835E-3</v>
      </c>
      <c r="I886" s="18">
        <f>PRODUCT(fact_daily_prices!$F886,fact_daily_prices!$G886)</f>
        <v>29276264.700000003</v>
      </c>
      <c r="J886" s="18" t="str">
        <f>_xlfn.XLOOKUP(fact_daily_prices!$B886,dim_company[company_id],dim_company[sector_id])</f>
        <v>SEC05</v>
      </c>
      <c r="K886" s="19" t="str">
        <f>_xlfn.XLOOKUP(fact_daily_prices!$J886,dim_sector[sector_id],dim_sector[sector_name])</f>
        <v>Consumer Discretionary</v>
      </c>
      <c r="L886" t="str">
        <v>COMP007-04-06-2025</v>
      </c>
      <c r="M886" t="str">
        <f>_xlfn.CONCAT(A885," ",B885)</f>
        <v>45811 COMP007</v>
      </c>
    </row>
    <row r="887" spans="1:13" x14ac:dyDescent="0.3">
      <c r="A887" s="20">
        <v>45813</v>
      </c>
      <c r="B887" s="7" t="s">
        <v>29</v>
      </c>
      <c r="C887" s="7">
        <v>616.54</v>
      </c>
      <c r="D887" s="7">
        <v>624.08000000000004</v>
      </c>
      <c r="E887" s="7">
        <v>609.01</v>
      </c>
      <c r="F887" s="7">
        <v>616.64</v>
      </c>
      <c r="G887" s="7">
        <v>34998</v>
      </c>
      <c r="H887" s="7">
        <f t="shared" si="15"/>
        <v>7.3786974571872646E-3</v>
      </c>
      <c r="I887" s="7">
        <f>PRODUCT(fact_daily_prices!$F887,fact_daily_prices!$G887)</f>
        <v>21581166.719999999</v>
      </c>
      <c r="J887" s="7" t="str">
        <f>_xlfn.XLOOKUP(fact_daily_prices!$B887,dim_company[company_id],dim_company[sector_id])</f>
        <v>SEC05</v>
      </c>
      <c r="K887" s="21" t="str">
        <f>_xlfn.XLOOKUP(fact_daily_prices!$J887,dim_sector[sector_id],dim_sector[sector_name])</f>
        <v>Consumer Discretionary</v>
      </c>
      <c r="L887" t="str">
        <v>COMP007-05-06-2025</v>
      </c>
      <c r="M887" t="str">
        <f>_xlfn.CONCAT(A886," ",B886)</f>
        <v>45812 COMP007</v>
      </c>
    </row>
    <row r="888" spans="1:13" x14ac:dyDescent="0.3">
      <c r="A888" s="17">
        <v>45814</v>
      </c>
      <c r="B888" s="18" t="s">
        <v>29</v>
      </c>
      <c r="C888" s="18">
        <v>626.04</v>
      </c>
      <c r="D888" s="18">
        <v>631.69000000000005</v>
      </c>
      <c r="E888" s="18">
        <v>620.39</v>
      </c>
      <c r="F888" s="18">
        <v>621.16999999999996</v>
      </c>
      <c r="G888" s="18">
        <v>15715</v>
      </c>
      <c r="H888" s="18">
        <f t="shared" si="15"/>
        <v>7.2926896018802789E-3</v>
      </c>
      <c r="I888" s="18">
        <f>PRODUCT(fact_daily_prices!$F888,fact_daily_prices!$G888)</f>
        <v>9761686.5499999989</v>
      </c>
      <c r="J888" s="18" t="str">
        <f>_xlfn.XLOOKUP(fact_daily_prices!$B888,dim_company[company_id],dim_company[sector_id])</f>
        <v>SEC05</v>
      </c>
      <c r="K888" s="19" t="str">
        <f>_xlfn.XLOOKUP(fact_daily_prices!$J888,dim_sector[sector_id],dim_sector[sector_name])</f>
        <v>Consumer Discretionary</v>
      </c>
      <c r="L888" t="str">
        <v>COMP007-06-06-2025</v>
      </c>
      <c r="M888" t="str">
        <f>_xlfn.CONCAT(A887," ",B887)</f>
        <v>45813 COMP007</v>
      </c>
    </row>
    <row r="889" spans="1:13" x14ac:dyDescent="0.3">
      <c r="A889" s="20">
        <v>45817</v>
      </c>
      <c r="B889" s="7" t="s">
        <v>29</v>
      </c>
      <c r="C889" s="7">
        <v>620.39</v>
      </c>
      <c r="D889" s="7">
        <v>626.91999999999996</v>
      </c>
      <c r="E889" s="7">
        <v>613.87</v>
      </c>
      <c r="F889" s="7">
        <v>626.08000000000004</v>
      </c>
      <c r="G889" s="7">
        <v>14232</v>
      </c>
      <c r="H889" s="7">
        <f t="shared" si="15"/>
        <v>7.842448249425123E-3</v>
      </c>
      <c r="I889" s="7">
        <f>PRODUCT(fact_daily_prices!$F889,fact_daily_prices!$G889)</f>
        <v>8910370.5600000005</v>
      </c>
      <c r="J889" s="7" t="str">
        <f>_xlfn.XLOOKUP(fact_daily_prices!$B889,dim_company[company_id],dim_company[sector_id])</f>
        <v>SEC05</v>
      </c>
      <c r="K889" s="21" t="str">
        <f>_xlfn.XLOOKUP(fact_daily_prices!$J889,dim_sector[sector_id],dim_sector[sector_name])</f>
        <v>Consumer Discretionary</v>
      </c>
      <c r="L889" t="str">
        <v>COMP007-09-06-2025</v>
      </c>
      <c r="M889" t="str">
        <f>_xlfn.CONCAT(A888," ",B888)</f>
        <v>45814 COMP007</v>
      </c>
    </row>
    <row r="890" spans="1:13" x14ac:dyDescent="0.3">
      <c r="A890" s="17">
        <v>45818</v>
      </c>
      <c r="B890" s="18" t="s">
        <v>29</v>
      </c>
      <c r="C890" s="18">
        <v>614.02</v>
      </c>
      <c r="D890" s="18">
        <v>623.63</v>
      </c>
      <c r="E890" s="18">
        <v>604.41</v>
      </c>
      <c r="F890" s="18">
        <v>615.39</v>
      </c>
      <c r="G890" s="18">
        <v>26500</v>
      </c>
      <c r="H890" s="18">
        <f t="shared" si="15"/>
        <v>-1.7371098002892563E-2</v>
      </c>
      <c r="I890" s="18">
        <f>PRODUCT(fact_daily_prices!$F890,fact_daily_prices!$G890)</f>
        <v>16307835</v>
      </c>
      <c r="J890" s="18" t="str">
        <f>_xlfn.XLOOKUP(fact_daily_prices!$B890,dim_company[company_id],dim_company[sector_id])</f>
        <v>SEC05</v>
      </c>
      <c r="K890" s="19" t="str">
        <f>_xlfn.XLOOKUP(fact_daily_prices!$J890,dim_sector[sector_id],dim_sector[sector_name])</f>
        <v>Consumer Discretionary</v>
      </c>
      <c r="L890" t="str">
        <v>COMP007-10-06-2025</v>
      </c>
      <c r="M890" t="str">
        <f>_xlfn.CONCAT(A889," ",B889)</f>
        <v>45817 COMP007</v>
      </c>
    </row>
    <row r="891" spans="1:13" x14ac:dyDescent="0.3">
      <c r="A891" s="20">
        <v>45819</v>
      </c>
      <c r="B891" s="7" t="s">
        <v>29</v>
      </c>
      <c r="C891" s="7">
        <v>624.99</v>
      </c>
      <c r="D891" s="7">
        <v>627.94000000000005</v>
      </c>
      <c r="E891" s="7">
        <v>622.04</v>
      </c>
      <c r="F891" s="7">
        <v>626.88</v>
      </c>
      <c r="G891" s="7">
        <v>23449</v>
      </c>
      <c r="H891" s="7">
        <f t="shared" si="15"/>
        <v>1.8328866768759586E-2</v>
      </c>
      <c r="I891" s="7">
        <f>PRODUCT(fact_daily_prices!$F891,fact_daily_prices!$G891)</f>
        <v>14699709.119999999</v>
      </c>
      <c r="J891" s="7" t="str">
        <f>_xlfn.XLOOKUP(fact_daily_prices!$B891,dim_company[company_id],dim_company[sector_id])</f>
        <v>SEC05</v>
      </c>
      <c r="K891" s="21" t="str">
        <f>_xlfn.XLOOKUP(fact_daily_prices!$J891,dim_sector[sector_id],dim_sector[sector_name])</f>
        <v>Consumer Discretionary</v>
      </c>
      <c r="L891" t="str">
        <v>COMP007-11-06-2025</v>
      </c>
      <c r="M891" t="str">
        <f>_xlfn.CONCAT(A890," ",B890)</f>
        <v>45818 COMP007</v>
      </c>
    </row>
    <row r="892" spans="1:13" x14ac:dyDescent="0.3">
      <c r="A892" s="17">
        <v>45820</v>
      </c>
      <c r="B892" s="18" t="s">
        <v>29</v>
      </c>
      <c r="C892" s="18">
        <v>621.49</v>
      </c>
      <c r="D892" s="18">
        <v>625.11</v>
      </c>
      <c r="E892" s="18">
        <v>617.87</v>
      </c>
      <c r="F892" s="18">
        <v>619.95000000000005</v>
      </c>
      <c r="G892" s="18">
        <v>26338</v>
      </c>
      <c r="H892" s="18">
        <f t="shared" si="15"/>
        <v>-1.1178320832325107E-2</v>
      </c>
      <c r="I892" s="18">
        <f>PRODUCT(fact_daily_prices!$F892,fact_daily_prices!$G892)</f>
        <v>16328243.100000001</v>
      </c>
      <c r="J892" s="18" t="str">
        <f>_xlfn.XLOOKUP(fact_daily_prices!$B892,dim_company[company_id],dim_company[sector_id])</f>
        <v>SEC05</v>
      </c>
      <c r="K892" s="19" t="str">
        <f>_xlfn.XLOOKUP(fact_daily_prices!$J892,dim_sector[sector_id],dim_sector[sector_name])</f>
        <v>Consumer Discretionary</v>
      </c>
      <c r="L892" t="str">
        <v>COMP007-12-06-2025</v>
      </c>
      <c r="M892" t="str">
        <f>_xlfn.CONCAT(A891," ",B891)</f>
        <v>45819 COMP007</v>
      </c>
    </row>
    <row r="893" spans="1:13" x14ac:dyDescent="0.3">
      <c r="A893" s="20">
        <v>45821</v>
      </c>
      <c r="B893" s="7" t="s">
        <v>29</v>
      </c>
      <c r="C893" s="7">
        <v>615.36</v>
      </c>
      <c r="D893" s="7">
        <v>619.89</v>
      </c>
      <c r="E893" s="7">
        <v>610.83000000000004</v>
      </c>
      <c r="F893" s="7">
        <v>614.13</v>
      </c>
      <c r="G893" s="7">
        <v>46961</v>
      </c>
      <c r="H893" s="7">
        <f t="shared" si="15"/>
        <v>-9.4768208685458294E-3</v>
      </c>
      <c r="I893" s="7">
        <f>PRODUCT(fact_daily_prices!$F893,fact_daily_prices!$G893)</f>
        <v>28840158.93</v>
      </c>
      <c r="J893" s="7" t="str">
        <f>_xlfn.XLOOKUP(fact_daily_prices!$B893,dim_company[company_id],dim_company[sector_id])</f>
        <v>SEC05</v>
      </c>
      <c r="K893" s="21" t="str">
        <f>_xlfn.XLOOKUP(fact_daily_prices!$J893,dim_sector[sector_id],dim_sector[sector_name])</f>
        <v>Consumer Discretionary</v>
      </c>
      <c r="L893" t="str">
        <v>COMP007-13-06-2025</v>
      </c>
      <c r="M893" t="str">
        <f>_xlfn.CONCAT(A892," ",B892)</f>
        <v>45820 COMP007</v>
      </c>
    </row>
    <row r="894" spans="1:13" x14ac:dyDescent="0.3">
      <c r="A894" s="17">
        <v>45824</v>
      </c>
      <c r="B894" s="18" t="s">
        <v>29</v>
      </c>
      <c r="C894" s="18">
        <v>616.98</v>
      </c>
      <c r="D894" s="18">
        <v>620.16</v>
      </c>
      <c r="E894" s="18">
        <v>613.79999999999995</v>
      </c>
      <c r="F894" s="18">
        <v>619.23</v>
      </c>
      <c r="G894" s="18">
        <v>20539</v>
      </c>
      <c r="H894" s="18">
        <f t="shared" si="15"/>
        <v>8.2360350758200057E-3</v>
      </c>
      <c r="I894" s="18">
        <f>PRODUCT(fact_daily_prices!$F894,fact_daily_prices!$G894)</f>
        <v>12718364.970000001</v>
      </c>
      <c r="J894" s="18" t="str">
        <f>_xlfn.XLOOKUP(fact_daily_prices!$B894,dim_company[company_id],dim_company[sector_id])</f>
        <v>SEC05</v>
      </c>
      <c r="K894" s="19" t="str">
        <f>_xlfn.XLOOKUP(fact_daily_prices!$J894,dim_sector[sector_id],dim_sector[sector_name])</f>
        <v>Consumer Discretionary</v>
      </c>
      <c r="L894" t="str">
        <v>COMP007-16-06-2025</v>
      </c>
      <c r="M894" t="str">
        <f>_xlfn.CONCAT(A893," ",B893)</f>
        <v>45821 COMP007</v>
      </c>
    </row>
    <row r="895" spans="1:13" x14ac:dyDescent="0.3">
      <c r="A895" s="20">
        <v>45825</v>
      </c>
      <c r="B895" s="7" t="s">
        <v>29</v>
      </c>
      <c r="C895" s="7">
        <v>618.47</v>
      </c>
      <c r="D895" s="7">
        <v>629.16</v>
      </c>
      <c r="E895" s="7">
        <v>607.78</v>
      </c>
      <c r="F895" s="7">
        <v>617.15</v>
      </c>
      <c r="G895" s="7">
        <v>15119</v>
      </c>
      <c r="H895" s="7">
        <f t="shared" si="15"/>
        <v>-3.3703313619056E-3</v>
      </c>
      <c r="I895" s="7">
        <f>PRODUCT(fact_daily_prices!$F895,fact_daily_prices!$G895)</f>
        <v>9330690.8499999996</v>
      </c>
      <c r="J895" s="7" t="str">
        <f>_xlfn.XLOOKUP(fact_daily_prices!$B895,dim_company[company_id],dim_company[sector_id])</f>
        <v>SEC05</v>
      </c>
      <c r="K895" s="21" t="str">
        <f>_xlfn.XLOOKUP(fact_daily_prices!$J895,dim_sector[sector_id],dim_sector[sector_name])</f>
        <v>Consumer Discretionary</v>
      </c>
      <c r="L895" t="str">
        <v>COMP007-17-06-2025</v>
      </c>
      <c r="M895" t="str">
        <f>_xlfn.CONCAT(A894," ",B894)</f>
        <v>45824 COMP007</v>
      </c>
    </row>
    <row r="896" spans="1:13" x14ac:dyDescent="0.3">
      <c r="A896" s="17">
        <v>45826</v>
      </c>
      <c r="B896" s="18" t="s">
        <v>29</v>
      </c>
      <c r="C896" s="18">
        <v>620.35</v>
      </c>
      <c r="D896" s="18">
        <v>621.12</v>
      </c>
      <c r="E896" s="18">
        <v>619.59</v>
      </c>
      <c r="F896" s="18">
        <v>619.70000000000005</v>
      </c>
      <c r="G896" s="18">
        <v>35710</v>
      </c>
      <c r="H896" s="18">
        <f t="shared" si="15"/>
        <v>4.1148943036954464E-3</v>
      </c>
      <c r="I896" s="18">
        <f>PRODUCT(fact_daily_prices!$F896,fact_daily_prices!$G896)</f>
        <v>22129487</v>
      </c>
      <c r="J896" s="18" t="str">
        <f>_xlfn.XLOOKUP(fact_daily_prices!$B896,dim_company[company_id],dim_company[sector_id])</f>
        <v>SEC05</v>
      </c>
      <c r="K896" s="19" t="str">
        <f>_xlfn.XLOOKUP(fact_daily_prices!$J896,dim_sector[sector_id],dim_sector[sector_name])</f>
        <v>Consumer Discretionary</v>
      </c>
      <c r="L896" t="str">
        <v>COMP007-18-06-2025</v>
      </c>
      <c r="M896" t="str">
        <f>_xlfn.CONCAT(A895," ",B895)</f>
        <v>45825 COMP007</v>
      </c>
    </row>
    <row r="897" spans="1:13" x14ac:dyDescent="0.3">
      <c r="A897" s="20">
        <v>45827</v>
      </c>
      <c r="B897" s="7" t="s">
        <v>29</v>
      </c>
      <c r="C897" s="7">
        <v>606.08000000000004</v>
      </c>
      <c r="D897" s="7">
        <v>612.86</v>
      </c>
      <c r="E897" s="7">
        <v>599.29</v>
      </c>
      <c r="F897" s="7">
        <v>603.23</v>
      </c>
      <c r="G897" s="7">
        <v>26479</v>
      </c>
      <c r="H897" s="7">
        <f t="shared" si="15"/>
        <v>-2.7303018749067563E-2</v>
      </c>
      <c r="I897" s="7">
        <f>PRODUCT(fact_daily_prices!$F897,fact_daily_prices!$G897)</f>
        <v>15972927.17</v>
      </c>
      <c r="J897" s="7" t="str">
        <f>_xlfn.XLOOKUP(fact_daily_prices!$B897,dim_company[company_id],dim_company[sector_id])</f>
        <v>SEC05</v>
      </c>
      <c r="K897" s="21" t="str">
        <f>_xlfn.XLOOKUP(fact_daily_prices!$J897,dim_sector[sector_id],dim_sector[sector_name])</f>
        <v>Consumer Discretionary</v>
      </c>
      <c r="L897" t="str">
        <v>COMP007-19-06-2025</v>
      </c>
      <c r="M897" t="str">
        <f>_xlfn.CONCAT(A896," ",B896)</f>
        <v>45826 COMP007</v>
      </c>
    </row>
    <row r="898" spans="1:13" x14ac:dyDescent="0.3">
      <c r="A898" s="17">
        <v>45828</v>
      </c>
      <c r="B898" s="18" t="s">
        <v>29</v>
      </c>
      <c r="C898" s="18">
        <v>606.75</v>
      </c>
      <c r="D898" s="18">
        <v>608.20000000000005</v>
      </c>
      <c r="E898" s="18">
        <v>605.29</v>
      </c>
      <c r="F898" s="18">
        <v>605.54</v>
      </c>
      <c r="G898" s="18">
        <v>18033</v>
      </c>
      <c r="H898" s="18">
        <f t="shared" si="15"/>
        <v>3.8147768933512989E-3</v>
      </c>
      <c r="I898" s="18">
        <f>PRODUCT(fact_daily_prices!$F898,fact_daily_prices!$G898)</f>
        <v>10919702.819999998</v>
      </c>
      <c r="J898" s="18" t="str">
        <f>_xlfn.XLOOKUP(fact_daily_prices!$B898,dim_company[company_id],dim_company[sector_id])</f>
        <v>SEC05</v>
      </c>
      <c r="K898" s="19" t="str">
        <f>_xlfn.XLOOKUP(fact_daily_prices!$J898,dim_sector[sector_id],dim_sector[sector_name])</f>
        <v>Consumer Discretionary</v>
      </c>
      <c r="L898" t="str">
        <v>COMP007-20-06-2025</v>
      </c>
      <c r="M898" t="str">
        <f>_xlfn.CONCAT(A897," ",B897)</f>
        <v>45827 COMP007</v>
      </c>
    </row>
    <row r="899" spans="1:13" x14ac:dyDescent="0.3">
      <c r="A899" s="20">
        <v>45831</v>
      </c>
      <c r="B899" s="7" t="s">
        <v>29</v>
      </c>
      <c r="C899" s="7">
        <v>606.75</v>
      </c>
      <c r="D899" s="7">
        <v>610.46</v>
      </c>
      <c r="E899" s="7">
        <v>603.03</v>
      </c>
      <c r="F899" s="7">
        <v>607.35</v>
      </c>
      <c r="G899" s="7">
        <v>18420</v>
      </c>
      <c r="H899" s="7">
        <f t="shared" si="15"/>
        <v>2.9801597102166117E-3</v>
      </c>
      <c r="I899" s="7">
        <f>PRODUCT(fact_daily_prices!$F899,fact_daily_prices!$G899)</f>
        <v>11187387</v>
      </c>
      <c r="J899" s="7" t="str">
        <f>_xlfn.XLOOKUP(fact_daily_prices!$B899,dim_company[company_id],dim_company[sector_id])</f>
        <v>SEC05</v>
      </c>
      <c r="K899" s="21" t="str">
        <f>_xlfn.XLOOKUP(fact_daily_prices!$J899,dim_sector[sector_id],dim_sector[sector_name])</f>
        <v>Consumer Discretionary</v>
      </c>
      <c r="L899" t="str">
        <v>COMP007-23-06-2025</v>
      </c>
      <c r="M899" t="str">
        <f>_xlfn.CONCAT(A898," ",B898)</f>
        <v>45828 COMP007</v>
      </c>
    </row>
    <row r="900" spans="1:13" x14ac:dyDescent="0.3">
      <c r="A900" s="17">
        <v>45832</v>
      </c>
      <c r="B900" s="18" t="s">
        <v>29</v>
      </c>
      <c r="C900" s="18">
        <v>602.71</v>
      </c>
      <c r="D900" s="18">
        <v>604.36</v>
      </c>
      <c r="E900" s="18">
        <v>601.05999999999995</v>
      </c>
      <c r="F900" s="18">
        <v>603.6</v>
      </c>
      <c r="G900" s="18">
        <v>12349</v>
      </c>
      <c r="H900" s="18">
        <f t="shared" ref="H900:H963" si="16">(F900-F899)/F900</f>
        <v>-6.2127236580516894E-3</v>
      </c>
      <c r="I900" s="18">
        <f>PRODUCT(fact_daily_prices!$F900,fact_daily_prices!$G900)</f>
        <v>7453856.4000000004</v>
      </c>
      <c r="J900" s="18" t="str">
        <f>_xlfn.XLOOKUP(fact_daily_prices!$B900,dim_company[company_id],dim_company[sector_id])</f>
        <v>SEC05</v>
      </c>
      <c r="K900" s="19" t="str">
        <f>_xlfn.XLOOKUP(fact_daily_prices!$J900,dim_sector[sector_id],dim_sector[sector_name])</f>
        <v>Consumer Discretionary</v>
      </c>
      <c r="L900" t="str">
        <v>COMP007-24-06-2025</v>
      </c>
      <c r="M900" t="str">
        <f>_xlfn.CONCAT(A899," ",B899)</f>
        <v>45831 COMP007</v>
      </c>
    </row>
    <row r="901" spans="1:13" x14ac:dyDescent="0.3">
      <c r="A901" s="20">
        <v>45833</v>
      </c>
      <c r="B901" s="7" t="s">
        <v>29</v>
      </c>
      <c r="C901" s="7">
        <v>588.89</v>
      </c>
      <c r="D901" s="7">
        <v>598.74</v>
      </c>
      <c r="E901" s="7">
        <v>579.04</v>
      </c>
      <c r="F901" s="7">
        <v>588.16999999999996</v>
      </c>
      <c r="G901" s="7">
        <v>13453</v>
      </c>
      <c r="H901" s="7">
        <f t="shared" si="16"/>
        <v>-2.623391196422814E-2</v>
      </c>
      <c r="I901" s="7">
        <f>PRODUCT(fact_daily_prices!$F901,fact_daily_prices!$G901)</f>
        <v>7912651.0099999998</v>
      </c>
      <c r="J901" s="7" t="str">
        <f>_xlfn.XLOOKUP(fact_daily_prices!$B901,dim_company[company_id],dim_company[sector_id])</f>
        <v>SEC05</v>
      </c>
      <c r="K901" s="21" t="str">
        <f>_xlfn.XLOOKUP(fact_daily_prices!$J901,dim_sector[sector_id],dim_sector[sector_name])</f>
        <v>Consumer Discretionary</v>
      </c>
      <c r="L901" t="str">
        <v>COMP007-25-06-2025</v>
      </c>
      <c r="M901" t="str">
        <f>_xlfn.CONCAT(A900," ",B900)</f>
        <v>45832 COMP007</v>
      </c>
    </row>
    <row r="902" spans="1:13" x14ac:dyDescent="0.3">
      <c r="A902" s="17">
        <v>45834</v>
      </c>
      <c r="B902" s="18" t="s">
        <v>29</v>
      </c>
      <c r="C902" s="18">
        <v>590.9</v>
      </c>
      <c r="D902" s="18">
        <v>596.89</v>
      </c>
      <c r="E902" s="18">
        <v>584.91999999999996</v>
      </c>
      <c r="F902" s="18">
        <v>586.74</v>
      </c>
      <c r="G902" s="18">
        <v>16830</v>
      </c>
      <c r="H902" s="18">
        <f t="shared" si="16"/>
        <v>-2.437195350581092E-3</v>
      </c>
      <c r="I902" s="18">
        <f>PRODUCT(fact_daily_prices!$F902,fact_daily_prices!$G902)</f>
        <v>9874834.1999999993</v>
      </c>
      <c r="J902" s="18" t="str">
        <f>_xlfn.XLOOKUP(fact_daily_prices!$B902,dim_company[company_id],dim_company[sector_id])</f>
        <v>SEC05</v>
      </c>
      <c r="K902" s="19" t="str">
        <f>_xlfn.XLOOKUP(fact_daily_prices!$J902,dim_sector[sector_id],dim_sector[sector_name])</f>
        <v>Consumer Discretionary</v>
      </c>
      <c r="L902" t="str">
        <v>COMP007-26-06-2025</v>
      </c>
      <c r="M902" t="str">
        <f>_xlfn.CONCAT(A901," ",B901)</f>
        <v>45833 COMP007</v>
      </c>
    </row>
    <row r="903" spans="1:13" x14ac:dyDescent="0.3">
      <c r="A903" s="20">
        <v>45835</v>
      </c>
      <c r="B903" s="7" t="s">
        <v>29</v>
      </c>
      <c r="C903" s="7">
        <v>582.32000000000005</v>
      </c>
      <c r="D903" s="7">
        <v>587.76</v>
      </c>
      <c r="E903" s="7">
        <v>576.87</v>
      </c>
      <c r="F903" s="7">
        <v>586.6</v>
      </c>
      <c r="G903" s="7">
        <v>46066</v>
      </c>
      <c r="H903" s="7">
        <f t="shared" si="16"/>
        <v>-2.3866348448685023E-4</v>
      </c>
      <c r="I903" s="7">
        <f>PRODUCT(fact_daily_prices!$F903,fact_daily_prices!$G903)</f>
        <v>27022315.600000001</v>
      </c>
      <c r="J903" s="7" t="str">
        <f>_xlfn.XLOOKUP(fact_daily_prices!$B903,dim_company[company_id],dim_company[sector_id])</f>
        <v>SEC05</v>
      </c>
      <c r="K903" s="21" t="str">
        <f>_xlfn.XLOOKUP(fact_daily_prices!$J903,dim_sector[sector_id],dim_sector[sector_name])</f>
        <v>Consumer Discretionary</v>
      </c>
      <c r="L903" t="str">
        <v>COMP007-27-06-2025</v>
      </c>
      <c r="M903" t="str">
        <f>_xlfn.CONCAT(A902," ",B902)</f>
        <v>45834 COMP007</v>
      </c>
    </row>
    <row r="904" spans="1:13" x14ac:dyDescent="0.3">
      <c r="A904" s="17">
        <v>45838</v>
      </c>
      <c r="B904" s="18" t="s">
        <v>29</v>
      </c>
      <c r="C904" s="18">
        <v>582.63</v>
      </c>
      <c r="D904" s="18">
        <v>590.62</v>
      </c>
      <c r="E904" s="18">
        <v>574.65</v>
      </c>
      <c r="F904" s="18">
        <v>584.03</v>
      </c>
      <c r="G904" s="18">
        <v>11692</v>
      </c>
      <c r="H904" s="18">
        <f t="shared" si="16"/>
        <v>-4.4004588805370446E-3</v>
      </c>
      <c r="I904" s="18">
        <f>PRODUCT(fact_daily_prices!$F904,fact_daily_prices!$G904)</f>
        <v>6828478.7599999998</v>
      </c>
      <c r="J904" s="18" t="str">
        <f>_xlfn.XLOOKUP(fact_daily_prices!$B904,dim_company[company_id],dim_company[sector_id])</f>
        <v>SEC05</v>
      </c>
      <c r="K904" s="19" t="str">
        <f>_xlfn.XLOOKUP(fact_daily_prices!$J904,dim_sector[sector_id],dim_sector[sector_name])</f>
        <v>Consumer Discretionary</v>
      </c>
      <c r="L904" t="str">
        <v>COMP007-30-06-2025</v>
      </c>
      <c r="M904" t="str">
        <f>_xlfn.CONCAT(A903," ",B903)</f>
        <v>45835 COMP007</v>
      </c>
    </row>
    <row r="905" spans="1:13" x14ac:dyDescent="0.3">
      <c r="A905" s="20">
        <v>45658</v>
      </c>
      <c r="B905" s="7" t="s">
        <v>33</v>
      </c>
      <c r="C905" s="7">
        <v>991.39</v>
      </c>
      <c r="D905" s="7">
        <v>1001.97</v>
      </c>
      <c r="E905" s="7">
        <v>980.81</v>
      </c>
      <c r="F905" s="7">
        <v>986.3</v>
      </c>
      <c r="G905" s="7">
        <v>25423</v>
      </c>
      <c r="H905" s="7">
        <v>0</v>
      </c>
      <c r="I905" s="7">
        <f>PRODUCT(fact_daily_prices!$F905,fact_daily_prices!$G905)</f>
        <v>25074704.899999999</v>
      </c>
      <c r="J905" s="7" t="str">
        <f>_xlfn.XLOOKUP(fact_daily_prices!$B905,dim_company[company_id],dim_company[sector_id])</f>
        <v>SEC03</v>
      </c>
      <c r="K905" s="21" t="str">
        <f>_xlfn.XLOOKUP(fact_daily_prices!$J905,dim_sector[sector_id],dim_sector[sector_name])</f>
        <v>Healthcare</v>
      </c>
      <c r="L905" t="str">
        <v>COMP008-01-01-2025</v>
      </c>
      <c r="M905" t="str">
        <f>_xlfn.CONCAT(A904," ",B904)</f>
        <v>45838 COMP007</v>
      </c>
    </row>
    <row r="906" spans="1:13" x14ac:dyDescent="0.3">
      <c r="A906" s="17">
        <v>45659</v>
      </c>
      <c r="B906" s="18" t="s">
        <v>33</v>
      </c>
      <c r="C906" s="18">
        <v>972.56</v>
      </c>
      <c r="D906" s="18">
        <v>983.93</v>
      </c>
      <c r="E906" s="18">
        <v>961.19</v>
      </c>
      <c r="F906" s="18">
        <v>977.8</v>
      </c>
      <c r="G906" s="18">
        <v>2961</v>
      </c>
      <c r="H906" s="18">
        <f t="shared" si="16"/>
        <v>-8.692984250357947E-3</v>
      </c>
      <c r="I906" s="18">
        <f>PRODUCT(fact_daily_prices!$F906,fact_daily_prices!$G906)</f>
        <v>2895265.8</v>
      </c>
      <c r="J906" s="18" t="str">
        <f>_xlfn.XLOOKUP(fact_daily_prices!$B906,dim_company[company_id],dim_company[sector_id])</f>
        <v>SEC03</v>
      </c>
      <c r="K906" s="19" t="str">
        <f>_xlfn.XLOOKUP(fact_daily_prices!$J906,dim_sector[sector_id],dim_sector[sector_name])</f>
        <v>Healthcare</v>
      </c>
      <c r="L906" t="str">
        <v>COMP008-02-01-2025</v>
      </c>
      <c r="M906" t="str">
        <f>_xlfn.CONCAT(A905," ",B905)</f>
        <v>45658 COMP008</v>
      </c>
    </row>
    <row r="907" spans="1:13" x14ac:dyDescent="0.3">
      <c r="A907" s="20">
        <v>45660</v>
      </c>
      <c r="B907" s="7" t="s">
        <v>33</v>
      </c>
      <c r="C907" s="7">
        <v>985.67</v>
      </c>
      <c r="D907" s="7">
        <v>997.34</v>
      </c>
      <c r="E907" s="7">
        <v>974</v>
      </c>
      <c r="F907" s="7">
        <v>990.54</v>
      </c>
      <c r="G907" s="7">
        <v>14255</v>
      </c>
      <c r="H907" s="7">
        <f t="shared" si="16"/>
        <v>1.2861671411553303E-2</v>
      </c>
      <c r="I907" s="7">
        <f>PRODUCT(fact_daily_prices!$F907,fact_daily_prices!$G907)</f>
        <v>14120147.699999999</v>
      </c>
      <c r="J907" s="7" t="str">
        <f>_xlfn.XLOOKUP(fact_daily_prices!$B907,dim_company[company_id],dim_company[sector_id])</f>
        <v>SEC03</v>
      </c>
      <c r="K907" s="21" t="str">
        <f>_xlfn.XLOOKUP(fact_daily_prices!$J907,dim_sector[sector_id],dim_sector[sector_name])</f>
        <v>Healthcare</v>
      </c>
      <c r="L907" t="str">
        <v>COMP008-03-01-2025</v>
      </c>
      <c r="M907" t="str">
        <f>_xlfn.CONCAT(A906," ",B906)</f>
        <v>45659 COMP008</v>
      </c>
    </row>
    <row r="908" spans="1:13" x14ac:dyDescent="0.3">
      <c r="A908" s="17">
        <v>45663</v>
      </c>
      <c r="B908" s="18" t="s">
        <v>33</v>
      </c>
      <c r="C908" s="18">
        <v>997.05</v>
      </c>
      <c r="D908" s="18">
        <v>1010.86</v>
      </c>
      <c r="E908" s="18">
        <v>983.24</v>
      </c>
      <c r="F908" s="18">
        <v>992.23</v>
      </c>
      <c r="G908" s="18">
        <v>21389</v>
      </c>
      <c r="H908" s="18">
        <f t="shared" si="16"/>
        <v>1.7032341291838128E-3</v>
      </c>
      <c r="I908" s="18">
        <f>PRODUCT(fact_daily_prices!$F908,fact_daily_prices!$G908)</f>
        <v>21222807.469999999</v>
      </c>
      <c r="J908" s="18" t="str">
        <f>_xlfn.XLOOKUP(fact_daily_prices!$B908,dim_company[company_id],dim_company[sector_id])</f>
        <v>SEC03</v>
      </c>
      <c r="K908" s="19" t="str">
        <f>_xlfn.XLOOKUP(fact_daily_prices!$J908,dim_sector[sector_id],dim_sector[sector_name])</f>
        <v>Healthcare</v>
      </c>
      <c r="L908" t="str">
        <v>COMP008-06-01-2025</v>
      </c>
      <c r="M908" t="str">
        <f>_xlfn.CONCAT(A907," ",B907)</f>
        <v>45660 COMP008</v>
      </c>
    </row>
    <row r="909" spans="1:13" x14ac:dyDescent="0.3">
      <c r="A909" s="20">
        <v>45664</v>
      </c>
      <c r="B909" s="7" t="s">
        <v>33</v>
      </c>
      <c r="C909" s="7">
        <v>990.9</v>
      </c>
      <c r="D909" s="7">
        <v>992.43</v>
      </c>
      <c r="E909" s="7">
        <v>989.37</v>
      </c>
      <c r="F909" s="7">
        <v>991.2</v>
      </c>
      <c r="G909" s="7">
        <v>44919</v>
      </c>
      <c r="H909" s="7">
        <f t="shared" si="16"/>
        <v>-1.0391444713478337E-3</v>
      </c>
      <c r="I909" s="7">
        <f>PRODUCT(fact_daily_prices!$F909,fact_daily_prices!$G909)</f>
        <v>44523712.800000004</v>
      </c>
      <c r="J909" s="7" t="str">
        <f>_xlfn.XLOOKUP(fact_daily_prices!$B909,dim_company[company_id],dim_company[sector_id])</f>
        <v>SEC03</v>
      </c>
      <c r="K909" s="21" t="str">
        <f>_xlfn.XLOOKUP(fact_daily_prices!$J909,dim_sector[sector_id],dim_sector[sector_name])</f>
        <v>Healthcare</v>
      </c>
      <c r="L909" t="str">
        <v>COMP008-07-01-2025</v>
      </c>
      <c r="M909" t="str">
        <f>_xlfn.CONCAT(A908," ",B908)</f>
        <v>45663 COMP008</v>
      </c>
    </row>
    <row r="910" spans="1:13" x14ac:dyDescent="0.3">
      <c r="A910" s="17">
        <v>45665</v>
      </c>
      <c r="B910" s="18" t="s">
        <v>33</v>
      </c>
      <c r="C910" s="18">
        <v>999.71</v>
      </c>
      <c r="D910" s="18">
        <v>1009.49</v>
      </c>
      <c r="E910" s="18">
        <v>989.92</v>
      </c>
      <c r="F910" s="18">
        <v>995.36</v>
      </c>
      <c r="G910" s="18">
        <v>43358</v>
      </c>
      <c r="H910" s="18">
        <f t="shared" si="16"/>
        <v>4.1793923806461662E-3</v>
      </c>
      <c r="I910" s="18">
        <f>PRODUCT(fact_daily_prices!$F910,fact_daily_prices!$G910)</f>
        <v>43156818.880000003</v>
      </c>
      <c r="J910" s="18" t="str">
        <f>_xlfn.XLOOKUP(fact_daily_prices!$B910,dim_company[company_id],dim_company[sector_id])</f>
        <v>SEC03</v>
      </c>
      <c r="K910" s="19" t="str">
        <f>_xlfn.XLOOKUP(fact_daily_prices!$J910,dim_sector[sector_id],dim_sector[sector_name])</f>
        <v>Healthcare</v>
      </c>
      <c r="L910" t="str">
        <v>COMP008-08-01-2025</v>
      </c>
      <c r="M910" t="str">
        <f>_xlfn.CONCAT(A909," ",B909)</f>
        <v>45664 COMP008</v>
      </c>
    </row>
    <row r="911" spans="1:13" x14ac:dyDescent="0.3">
      <c r="A911" s="20">
        <v>45666</v>
      </c>
      <c r="B911" s="7" t="s">
        <v>33</v>
      </c>
      <c r="C911" s="7">
        <v>1000.31</v>
      </c>
      <c r="D911" s="7">
        <v>1014.39</v>
      </c>
      <c r="E911" s="7">
        <v>986.23</v>
      </c>
      <c r="F911" s="7">
        <v>995.12</v>
      </c>
      <c r="G911" s="7">
        <v>32521</v>
      </c>
      <c r="H911" s="7">
        <f t="shared" si="16"/>
        <v>-2.4117694348421204E-4</v>
      </c>
      <c r="I911" s="7">
        <f>PRODUCT(fact_daily_prices!$F911,fact_daily_prices!$G911)</f>
        <v>32362297.52</v>
      </c>
      <c r="J911" s="7" t="str">
        <f>_xlfn.XLOOKUP(fact_daily_prices!$B911,dim_company[company_id],dim_company[sector_id])</f>
        <v>SEC03</v>
      </c>
      <c r="K911" s="21" t="str">
        <f>_xlfn.XLOOKUP(fact_daily_prices!$J911,dim_sector[sector_id],dim_sector[sector_name])</f>
        <v>Healthcare</v>
      </c>
      <c r="L911" t="str">
        <v>COMP008-09-01-2025</v>
      </c>
      <c r="M911" t="str">
        <f>_xlfn.CONCAT(A910," ",B910)</f>
        <v>45665 COMP008</v>
      </c>
    </row>
    <row r="912" spans="1:13" x14ac:dyDescent="0.3">
      <c r="A912" s="17">
        <v>45667</v>
      </c>
      <c r="B912" s="18" t="s">
        <v>33</v>
      </c>
      <c r="C912" s="18">
        <v>1016.8</v>
      </c>
      <c r="D912" s="18">
        <v>1018.78</v>
      </c>
      <c r="E912" s="18">
        <v>1014.83</v>
      </c>
      <c r="F912" s="18">
        <v>1014.93</v>
      </c>
      <c r="G912" s="18">
        <v>32349</v>
      </c>
      <c r="H912" s="18">
        <f t="shared" si="16"/>
        <v>1.9518587488792278E-2</v>
      </c>
      <c r="I912" s="18">
        <f>PRODUCT(fact_daily_prices!$F912,fact_daily_prices!$G912)</f>
        <v>32831970.569999997</v>
      </c>
      <c r="J912" s="18" t="str">
        <f>_xlfn.XLOOKUP(fact_daily_prices!$B912,dim_company[company_id],dim_company[sector_id])</f>
        <v>SEC03</v>
      </c>
      <c r="K912" s="19" t="str">
        <f>_xlfn.XLOOKUP(fact_daily_prices!$J912,dim_sector[sector_id],dim_sector[sector_name])</f>
        <v>Healthcare</v>
      </c>
      <c r="L912" t="str">
        <v>COMP008-10-01-2025</v>
      </c>
      <c r="M912" t="str">
        <f>_xlfn.CONCAT(A911," ",B911)</f>
        <v>45666 COMP008</v>
      </c>
    </row>
    <row r="913" spans="1:13" x14ac:dyDescent="0.3">
      <c r="A913" s="20">
        <v>45670</v>
      </c>
      <c r="B913" s="7" t="s">
        <v>33</v>
      </c>
      <c r="C913" s="7">
        <v>1004.74</v>
      </c>
      <c r="D913" s="7">
        <v>1018.95</v>
      </c>
      <c r="E913" s="7">
        <v>990.53</v>
      </c>
      <c r="F913" s="7">
        <v>1005.64</v>
      </c>
      <c r="G913" s="7">
        <v>33703</v>
      </c>
      <c r="H913" s="7">
        <f t="shared" si="16"/>
        <v>-9.2378982538482597E-3</v>
      </c>
      <c r="I913" s="7">
        <f>PRODUCT(fact_daily_prices!$F913,fact_daily_prices!$G913)</f>
        <v>33893084.920000002</v>
      </c>
      <c r="J913" s="7" t="str">
        <f>_xlfn.XLOOKUP(fact_daily_prices!$B913,dim_company[company_id],dim_company[sector_id])</f>
        <v>SEC03</v>
      </c>
      <c r="K913" s="21" t="str">
        <f>_xlfn.XLOOKUP(fact_daily_prices!$J913,dim_sector[sector_id],dim_sector[sector_name])</f>
        <v>Healthcare</v>
      </c>
      <c r="L913" t="str">
        <v>COMP008-13-01-2025</v>
      </c>
      <c r="M913" t="str">
        <f>_xlfn.CONCAT(A912," ",B912)</f>
        <v>45667 COMP008</v>
      </c>
    </row>
    <row r="914" spans="1:13" x14ac:dyDescent="0.3">
      <c r="A914" s="17">
        <v>45671</v>
      </c>
      <c r="B914" s="18" t="s">
        <v>33</v>
      </c>
      <c r="C914" s="18">
        <v>995.94</v>
      </c>
      <c r="D914" s="18">
        <v>1000.42</v>
      </c>
      <c r="E914" s="18">
        <v>991.46</v>
      </c>
      <c r="F914" s="18">
        <v>994.99</v>
      </c>
      <c r="G914" s="18">
        <v>5247</v>
      </c>
      <c r="H914" s="18">
        <f t="shared" si="16"/>
        <v>-1.0703625162061907E-2</v>
      </c>
      <c r="I914" s="18">
        <f>PRODUCT(fact_daily_prices!$F914,fact_daily_prices!$G914)</f>
        <v>5220712.53</v>
      </c>
      <c r="J914" s="18" t="str">
        <f>_xlfn.XLOOKUP(fact_daily_prices!$B914,dim_company[company_id],dim_company[sector_id])</f>
        <v>SEC03</v>
      </c>
      <c r="K914" s="19" t="str">
        <f>_xlfn.XLOOKUP(fact_daily_prices!$J914,dim_sector[sector_id],dim_sector[sector_name])</f>
        <v>Healthcare</v>
      </c>
      <c r="L914" t="str">
        <v>COMP008-14-01-2025</v>
      </c>
      <c r="M914" t="str">
        <f>_xlfn.CONCAT(A913," ",B913)</f>
        <v>45670 COMP008</v>
      </c>
    </row>
    <row r="915" spans="1:13" x14ac:dyDescent="0.3">
      <c r="A915" s="20">
        <v>45672</v>
      </c>
      <c r="B915" s="7" t="s">
        <v>33</v>
      </c>
      <c r="C915" s="7">
        <v>978.62</v>
      </c>
      <c r="D915" s="7">
        <v>994.02</v>
      </c>
      <c r="E915" s="7">
        <v>963.22</v>
      </c>
      <c r="F915" s="7">
        <v>978.03</v>
      </c>
      <c r="G915" s="7">
        <v>11703</v>
      </c>
      <c r="H915" s="7">
        <f t="shared" si="16"/>
        <v>-1.7340981360490001E-2</v>
      </c>
      <c r="I915" s="7">
        <f>PRODUCT(fact_daily_prices!$F915,fact_daily_prices!$G915)</f>
        <v>11445885.09</v>
      </c>
      <c r="J915" s="7" t="str">
        <f>_xlfn.XLOOKUP(fact_daily_prices!$B915,dim_company[company_id],dim_company[sector_id])</f>
        <v>SEC03</v>
      </c>
      <c r="K915" s="21" t="str">
        <f>_xlfn.XLOOKUP(fact_daily_prices!$J915,dim_sector[sector_id],dim_sector[sector_name])</f>
        <v>Healthcare</v>
      </c>
      <c r="L915" t="str">
        <v>COMP008-15-01-2025</v>
      </c>
      <c r="M915" t="str">
        <f>_xlfn.CONCAT(A914," ",B914)</f>
        <v>45671 COMP008</v>
      </c>
    </row>
    <row r="916" spans="1:13" x14ac:dyDescent="0.3">
      <c r="A916" s="17">
        <v>45673</v>
      </c>
      <c r="B916" s="18" t="s">
        <v>33</v>
      </c>
      <c r="C916" s="18">
        <v>974.75</v>
      </c>
      <c r="D916" s="18">
        <v>986.87</v>
      </c>
      <c r="E916" s="18">
        <v>962.64</v>
      </c>
      <c r="F916" s="18">
        <v>971.63</v>
      </c>
      <c r="G916" s="18">
        <v>13392</v>
      </c>
      <c r="H916" s="18">
        <f t="shared" si="16"/>
        <v>-6.5868694873562747E-3</v>
      </c>
      <c r="I916" s="18">
        <f>PRODUCT(fact_daily_prices!$F916,fact_daily_prices!$G916)</f>
        <v>13012068.959999999</v>
      </c>
      <c r="J916" s="18" t="str">
        <f>_xlfn.XLOOKUP(fact_daily_prices!$B916,dim_company[company_id],dim_company[sector_id])</f>
        <v>SEC03</v>
      </c>
      <c r="K916" s="19" t="str">
        <f>_xlfn.XLOOKUP(fact_daily_prices!$J916,dim_sector[sector_id],dim_sector[sector_name])</f>
        <v>Healthcare</v>
      </c>
      <c r="L916" t="str">
        <v>COMP008-16-01-2025</v>
      </c>
      <c r="M916" t="str">
        <f>_xlfn.CONCAT(A915," ",B915)</f>
        <v>45672 COMP008</v>
      </c>
    </row>
    <row r="917" spans="1:13" x14ac:dyDescent="0.3">
      <c r="A917" s="20">
        <v>45674</v>
      </c>
      <c r="B917" s="7" t="s">
        <v>33</v>
      </c>
      <c r="C917" s="7">
        <v>961</v>
      </c>
      <c r="D917" s="7">
        <v>971.3</v>
      </c>
      <c r="E917" s="7">
        <v>950.7</v>
      </c>
      <c r="F917" s="7">
        <v>958.58</v>
      </c>
      <c r="G917" s="7">
        <v>7305</v>
      </c>
      <c r="H917" s="7">
        <f t="shared" si="16"/>
        <v>-1.3613887208162026E-2</v>
      </c>
      <c r="I917" s="7">
        <f>PRODUCT(fact_daily_prices!$F917,fact_daily_prices!$G917)</f>
        <v>7002426.9000000004</v>
      </c>
      <c r="J917" s="7" t="str">
        <f>_xlfn.XLOOKUP(fact_daily_prices!$B917,dim_company[company_id],dim_company[sector_id])</f>
        <v>SEC03</v>
      </c>
      <c r="K917" s="21" t="str">
        <f>_xlfn.XLOOKUP(fact_daily_prices!$J917,dim_sector[sector_id],dim_sector[sector_name])</f>
        <v>Healthcare</v>
      </c>
      <c r="L917" t="str">
        <v>COMP008-17-01-2025</v>
      </c>
      <c r="M917" t="str">
        <f>_xlfn.CONCAT(A916," ",B916)</f>
        <v>45673 COMP008</v>
      </c>
    </row>
    <row r="918" spans="1:13" x14ac:dyDescent="0.3">
      <c r="A918" s="17">
        <v>45677</v>
      </c>
      <c r="B918" s="18" t="s">
        <v>33</v>
      </c>
      <c r="C918" s="18">
        <v>966.25</v>
      </c>
      <c r="D918" s="18">
        <v>977.91</v>
      </c>
      <c r="E918" s="18">
        <v>954.59</v>
      </c>
      <c r="F918" s="18">
        <v>961.45</v>
      </c>
      <c r="G918" s="18">
        <v>13427</v>
      </c>
      <c r="H918" s="18">
        <f t="shared" si="16"/>
        <v>2.9850746268656764E-3</v>
      </c>
      <c r="I918" s="18">
        <f>PRODUCT(fact_daily_prices!$F918,fact_daily_prices!$G918)</f>
        <v>12909389.15</v>
      </c>
      <c r="J918" s="18" t="str">
        <f>_xlfn.XLOOKUP(fact_daily_prices!$B918,dim_company[company_id],dim_company[sector_id])</f>
        <v>SEC03</v>
      </c>
      <c r="K918" s="19" t="str">
        <f>_xlfn.XLOOKUP(fact_daily_prices!$J918,dim_sector[sector_id],dim_sector[sector_name])</f>
        <v>Healthcare</v>
      </c>
      <c r="L918" t="str">
        <v>COMP008-20-01-2025</v>
      </c>
      <c r="M918" t="str">
        <f>_xlfn.CONCAT(A917," ",B917)</f>
        <v>45674 COMP008</v>
      </c>
    </row>
    <row r="919" spans="1:13" x14ac:dyDescent="0.3">
      <c r="A919" s="20">
        <v>45678</v>
      </c>
      <c r="B919" s="7" t="s">
        <v>33</v>
      </c>
      <c r="C919" s="7">
        <v>967.65</v>
      </c>
      <c r="D919" s="7">
        <v>979.42</v>
      </c>
      <c r="E919" s="7">
        <v>955.89</v>
      </c>
      <c r="F919" s="7">
        <v>961.93</v>
      </c>
      <c r="G919" s="7">
        <v>3230</v>
      </c>
      <c r="H919" s="7">
        <f t="shared" si="16"/>
        <v>4.9899680849947974E-4</v>
      </c>
      <c r="I919" s="7">
        <f>PRODUCT(fact_daily_prices!$F919,fact_daily_prices!$G919)</f>
        <v>3107033.9</v>
      </c>
      <c r="J919" s="7" t="str">
        <f>_xlfn.XLOOKUP(fact_daily_prices!$B919,dim_company[company_id],dim_company[sector_id])</f>
        <v>SEC03</v>
      </c>
      <c r="K919" s="21" t="str">
        <f>_xlfn.XLOOKUP(fact_daily_prices!$J919,dim_sector[sector_id],dim_sector[sector_name])</f>
        <v>Healthcare</v>
      </c>
      <c r="L919" t="str">
        <v>COMP008-21-01-2025</v>
      </c>
      <c r="M919" t="str">
        <f>_xlfn.CONCAT(A918," ",B918)</f>
        <v>45677 COMP008</v>
      </c>
    </row>
    <row r="920" spans="1:13" x14ac:dyDescent="0.3">
      <c r="A920" s="17">
        <v>45679</v>
      </c>
      <c r="B920" s="18" t="s">
        <v>33</v>
      </c>
      <c r="C920" s="18">
        <v>946</v>
      </c>
      <c r="D920" s="18">
        <v>951.2</v>
      </c>
      <c r="E920" s="18">
        <v>940.81</v>
      </c>
      <c r="F920" s="18">
        <v>949.17</v>
      </c>
      <c r="G920" s="18">
        <v>27177</v>
      </c>
      <c r="H920" s="18">
        <f t="shared" si="16"/>
        <v>-1.3443324167430482E-2</v>
      </c>
      <c r="I920" s="18">
        <f>PRODUCT(fact_daily_prices!$F920,fact_daily_prices!$G920)</f>
        <v>25795593.09</v>
      </c>
      <c r="J920" s="18" t="str">
        <f>_xlfn.XLOOKUP(fact_daily_prices!$B920,dim_company[company_id],dim_company[sector_id])</f>
        <v>SEC03</v>
      </c>
      <c r="K920" s="19" t="str">
        <f>_xlfn.XLOOKUP(fact_daily_prices!$J920,dim_sector[sector_id],dim_sector[sector_name])</f>
        <v>Healthcare</v>
      </c>
      <c r="L920" t="str">
        <v>COMP008-22-01-2025</v>
      </c>
      <c r="M920" t="str">
        <f>_xlfn.CONCAT(A919," ",B919)</f>
        <v>45678 COMP008</v>
      </c>
    </row>
    <row r="921" spans="1:13" x14ac:dyDescent="0.3">
      <c r="A921" s="20">
        <v>45680</v>
      </c>
      <c r="B921" s="7" t="s">
        <v>33</v>
      </c>
      <c r="C921" s="7">
        <v>954.96</v>
      </c>
      <c r="D921" s="7">
        <v>960</v>
      </c>
      <c r="E921" s="7">
        <v>949.92</v>
      </c>
      <c r="F921" s="7">
        <v>956.46</v>
      </c>
      <c r="G921" s="7">
        <v>47040</v>
      </c>
      <c r="H921" s="7">
        <f t="shared" si="16"/>
        <v>7.6218555924974143E-3</v>
      </c>
      <c r="I921" s="7">
        <f>PRODUCT(fact_daily_prices!$F921,fact_daily_prices!$G921)</f>
        <v>44991878.399999999</v>
      </c>
      <c r="J921" s="7" t="str">
        <f>_xlfn.XLOOKUP(fact_daily_prices!$B921,dim_company[company_id],dim_company[sector_id])</f>
        <v>SEC03</v>
      </c>
      <c r="K921" s="21" t="str">
        <f>_xlfn.XLOOKUP(fact_daily_prices!$J921,dim_sector[sector_id],dim_sector[sector_name])</f>
        <v>Healthcare</v>
      </c>
      <c r="L921" t="str">
        <v>COMP008-23-01-2025</v>
      </c>
      <c r="M921" t="str">
        <f>_xlfn.CONCAT(A920," ",B920)</f>
        <v>45679 COMP008</v>
      </c>
    </row>
    <row r="922" spans="1:13" x14ac:dyDescent="0.3">
      <c r="A922" s="17">
        <v>45681</v>
      </c>
      <c r="B922" s="18" t="s">
        <v>33</v>
      </c>
      <c r="C922" s="18">
        <v>975.55</v>
      </c>
      <c r="D922" s="18">
        <v>991.98</v>
      </c>
      <c r="E922" s="18">
        <v>959.11</v>
      </c>
      <c r="F922" s="18">
        <v>975.15</v>
      </c>
      <c r="G922" s="18">
        <v>14780</v>
      </c>
      <c r="H922" s="18">
        <f t="shared" si="16"/>
        <v>1.9166282110444487E-2</v>
      </c>
      <c r="I922" s="18">
        <f>PRODUCT(fact_daily_prices!$F922,fact_daily_prices!$G922)</f>
        <v>14412717</v>
      </c>
      <c r="J922" s="18" t="str">
        <f>_xlfn.XLOOKUP(fact_daily_prices!$B922,dim_company[company_id],dim_company[sector_id])</f>
        <v>SEC03</v>
      </c>
      <c r="K922" s="19" t="str">
        <f>_xlfn.XLOOKUP(fact_daily_prices!$J922,dim_sector[sector_id],dim_sector[sector_name])</f>
        <v>Healthcare</v>
      </c>
      <c r="L922" t="str">
        <v>COMP008-24-01-2025</v>
      </c>
      <c r="M922" t="str">
        <f>_xlfn.CONCAT(A921," ",B921)</f>
        <v>45680 COMP008</v>
      </c>
    </row>
    <row r="923" spans="1:13" x14ac:dyDescent="0.3">
      <c r="A923" s="20">
        <v>45684</v>
      </c>
      <c r="B923" s="7" t="s">
        <v>33</v>
      </c>
      <c r="C923" s="7">
        <v>981.78</v>
      </c>
      <c r="D923" s="7">
        <v>994.19</v>
      </c>
      <c r="E923" s="7">
        <v>969.38</v>
      </c>
      <c r="F923" s="7">
        <v>979.79</v>
      </c>
      <c r="G923" s="7">
        <v>39652</v>
      </c>
      <c r="H923" s="7">
        <f t="shared" si="16"/>
        <v>4.7357086722664924E-3</v>
      </c>
      <c r="I923" s="7">
        <f>PRODUCT(fact_daily_prices!$F923,fact_daily_prices!$G923)</f>
        <v>38850633.079999998</v>
      </c>
      <c r="J923" s="7" t="str">
        <f>_xlfn.XLOOKUP(fact_daily_prices!$B923,dim_company[company_id],dim_company[sector_id])</f>
        <v>SEC03</v>
      </c>
      <c r="K923" s="21" t="str">
        <f>_xlfn.XLOOKUP(fact_daily_prices!$J923,dim_sector[sector_id],dim_sector[sector_name])</f>
        <v>Healthcare</v>
      </c>
      <c r="L923" t="str">
        <v>COMP008-27-01-2025</v>
      </c>
      <c r="M923" t="str">
        <f>_xlfn.CONCAT(A922," ",B922)</f>
        <v>45681 COMP008</v>
      </c>
    </row>
    <row r="924" spans="1:13" x14ac:dyDescent="0.3">
      <c r="A924" s="17">
        <v>45685</v>
      </c>
      <c r="B924" s="18" t="s">
        <v>33</v>
      </c>
      <c r="C924" s="18">
        <v>950.95</v>
      </c>
      <c r="D924" s="18">
        <v>958.47</v>
      </c>
      <c r="E924" s="18">
        <v>943.42</v>
      </c>
      <c r="F924" s="18">
        <v>949.12</v>
      </c>
      <c r="G924" s="18">
        <v>26901</v>
      </c>
      <c r="H924" s="18">
        <f t="shared" si="16"/>
        <v>-3.2314143627781483E-2</v>
      </c>
      <c r="I924" s="18">
        <f>PRODUCT(fact_daily_prices!$F924,fact_daily_prices!$G924)</f>
        <v>25532277.120000001</v>
      </c>
      <c r="J924" s="18" t="str">
        <f>_xlfn.XLOOKUP(fact_daily_prices!$B924,dim_company[company_id],dim_company[sector_id])</f>
        <v>SEC03</v>
      </c>
      <c r="K924" s="19" t="str">
        <f>_xlfn.XLOOKUP(fact_daily_prices!$J924,dim_sector[sector_id],dim_sector[sector_name])</f>
        <v>Healthcare</v>
      </c>
      <c r="L924" t="str">
        <v>COMP008-28-01-2025</v>
      </c>
      <c r="M924" t="str">
        <f>_xlfn.CONCAT(A923," ",B923)</f>
        <v>45684 COMP008</v>
      </c>
    </row>
    <row r="925" spans="1:13" x14ac:dyDescent="0.3">
      <c r="A925" s="20">
        <v>45686</v>
      </c>
      <c r="B925" s="7" t="s">
        <v>33</v>
      </c>
      <c r="C925" s="7">
        <v>973.88</v>
      </c>
      <c r="D925" s="7">
        <v>985.72</v>
      </c>
      <c r="E925" s="7">
        <v>962.05</v>
      </c>
      <c r="F925" s="7">
        <v>973.41</v>
      </c>
      <c r="G925" s="7">
        <v>17260</v>
      </c>
      <c r="H925" s="7">
        <f t="shared" si="16"/>
        <v>2.4953513935546137E-2</v>
      </c>
      <c r="I925" s="7">
        <f>PRODUCT(fact_daily_prices!$F925,fact_daily_prices!$G925)</f>
        <v>16801056.599999998</v>
      </c>
      <c r="J925" s="7" t="str">
        <f>_xlfn.XLOOKUP(fact_daily_prices!$B925,dim_company[company_id],dim_company[sector_id])</f>
        <v>SEC03</v>
      </c>
      <c r="K925" s="21" t="str">
        <f>_xlfn.XLOOKUP(fact_daily_prices!$J925,dim_sector[sector_id],dim_sector[sector_name])</f>
        <v>Healthcare</v>
      </c>
      <c r="L925" t="str">
        <v>COMP008-29-01-2025</v>
      </c>
      <c r="M925" t="str">
        <f>_xlfn.CONCAT(A924," ",B924)</f>
        <v>45685 COMP008</v>
      </c>
    </row>
    <row r="926" spans="1:13" x14ac:dyDescent="0.3">
      <c r="A926" s="17">
        <v>45687</v>
      </c>
      <c r="B926" s="18" t="s">
        <v>33</v>
      </c>
      <c r="C926" s="18">
        <v>985.89</v>
      </c>
      <c r="D926" s="18">
        <v>989.83</v>
      </c>
      <c r="E926" s="18">
        <v>981.96</v>
      </c>
      <c r="F926" s="18">
        <v>982.85</v>
      </c>
      <c r="G926" s="18">
        <v>42430</v>
      </c>
      <c r="H926" s="18">
        <f t="shared" si="16"/>
        <v>9.6047209645419487E-3</v>
      </c>
      <c r="I926" s="18">
        <f>PRODUCT(fact_daily_prices!$F926,fact_daily_prices!$G926)</f>
        <v>41702325.5</v>
      </c>
      <c r="J926" s="18" t="str">
        <f>_xlfn.XLOOKUP(fact_daily_prices!$B926,dim_company[company_id],dim_company[sector_id])</f>
        <v>SEC03</v>
      </c>
      <c r="K926" s="19" t="str">
        <f>_xlfn.XLOOKUP(fact_daily_prices!$J926,dim_sector[sector_id],dim_sector[sector_name])</f>
        <v>Healthcare</v>
      </c>
      <c r="L926" t="str">
        <v>COMP008-30-01-2025</v>
      </c>
      <c r="M926" t="str">
        <f>_xlfn.CONCAT(A925," ",B925)</f>
        <v>45686 COMP008</v>
      </c>
    </row>
    <row r="927" spans="1:13" x14ac:dyDescent="0.3">
      <c r="A927" s="20">
        <v>45688</v>
      </c>
      <c r="B927" s="7" t="s">
        <v>33</v>
      </c>
      <c r="C927" s="7">
        <v>1004.86</v>
      </c>
      <c r="D927" s="7">
        <v>1020.89</v>
      </c>
      <c r="E927" s="7">
        <v>988.84</v>
      </c>
      <c r="F927" s="7">
        <v>1007.61</v>
      </c>
      <c r="G927" s="7">
        <v>14026</v>
      </c>
      <c r="H927" s="7">
        <f t="shared" si="16"/>
        <v>2.4572999474002828E-2</v>
      </c>
      <c r="I927" s="7">
        <f>PRODUCT(fact_daily_prices!$F927,fact_daily_prices!$G927)</f>
        <v>14132737.859999999</v>
      </c>
      <c r="J927" s="7" t="str">
        <f>_xlfn.XLOOKUP(fact_daily_prices!$B927,dim_company[company_id],dim_company[sector_id])</f>
        <v>SEC03</v>
      </c>
      <c r="K927" s="21" t="str">
        <f>_xlfn.XLOOKUP(fact_daily_prices!$J927,dim_sector[sector_id],dim_sector[sector_name])</f>
        <v>Healthcare</v>
      </c>
      <c r="L927" t="str">
        <v>COMP008-31-01-2025</v>
      </c>
      <c r="M927" t="str">
        <f>_xlfn.CONCAT(A926," ",B926)</f>
        <v>45687 COMP008</v>
      </c>
    </row>
    <row r="928" spans="1:13" x14ac:dyDescent="0.3">
      <c r="A928" s="17">
        <v>45691</v>
      </c>
      <c r="B928" s="18" t="s">
        <v>33</v>
      </c>
      <c r="C928" s="18">
        <v>1020.87</v>
      </c>
      <c r="D928" s="18">
        <v>1033.3800000000001</v>
      </c>
      <c r="E928" s="18">
        <v>1008.37</v>
      </c>
      <c r="F928" s="18">
        <v>1021.8</v>
      </c>
      <c r="G928" s="18">
        <v>43946</v>
      </c>
      <c r="H928" s="18">
        <f t="shared" si="16"/>
        <v>1.3887257780387494E-2</v>
      </c>
      <c r="I928" s="18">
        <f>PRODUCT(fact_daily_prices!$F928,fact_daily_prices!$G928)</f>
        <v>44904022.799999997</v>
      </c>
      <c r="J928" s="18" t="str">
        <f>_xlfn.XLOOKUP(fact_daily_prices!$B928,dim_company[company_id],dim_company[sector_id])</f>
        <v>SEC03</v>
      </c>
      <c r="K928" s="19" t="str">
        <f>_xlfn.XLOOKUP(fact_daily_prices!$J928,dim_sector[sector_id],dim_sector[sector_name])</f>
        <v>Healthcare</v>
      </c>
      <c r="L928" t="str">
        <v>COMP008-03-02-2025</v>
      </c>
      <c r="M928" t="str">
        <f>_xlfn.CONCAT(A927," ",B927)</f>
        <v>45688 COMP008</v>
      </c>
    </row>
    <row r="929" spans="1:13" x14ac:dyDescent="0.3">
      <c r="A929" s="20">
        <v>45692</v>
      </c>
      <c r="B929" s="7" t="s">
        <v>33</v>
      </c>
      <c r="C929" s="7">
        <v>1037.24</v>
      </c>
      <c r="D929" s="7">
        <v>1047.33</v>
      </c>
      <c r="E929" s="7">
        <v>1027.1500000000001</v>
      </c>
      <c r="F929" s="7">
        <v>1038.8</v>
      </c>
      <c r="G929" s="7">
        <v>8347</v>
      </c>
      <c r="H929" s="7">
        <f t="shared" si="16"/>
        <v>1.6365036580670005E-2</v>
      </c>
      <c r="I929" s="7">
        <f>PRODUCT(fact_daily_prices!$F929,fact_daily_prices!$G929)</f>
        <v>8670863.5999999996</v>
      </c>
      <c r="J929" s="7" t="str">
        <f>_xlfn.XLOOKUP(fact_daily_prices!$B929,dim_company[company_id],dim_company[sector_id])</f>
        <v>SEC03</v>
      </c>
      <c r="K929" s="21" t="str">
        <f>_xlfn.XLOOKUP(fact_daily_prices!$J929,dim_sector[sector_id],dim_sector[sector_name])</f>
        <v>Healthcare</v>
      </c>
      <c r="L929" t="str">
        <v>COMP008-04-02-2025</v>
      </c>
      <c r="M929" t="str">
        <f>_xlfn.CONCAT(A928," ",B928)</f>
        <v>45691 COMP008</v>
      </c>
    </row>
    <row r="930" spans="1:13" x14ac:dyDescent="0.3">
      <c r="A930" s="17">
        <v>45693</v>
      </c>
      <c r="B930" s="18" t="s">
        <v>33</v>
      </c>
      <c r="C930" s="18">
        <v>1033.24</v>
      </c>
      <c r="D930" s="18">
        <v>1041.96</v>
      </c>
      <c r="E930" s="18">
        <v>1024.51</v>
      </c>
      <c r="F930" s="18">
        <v>1041.73</v>
      </c>
      <c r="G930" s="18">
        <v>5668</v>
      </c>
      <c r="H930" s="18">
        <f t="shared" si="16"/>
        <v>2.8126289921573378E-3</v>
      </c>
      <c r="I930" s="18">
        <f>PRODUCT(fact_daily_prices!$F930,fact_daily_prices!$G930)</f>
        <v>5904525.6399999997</v>
      </c>
      <c r="J930" s="18" t="str">
        <f>_xlfn.XLOOKUP(fact_daily_prices!$B930,dim_company[company_id],dim_company[sector_id])</f>
        <v>SEC03</v>
      </c>
      <c r="K930" s="19" t="str">
        <f>_xlfn.XLOOKUP(fact_daily_prices!$J930,dim_sector[sector_id],dim_sector[sector_name])</f>
        <v>Healthcare</v>
      </c>
      <c r="L930" t="str">
        <v>COMP008-05-02-2025</v>
      </c>
      <c r="M930" t="str">
        <f>_xlfn.CONCAT(A929," ",B929)</f>
        <v>45692 COMP008</v>
      </c>
    </row>
    <row r="931" spans="1:13" x14ac:dyDescent="0.3">
      <c r="A931" s="20">
        <v>45694</v>
      </c>
      <c r="B931" s="7" t="s">
        <v>33</v>
      </c>
      <c r="C931" s="7">
        <v>1045.6199999999999</v>
      </c>
      <c r="D931" s="7">
        <v>1054.74</v>
      </c>
      <c r="E931" s="7">
        <v>1036.49</v>
      </c>
      <c r="F931" s="7">
        <v>1038.54</v>
      </c>
      <c r="G931" s="7">
        <v>35484</v>
      </c>
      <c r="H931" s="7">
        <f t="shared" si="16"/>
        <v>-3.071619773913431E-3</v>
      </c>
      <c r="I931" s="7">
        <f>PRODUCT(fact_daily_prices!$F931,fact_daily_prices!$G931)</f>
        <v>36851553.359999999</v>
      </c>
      <c r="J931" s="7" t="str">
        <f>_xlfn.XLOOKUP(fact_daily_prices!$B931,dim_company[company_id],dim_company[sector_id])</f>
        <v>SEC03</v>
      </c>
      <c r="K931" s="21" t="str">
        <f>_xlfn.XLOOKUP(fact_daily_prices!$J931,dim_sector[sector_id],dim_sector[sector_name])</f>
        <v>Healthcare</v>
      </c>
      <c r="L931" t="str">
        <v>COMP008-06-02-2025</v>
      </c>
      <c r="M931" t="str">
        <f>_xlfn.CONCAT(A930," ",B930)</f>
        <v>45693 COMP008</v>
      </c>
    </row>
    <row r="932" spans="1:13" x14ac:dyDescent="0.3">
      <c r="A932" s="17">
        <v>45695</v>
      </c>
      <c r="B932" s="18" t="s">
        <v>33</v>
      </c>
      <c r="C932" s="18">
        <v>1047.29</v>
      </c>
      <c r="D932" s="18">
        <v>1053.3800000000001</v>
      </c>
      <c r="E932" s="18">
        <v>1041.21</v>
      </c>
      <c r="F932" s="18">
        <v>1043.69</v>
      </c>
      <c r="G932" s="18">
        <v>35028</v>
      </c>
      <c r="H932" s="18">
        <f t="shared" si="16"/>
        <v>4.9344153915435529E-3</v>
      </c>
      <c r="I932" s="18">
        <f>PRODUCT(fact_daily_prices!$F932,fact_daily_prices!$G932)</f>
        <v>36558373.32</v>
      </c>
      <c r="J932" s="18" t="str">
        <f>_xlfn.XLOOKUP(fact_daily_prices!$B932,dim_company[company_id],dim_company[sector_id])</f>
        <v>SEC03</v>
      </c>
      <c r="K932" s="19" t="str">
        <f>_xlfn.XLOOKUP(fact_daily_prices!$J932,dim_sector[sector_id],dim_sector[sector_name])</f>
        <v>Healthcare</v>
      </c>
      <c r="L932" t="str">
        <v>COMP008-07-02-2025</v>
      </c>
      <c r="M932" t="str">
        <f>_xlfn.CONCAT(A931," ",B931)</f>
        <v>45694 COMP008</v>
      </c>
    </row>
    <row r="933" spans="1:13" x14ac:dyDescent="0.3">
      <c r="A933" s="20">
        <v>45698</v>
      </c>
      <c r="B933" s="7" t="s">
        <v>33</v>
      </c>
      <c r="C933" s="7">
        <v>1038.3699999999999</v>
      </c>
      <c r="D933" s="7">
        <v>1046.77</v>
      </c>
      <c r="E933" s="7">
        <v>1029.98</v>
      </c>
      <c r="F933" s="7">
        <v>1034.6600000000001</v>
      </c>
      <c r="G933" s="7">
        <v>31266</v>
      </c>
      <c r="H933" s="7">
        <f t="shared" si="16"/>
        <v>-8.7275046875301757E-3</v>
      </c>
      <c r="I933" s="7">
        <f>PRODUCT(fact_daily_prices!$F933,fact_daily_prices!$G933)</f>
        <v>32349679.560000002</v>
      </c>
      <c r="J933" s="7" t="str">
        <f>_xlfn.XLOOKUP(fact_daily_prices!$B933,dim_company[company_id],dim_company[sector_id])</f>
        <v>SEC03</v>
      </c>
      <c r="K933" s="21" t="str">
        <f>_xlfn.XLOOKUP(fact_daily_prices!$J933,dim_sector[sector_id],dim_sector[sector_name])</f>
        <v>Healthcare</v>
      </c>
      <c r="L933" t="str">
        <v>COMP008-10-02-2025</v>
      </c>
      <c r="M933" t="str">
        <f>_xlfn.CONCAT(A932," ",B932)</f>
        <v>45695 COMP008</v>
      </c>
    </row>
    <row r="934" spans="1:13" x14ac:dyDescent="0.3">
      <c r="A934" s="17">
        <v>45699</v>
      </c>
      <c r="B934" s="18" t="s">
        <v>33</v>
      </c>
      <c r="C934" s="18">
        <v>1039.08</v>
      </c>
      <c r="D934" s="18">
        <v>1052.96</v>
      </c>
      <c r="E934" s="18">
        <v>1025.2</v>
      </c>
      <c r="F934" s="18">
        <v>1040.58</v>
      </c>
      <c r="G934" s="18">
        <v>15011</v>
      </c>
      <c r="H934" s="18">
        <f t="shared" si="16"/>
        <v>5.6891349055333039E-3</v>
      </c>
      <c r="I934" s="18">
        <f>PRODUCT(fact_daily_prices!$F934,fact_daily_prices!$G934)</f>
        <v>15620146.379999999</v>
      </c>
      <c r="J934" s="18" t="str">
        <f>_xlfn.XLOOKUP(fact_daily_prices!$B934,dim_company[company_id],dim_company[sector_id])</f>
        <v>SEC03</v>
      </c>
      <c r="K934" s="19" t="str">
        <f>_xlfn.XLOOKUP(fact_daily_prices!$J934,dim_sector[sector_id],dim_sector[sector_name])</f>
        <v>Healthcare</v>
      </c>
      <c r="L934" t="str">
        <v>COMP008-11-02-2025</v>
      </c>
      <c r="M934" t="str">
        <f>_xlfn.CONCAT(A933," ",B933)</f>
        <v>45698 COMP008</v>
      </c>
    </row>
    <row r="935" spans="1:13" x14ac:dyDescent="0.3">
      <c r="A935" s="20">
        <v>45700</v>
      </c>
      <c r="B935" s="7" t="s">
        <v>33</v>
      </c>
      <c r="C935" s="7">
        <v>1004.46</v>
      </c>
      <c r="D935" s="7">
        <v>1019.37</v>
      </c>
      <c r="E935" s="7">
        <v>989.55</v>
      </c>
      <c r="F935" s="7">
        <v>1006.94</v>
      </c>
      <c r="G935" s="7">
        <v>40019</v>
      </c>
      <c r="H935" s="7">
        <f t="shared" si="16"/>
        <v>-3.3408147456650716E-2</v>
      </c>
      <c r="I935" s="7">
        <f>PRODUCT(fact_daily_prices!$F935,fact_daily_prices!$G935)</f>
        <v>40296731.859999999</v>
      </c>
      <c r="J935" s="7" t="str">
        <f>_xlfn.XLOOKUP(fact_daily_prices!$B935,dim_company[company_id],dim_company[sector_id])</f>
        <v>SEC03</v>
      </c>
      <c r="K935" s="21" t="str">
        <f>_xlfn.XLOOKUP(fact_daily_prices!$J935,dim_sector[sector_id],dim_sector[sector_name])</f>
        <v>Healthcare</v>
      </c>
      <c r="L935" t="str">
        <v>COMP008-12-02-2025</v>
      </c>
      <c r="M935" t="str">
        <f>_xlfn.CONCAT(A934," ",B934)</f>
        <v>45699 COMP008</v>
      </c>
    </row>
    <row r="936" spans="1:13" x14ac:dyDescent="0.3">
      <c r="A936" s="17">
        <v>45701</v>
      </c>
      <c r="B936" s="18" t="s">
        <v>33</v>
      </c>
      <c r="C936" s="18">
        <v>1007.03</v>
      </c>
      <c r="D936" s="18">
        <v>1009.81</v>
      </c>
      <c r="E936" s="18">
        <v>1004.25</v>
      </c>
      <c r="F936" s="18">
        <v>1007.73</v>
      </c>
      <c r="G936" s="18">
        <v>31663</v>
      </c>
      <c r="H936" s="18">
        <f t="shared" si="16"/>
        <v>7.8394014269691646E-4</v>
      </c>
      <c r="I936" s="18">
        <f>PRODUCT(fact_daily_prices!$F936,fact_daily_prices!$G936)</f>
        <v>31907754.990000002</v>
      </c>
      <c r="J936" s="18" t="str">
        <f>_xlfn.XLOOKUP(fact_daily_prices!$B936,dim_company[company_id],dim_company[sector_id])</f>
        <v>SEC03</v>
      </c>
      <c r="K936" s="19" t="str">
        <f>_xlfn.XLOOKUP(fact_daily_prices!$J936,dim_sector[sector_id],dim_sector[sector_name])</f>
        <v>Healthcare</v>
      </c>
      <c r="L936" t="str">
        <v>COMP008-13-02-2025</v>
      </c>
      <c r="M936" t="str">
        <f>_xlfn.CONCAT(A935," ",B935)</f>
        <v>45700 COMP008</v>
      </c>
    </row>
    <row r="937" spans="1:13" x14ac:dyDescent="0.3">
      <c r="A937" s="20">
        <v>45702</v>
      </c>
      <c r="B937" s="7" t="s">
        <v>33</v>
      </c>
      <c r="C937" s="7">
        <v>1018.61</v>
      </c>
      <c r="D937" s="7">
        <v>1031.27</v>
      </c>
      <c r="E937" s="7">
        <v>1005.95</v>
      </c>
      <c r="F937" s="7">
        <v>1025.19</v>
      </c>
      <c r="G937" s="7">
        <v>42691</v>
      </c>
      <c r="H937" s="7">
        <f t="shared" si="16"/>
        <v>1.7030989377578826E-2</v>
      </c>
      <c r="I937" s="7">
        <f>PRODUCT(fact_daily_prices!$F937,fact_daily_prices!$G937)</f>
        <v>43766386.289999999</v>
      </c>
      <c r="J937" s="7" t="str">
        <f>_xlfn.XLOOKUP(fact_daily_prices!$B937,dim_company[company_id],dim_company[sector_id])</f>
        <v>SEC03</v>
      </c>
      <c r="K937" s="21" t="str">
        <f>_xlfn.XLOOKUP(fact_daily_prices!$J937,dim_sector[sector_id],dim_sector[sector_name])</f>
        <v>Healthcare</v>
      </c>
      <c r="L937" t="str">
        <v>COMP008-14-02-2025</v>
      </c>
      <c r="M937" t="str">
        <f>_xlfn.CONCAT(A936," ",B936)</f>
        <v>45701 COMP008</v>
      </c>
    </row>
    <row r="938" spans="1:13" x14ac:dyDescent="0.3">
      <c r="A938" s="17">
        <v>45705</v>
      </c>
      <c r="B938" s="18" t="s">
        <v>33</v>
      </c>
      <c r="C938" s="18">
        <v>1034.08</v>
      </c>
      <c r="D938" s="18">
        <v>1046.8499999999999</v>
      </c>
      <c r="E938" s="18">
        <v>1021.32</v>
      </c>
      <c r="F938" s="18">
        <v>1026.6500000000001</v>
      </c>
      <c r="G938" s="18">
        <v>32417</v>
      </c>
      <c r="H938" s="18">
        <f t="shared" si="16"/>
        <v>1.4221010081332842E-3</v>
      </c>
      <c r="I938" s="18">
        <f>PRODUCT(fact_daily_prices!$F938,fact_daily_prices!$G938)</f>
        <v>33280913.050000004</v>
      </c>
      <c r="J938" s="18" t="str">
        <f>_xlfn.XLOOKUP(fact_daily_prices!$B938,dim_company[company_id],dim_company[sector_id])</f>
        <v>SEC03</v>
      </c>
      <c r="K938" s="19" t="str">
        <f>_xlfn.XLOOKUP(fact_daily_prices!$J938,dim_sector[sector_id],dim_sector[sector_name])</f>
        <v>Healthcare</v>
      </c>
      <c r="L938" t="str">
        <v>COMP008-17-02-2025</v>
      </c>
      <c r="M938" t="str">
        <f>_xlfn.CONCAT(A937," ",B937)</f>
        <v>45702 COMP008</v>
      </c>
    </row>
    <row r="939" spans="1:13" x14ac:dyDescent="0.3">
      <c r="A939" s="20">
        <v>45706</v>
      </c>
      <c r="B939" s="7" t="s">
        <v>33</v>
      </c>
      <c r="C939" s="7">
        <v>1050.3699999999999</v>
      </c>
      <c r="D939" s="7">
        <v>1058.54</v>
      </c>
      <c r="E939" s="7">
        <v>1042.2</v>
      </c>
      <c r="F939" s="7">
        <v>1049.49</v>
      </c>
      <c r="G939" s="7">
        <v>47326</v>
      </c>
      <c r="H939" s="7">
        <f t="shared" si="16"/>
        <v>2.1762951528837737E-2</v>
      </c>
      <c r="I939" s="7">
        <f>PRODUCT(fact_daily_prices!$F939,fact_daily_prices!$G939)</f>
        <v>49668163.740000002</v>
      </c>
      <c r="J939" s="7" t="str">
        <f>_xlfn.XLOOKUP(fact_daily_prices!$B939,dim_company[company_id],dim_company[sector_id])</f>
        <v>SEC03</v>
      </c>
      <c r="K939" s="21" t="str">
        <f>_xlfn.XLOOKUP(fact_daily_prices!$J939,dim_sector[sector_id],dim_sector[sector_name])</f>
        <v>Healthcare</v>
      </c>
      <c r="L939" t="str">
        <v>COMP008-18-02-2025</v>
      </c>
      <c r="M939" t="str">
        <f>_xlfn.CONCAT(A938," ",B938)</f>
        <v>45705 COMP008</v>
      </c>
    </row>
    <row r="940" spans="1:13" x14ac:dyDescent="0.3">
      <c r="A940" s="17">
        <v>45707</v>
      </c>
      <c r="B940" s="18" t="s">
        <v>33</v>
      </c>
      <c r="C940" s="18">
        <v>1047.18</v>
      </c>
      <c r="D940" s="18">
        <v>1048.68</v>
      </c>
      <c r="E940" s="18">
        <v>1045.69</v>
      </c>
      <c r="F940" s="18">
        <v>1046.26</v>
      </c>
      <c r="G940" s="18">
        <v>22031</v>
      </c>
      <c r="H940" s="18">
        <f t="shared" si="16"/>
        <v>-3.0871867413453809E-3</v>
      </c>
      <c r="I940" s="18">
        <f>PRODUCT(fact_daily_prices!$F940,fact_daily_prices!$G940)</f>
        <v>23050154.059999999</v>
      </c>
      <c r="J940" s="18" t="str">
        <f>_xlfn.XLOOKUP(fact_daily_prices!$B940,dim_company[company_id],dim_company[sector_id])</f>
        <v>SEC03</v>
      </c>
      <c r="K940" s="19" t="str">
        <f>_xlfn.XLOOKUP(fact_daily_prices!$J940,dim_sector[sector_id],dim_sector[sector_name])</f>
        <v>Healthcare</v>
      </c>
      <c r="L940" t="str">
        <v>COMP008-19-02-2025</v>
      </c>
      <c r="M940" t="str">
        <f>_xlfn.CONCAT(A939," ",B939)</f>
        <v>45706 COMP008</v>
      </c>
    </row>
    <row r="941" spans="1:13" x14ac:dyDescent="0.3">
      <c r="A941" s="20">
        <v>45708</v>
      </c>
      <c r="B941" s="7" t="s">
        <v>33</v>
      </c>
      <c r="C941" s="7">
        <v>1064.21</v>
      </c>
      <c r="D941" s="7">
        <v>1080.78</v>
      </c>
      <c r="E941" s="7">
        <v>1047.6400000000001</v>
      </c>
      <c r="F941" s="7">
        <v>1059.81</v>
      </c>
      <c r="G941" s="7">
        <v>30432</v>
      </c>
      <c r="H941" s="7">
        <f t="shared" si="16"/>
        <v>1.2785310574536904E-2</v>
      </c>
      <c r="I941" s="7">
        <f>PRODUCT(fact_daily_prices!$F941,fact_daily_prices!$G941)</f>
        <v>32252137.919999998</v>
      </c>
      <c r="J941" s="7" t="str">
        <f>_xlfn.XLOOKUP(fact_daily_prices!$B941,dim_company[company_id],dim_company[sector_id])</f>
        <v>SEC03</v>
      </c>
      <c r="K941" s="21" t="str">
        <f>_xlfn.XLOOKUP(fact_daily_prices!$J941,dim_sector[sector_id],dim_sector[sector_name])</f>
        <v>Healthcare</v>
      </c>
      <c r="L941" t="str">
        <v>COMP008-20-02-2025</v>
      </c>
      <c r="M941" t="str">
        <f>_xlfn.CONCAT(A940," ",B940)</f>
        <v>45707 COMP008</v>
      </c>
    </row>
    <row r="942" spans="1:13" x14ac:dyDescent="0.3">
      <c r="A942" s="17">
        <v>45709</v>
      </c>
      <c r="B942" s="18" t="s">
        <v>33</v>
      </c>
      <c r="C942" s="18">
        <v>1050.69</v>
      </c>
      <c r="D942" s="18">
        <v>1060.51</v>
      </c>
      <c r="E942" s="18">
        <v>1040.8699999999999</v>
      </c>
      <c r="F942" s="18">
        <v>1048.4000000000001</v>
      </c>
      <c r="G942" s="18">
        <v>21884</v>
      </c>
      <c r="H942" s="18">
        <f t="shared" si="16"/>
        <v>-1.088325066768395E-2</v>
      </c>
      <c r="I942" s="18">
        <f>PRODUCT(fact_daily_prices!$F942,fact_daily_prices!$G942)</f>
        <v>22943185.600000001</v>
      </c>
      <c r="J942" s="18" t="str">
        <f>_xlfn.XLOOKUP(fact_daily_prices!$B942,dim_company[company_id],dim_company[sector_id])</f>
        <v>SEC03</v>
      </c>
      <c r="K942" s="19" t="str">
        <f>_xlfn.XLOOKUP(fact_daily_prices!$J942,dim_sector[sector_id],dim_sector[sector_name])</f>
        <v>Healthcare</v>
      </c>
      <c r="L942" t="str">
        <v>COMP008-21-02-2025</v>
      </c>
      <c r="M942" t="str">
        <f>_xlfn.CONCAT(A941," ",B941)</f>
        <v>45708 COMP008</v>
      </c>
    </row>
    <row r="943" spans="1:13" x14ac:dyDescent="0.3">
      <c r="A943" s="20">
        <v>45712</v>
      </c>
      <c r="B943" s="7" t="s">
        <v>33</v>
      </c>
      <c r="C943" s="7">
        <v>1068.53</v>
      </c>
      <c r="D943" s="7">
        <v>1077.25</v>
      </c>
      <c r="E943" s="7">
        <v>1059.81</v>
      </c>
      <c r="F943" s="7">
        <v>1061.44</v>
      </c>
      <c r="G943" s="7">
        <v>44618</v>
      </c>
      <c r="H943" s="7">
        <f t="shared" si="16"/>
        <v>1.2285197467591161E-2</v>
      </c>
      <c r="I943" s="7">
        <f>PRODUCT(fact_daily_prices!$F943,fact_daily_prices!$G943)</f>
        <v>47359329.920000002</v>
      </c>
      <c r="J943" s="7" t="str">
        <f>_xlfn.XLOOKUP(fact_daily_prices!$B943,dim_company[company_id],dim_company[sector_id])</f>
        <v>SEC03</v>
      </c>
      <c r="K943" s="21" t="str">
        <f>_xlfn.XLOOKUP(fact_daily_prices!$J943,dim_sector[sector_id],dim_sector[sector_name])</f>
        <v>Healthcare</v>
      </c>
      <c r="L943" t="str">
        <v>COMP008-24-02-2025</v>
      </c>
      <c r="M943" t="str">
        <f>_xlfn.CONCAT(A942," ",B942)</f>
        <v>45709 COMP008</v>
      </c>
    </row>
    <row r="944" spans="1:13" x14ac:dyDescent="0.3">
      <c r="A944" s="17">
        <v>45713</v>
      </c>
      <c r="B944" s="18" t="s">
        <v>33</v>
      </c>
      <c r="C944" s="18">
        <v>1064.68</v>
      </c>
      <c r="D944" s="18">
        <v>1072.28</v>
      </c>
      <c r="E944" s="18">
        <v>1057.08</v>
      </c>
      <c r="F944" s="18">
        <v>1064.8</v>
      </c>
      <c r="G944" s="18">
        <v>21142</v>
      </c>
      <c r="H944" s="18">
        <f t="shared" si="16"/>
        <v>3.155522163786533E-3</v>
      </c>
      <c r="I944" s="18">
        <f>PRODUCT(fact_daily_prices!$F944,fact_daily_prices!$G944)</f>
        <v>22512001.599999998</v>
      </c>
      <c r="J944" s="18" t="str">
        <f>_xlfn.XLOOKUP(fact_daily_prices!$B944,dim_company[company_id],dim_company[sector_id])</f>
        <v>SEC03</v>
      </c>
      <c r="K944" s="19" t="str">
        <f>_xlfn.XLOOKUP(fact_daily_prices!$J944,dim_sector[sector_id],dim_sector[sector_name])</f>
        <v>Healthcare</v>
      </c>
      <c r="L944" t="str">
        <v>COMP008-25-02-2025</v>
      </c>
      <c r="M944" t="str">
        <f>_xlfn.CONCAT(A943," ",B943)</f>
        <v>45712 COMP008</v>
      </c>
    </row>
    <row r="945" spans="1:13" x14ac:dyDescent="0.3">
      <c r="A945" s="20">
        <v>45714</v>
      </c>
      <c r="B945" s="7" t="s">
        <v>33</v>
      </c>
      <c r="C945" s="7">
        <v>1056.74</v>
      </c>
      <c r="D945" s="7">
        <v>1063.21</v>
      </c>
      <c r="E945" s="7">
        <v>1050.27</v>
      </c>
      <c r="F945" s="7">
        <v>1062.1099999999999</v>
      </c>
      <c r="G945" s="7">
        <v>9848</v>
      </c>
      <c r="H945" s="7">
        <f t="shared" si="16"/>
        <v>-2.5326943536922303E-3</v>
      </c>
      <c r="I945" s="7">
        <f>PRODUCT(fact_daily_prices!$F945,fact_daily_prices!$G945)</f>
        <v>10459659.279999999</v>
      </c>
      <c r="J945" s="7" t="str">
        <f>_xlfn.XLOOKUP(fact_daily_prices!$B945,dim_company[company_id],dim_company[sector_id])</f>
        <v>SEC03</v>
      </c>
      <c r="K945" s="21" t="str">
        <f>_xlfn.XLOOKUP(fact_daily_prices!$J945,dim_sector[sector_id],dim_sector[sector_name])</f>
        <v>Healthcare</v>
      </c>
      <c r="L945" t="str">
        <v>COMP008-26-02-2025</v>
      </c>
      <c r="M945" t="str">
        <f>_xlfn.CONCAT(A944," ",B944)</f>
        <v>45713 COMP008</v>
      </c>
    </row>
    <row r="946" spans="1:13" x14ac:dyDescent="0.3">
      <c r="A946" s="17">
        <v>45715</v>
      </c>
      <c r="B946" s="18" t="s">
        <v>33</v>
      </c>
      <c r="C946" s="18">
        <v>1033.3699999999999</v>
      </c>
      <c r="D946" s="18">
        <v>1045.6400000000001</v>
      </c>
      <c r="E946" s="18">
        <v>1021.1</v>
      </c>
      <c r="F946" s="18">
        <v>1028.47</v>
      </c>
      <c r="G946" s="18">
        <v>21908</v>
      </c>
      <c r="H946" s="18">
        <f t="shared" si="16"/>
        <v>-3.2708781004793401E-2</v>
      </c>
      <c r="I946" s="18">
        <f>PRODUCT(fact_daily_prices!$F946,fact_daily_prices!$G946)</f>
        <v>22531720.760000002</v>
      </c>
      <c r="J946" s="18" t="str">
        <f>_xlfn.XLOOKUP(fact_daily_prices!$B946,dim_company[company_id],dim_company[sector_id])</f>
        <v>SEC03</v>
      </c>
      <c r="K946" s="19" t="str">
        <f>_xlfn.XLOOKUP(fact_daily_prices!$J946,dim_sector[sector_id],dim_sector[sector_name])</f>
        <v>Healthcare</v>
      </c>
      <c r="L946" t="str">
        <v>COMP008-27-02-2025</v>
      </c>
      <c r="M946" t="str">
        <f>_xlfn.CONCAT(A945," ",B945)</f>
        <v>45714 COMP008</v>
      </c>
    </row>
    <row r="947" spans="1:13" x14ac:dyDescent="0.3">
      <c r="A947" s="20">
        <v>45716</v>
      </c>
      <c r="B947" s="7" t="s">
        <v>33</v>
      </c>
      <c r="C947" s="7">
        <v>1031.78</v>
      </c>
      <c r="D947" s="7">
        <v>1042.67</v>
      </c>
      <c r="E947" s="7">
        <v>1020.88</v>
      </c>
      <c r="F947" s="7">
        <v>1025.42</v>
      </c>
      <c r="G947" s="7">
        <v>43222</v>
      </c>
      <c r="H947" s="7">
        <f t="shared" si="16"/>
        <v>-2.9743909812564163E-3</v>
      </c>
      <c r="I947" s="7">
        <f>PRODUCT(fact_daily_prices!$F947,fact_daily_prices!$G947)</f>
        <v>44320703.240000002</v>
      </c>
      <c r="J947" s="7" t="str">
        <f>_xlfn.XLOOKUP(fact_daily_prices!$B947,dim_company[company_id],dim_company[sector_id])</f>
        <v>SEC03</v>
      </c>
      <c r="K947" s="21" t="str">
        <f>_xlfn.XLOOKUP(fact_daily_prices!$J947,dim_sector[sector_id],dim_sector[sector_name])</f>
        <v>Healthcare</v>
      </c>
      <c r="L947" t="str">
        <v>COMP008-28-02-2025</v>
      </c>
      <c r="M947" t="str">
        <f>_xlfn.CONCAT(A946," ",B946)</f>
        <v>45715 COMP008</v>
      </c>
    </row>
    <row r="948" spans="1:13" x14ac:dyDescent="0.3">
      <c r="A948" s="17">
        <v>45719</v>
      </c>
      <c r="B948" s="18" t="s">
        <v>33</v>
      </c>
      <c r="C948" s="18">
        <v>1023.93</v>
      </c>
      <c r="D948" s="18">
        <v>1031.3</v>
      </c>
      <c r="E948" s="18">
        <v>1016.57</v>
      </c>
      <c r="F948" s="18">
        <v>1028.43</v>
      </c>
      <c r="G948" s="18">
        <v>10968</v>
      </c>
      <c r="H948" s="18">
        <f t="shared" si="16"/>
        <v>2.9267913226957505E-3</v>
      </c>
      <c r="I948" s="18">
        <f>PRODUCT(fact_daily_prices!$F948,fact_daily_prices!$G948)</f>
        <v>11279820.24</v>
      </c>
      <c r="J948" s="18" t="str">
        <f>_xlfn.XLOOKUP(fact_daily_prices!$B948,dim_company[company_id],dim_company[sector_id])</f>
        <v>SEC03</v>
      </c>
      <c r="K948" s="19" t="str">
        <f>_xlfn.XLOOKUP(fact_daily_prices!$J948,dim_sector[sector_id],dim_sector[sector_name])</f>
        <v>Healthcare</v>
      </c>
      <c r="L948" t="str">
        <v>COMP008-03-03-2025</v>
      </c>
      <c r="M948" t="str">
        <f>_xlfn.CONCAT(A947," ",B947)</f>
        <v>45716 COMP008</v>
      </c>
    </row>
    <row r="949" spans="1:13" x14ac:dyDescent="0.3">
      <c r="A949" s="20">
        <v>45720</v>
      </c>
      <c r="B949" s="7" t="s">
        <v>33</v>
      </c>
      <c r="C949" s="7">
        <v>1040.21</v>
      </c>
      <c r="D949" s="7">
        <v>1045.2</v>
      </c>
      <c r="E949" s="7">
        <v>1035.22</v>
      </c>
      <c r="F949" s="7">
        <v>1039.47</v>
      </c>
      <c r="G949" s="7">
        <v>10275</v>
      </c>
      <c r="H949" s="7">
        <f t="shared" si="16"/>
        <v>1.0620797137002475E-2</v>
      </c>
      <c r="I949" s="7">
        <f>PRODUCT(fact_daily_prices!$F949,fact_daily_prices!$G949)</f>
        <v>10680554.25</v>
      </c>
      <c r="J949" s="7" t="str">
        <f>_xlfn.XLOOKUP(fact_daily_prices!$B949,dim_company[company_id],dim_company[sector_id])</f>
        <v>SEC03</v>
      </c>
      <c r="K949" s="21" t="str">
        <f>_xlfn.XLOOKUP(fact_daily_prices!$J949,dim_sector[sector_id],dim_sector[sector_name])</f>
        <v>Healthcare</v>
      </c>
      <c r="L949" t="str">
        <v>COMP008-04-03-2025</v>
      </c>
      <c r="M949" t="str">
        <f>_xlfn.CONCAT(A948," ",B948)</f>
        <v>45719 COMP008</v>
      </c>
    </row>
    <row r="950" spans="1:13" x14ac:dyDescent="0.3">
      <c r="A950" s="17">
        <v>45721</v>
      </c>
      <c r="B950" s="18" t="s">
        <v>33</v>
      </c>
      <c r="C950" s="18">
        <v>1051.72</v>
      </c>
      <c r="D950" s="18">
        <v>1062.8800000000001</v>
      </c>
      <c r="E950" s="18">
        <v>1040.56</v>
      </c>
      <c r="F950" s="18">
        <v>1060.3699999999999</v>
      </c>
      <c r="G950" s="18">
        <v>1406</v>
      </c>
      <c r="H950" s="18">
        <f t="shared" si="16"/>
        <v>1.9710101191093548E-2</v>
      </c>
      <c r="I950" s="18">
        <f>PRODUCT(fact_daily_prices!$F950,fact_daily_prices!$G950)</f>
        <v>1490880.2199999997</v>
      </c>
      <c r="J950" s="18" t="str">
        <f>_xlfn.XLOOKUP(fact_daily_prices!$B950,dim_company[company_id],dim_company[sector_id])</f>
        <v>SEC03</v>
      </c>
      <c r="K950" s="19" t="str">
        <f>_xlfn.XLOOKUP(fact_daily_prices!$J950,dim_sector[sector_id],dim_sector[sector_name])</f>
        <v>Healthcare</v>
      </c>
      <c r="L950" t="str">
        <v>COMP008-05-03-2025</v>
      </c>
      <c r="M950" t="str">
        <f>_xlfn.CONCAT(A949," ",B949)</f>
        <v>45720 COMP008</v>
      </c>
    </row>
    <row r="951" spans="1:13" x14ac:dyDescent="0.3">
      <c r="A951" s="20">
        <v>45722</v>
      </c>
      <c r="B951" s="7" t="s">
        <v>33</v>
      </c>
      <c r="C951" s="7">
        <v>1093.5899999999999</v>
      </c>
      <c r="D951" s="7">
        <v>1099.73</v>
      </c>
      <c r="E951" s="7">
        <v>1087.45</v>
      </c>
      <c r="F951" s="7">
        <v>1088.1600000000001</v>
      </c>
      <c r="G951" s="7">
        <v>45036</v>
      </c>
      <c r="H951" s="7">
        <f t="shared" si="16"/>
        <v>2.553852374650804E-2</v>
      </c>
      <c r="I951" s="7">
        <f>PRODUCT(fact_daily_prices!$F951,fact_daily_prices!$G951)</f>
        <v>49006373.760000005</v>
      </c>
      <c r="J951" s="7" t="str">
        <f>_xlfn.XLOOKUP(fact_daily_prices!$B951,dim_company[company_id],dim_company[sector_id])</f>
        <v>SEC03</v>
      </c>
      <c r="K951" s="21" t="str">
        <f>_xlfn.XLOOKUP(fact_daily_prices!$J951,dim_sector[sector_id],dim_sector[sector_name])</f>
        <v>Healthcare</v>
      </c>
      <c r="L951" t="str">
        <v>COMP008-06-03-2025</v>
      </c>
      <c r="M951" t="str">
        <f>_xlfn.CONCAT(A950," ",B950)</f>
        <v>45721 COMP008</v>
      </c>
    </row>
    <row r="952" spans="1:13" x14ac:dyDescent="0.3">
      <c r="A952" s="17">
        <v>45723</v>
      </c>
      <c r="B952" s="18" t="s">
        <v>33</v>
      </c>
      <c r="C952" s="18">
        <v>1106.33</v>
      </c>
      <c r="D952" s="18">
        <v>1112.54</v>
      </c>
      <c r="E952" s="18">
        <v>1100.1199999999999</v>
      </c>
      <c r="F952" s="18">
        <v>1105.6500000000001</v>
      </c>
      <c r="G952" s="18">
        <v>3618</v>
      </c>
      <c r="H952" s="18">
        <f t="shared" si="16"/>
        <v>1.5818749152082492E-2</v>
      </c>
      <c r="I952" s="18">
        <f>PRODUCT(fact_daily_prices!$F952,fact_daily_prices!$G952)</f>
        <v>4000241.7</v>
      </c>
      <c r="J952" s="18" t="str">
        <f>_xlfn.XLOOKUP(fact_daily_prices!$B952,dim_company[company_id],dim_company[sector_id])</f>
        <v>SEC03</v>
      </c>
      <c r="K952" s="19" t="str">
        <f>_xlfn.XLOOKUP(fact_daily_prices!$J952,dim_sector[sector_id],dim_sector[sector_name])</f>
        <v>Healthcare</v>
      </c>
      <c r="L952" t="str">
        <v>COMP008-07-03-2025</v>
      </c>
      <c r="M952" t="str">
        <f>_xlfn.CONCAT(A951," ",B951)</f>
        <v>45722 COMP008</v>
      </c>
    </row>
    <row r="953" spans="1:13" x14ac:dyDescent="0.3">
      <c r="A953" s="20">
        <v>45726</v>
      </c>
      <c r="B953" s="7" t="s">
        <v>33</v>
      </c>
      <c r="C953" s="7">
        <v>1094.6500000000001</v>
      </c>
      <c r="D953" s="7">
        <v>1112.52</v>
      </c>
      <c r="E953" s="7">
        <v>1076.78</v>
      </c>
      <c r="F953" s="7">
        <v>1098.1099999999999</v>
      </c>
      <c r="G953" s="7">
        <v>40696</v>
      </c>
      <c r="H953" s="7">
        <f t="shared" si="16"/>
        <v>-6.8663430803837426E-3</v>
      </c>
      <c r="I953" s="7">
        <f>PRODUCT(fact_daily_prices!$F953,fact_daily_prices!$G953)</f>
        <v>44688684.559999995</v>
      </c>
      <c r="J953" s="7" t="str">
        <f>_xlfn.XLOOKUP(fact_daily_prices!$B953,dim_company[company_id],dim_company[sector_id])</f>
        <v>SEC03</v>
      </c>
      <c r="K953" s="21" t="str">
        <f>_xlfn.XLOOKUP(fact_daily_prices!$J953,dim_sector[sector_id],dim_sector[sector_name])</f>
        <v>Healthcare</v>
      </c>
      <c r="L953" t="str">
        <v>COMP008-10-03-2025</v>
      </c>
      <c r="M953" t="str">
        <f>_xlfn.CONCAT(A952," ",B952)</f>
        <v>45723 COMP008</v>
      </c>
    </row>
    <row r="954" spans="1:13" x14ac:dyDescent="0.3">
      <c r="A954" s="17">
        <v>45727</v>
      </c>
      <c r="B954" s="18" t="s">
        <v>33</v>
      </c>
      <c r="C954" s="18">
        <v>1095.07</v>
      </c>
      <c r="D954" s="18">
        <v>1114.47</v>
      </c>
      <c r="E954" s="18">
        <v>1075.67</v>
      </c>
      <c r="F954" s="18">
        <v>1094.1600000000001</v>
      </c>
      <c r="G954" s="18">
        <v>15719</v>
      </c>
      <c r="H954" s="18">
        <f t="shared" si="16"/>
        <v>-3.6100753089126068E-3</v>
      </c>
      <c r="I954" s="18">
        <f>PRODUCT(fact_daily_prices!$F954,fact_daily_prices!$G954)</f>
        <v>17199101.040000003</v>
      </c>
      <c r="J954" s="18" t="str">
        <f>_xlfn.XLOOKUP(fact_daily_prices!$B954,dim_company[company_id],dim_company[sector_id])</f>
        <v>SEC03</v>
      </c>
      <c r="K954" s="19" t="str">
        <f>_xlfn.XLOOKUP(fact_daily_prices!$J954,dim_sector[sector_id],dim_sector[sector_name])</f>
        <v>Healthcare</v>
      </c>
      <c r="L954" t="str">
        <v>COMP008-11-03-2025</v>
      </c>
      <c r="M954" t="str">
        <f>_xlfn.CONCAT(A953," ",B953)</f>
        <v>45726 COMP008</v>
      </c>
    </row>
    <row r="955" spans="1:13" x14ac:dyDescent="0.3">
      <c r="A955" s="20">
        <v>45728</v>
      </c>
      <c r="B955" s="7" t="s">
        <v>33</v>
      </c>
      <c r="C955" s="7">
        <v>1101.6400000000001</v>
      </c>
      <c r="D955" s="7">
        <v>1109.94</v>
      </c>
      <c r="E955" s="7">
        <v>1093.3399999999999</v>
      </c>
      <c r="F955" s="7">
        <v>1104.6500000000001</v>
      </c>
      <c r="G955" s="7">
        <v>25042</v>
      </c>
      <c r="H955" s="7">
        <f t="shared" si="16"/>
        <v>9.4962205223373987E-3</v>
      </c>
      <c r="I955" s="7">
        <f>PRODUCT(fact_daily_prices!$F955,fact_daily_prices!$G955)</f>
        <v>27662645.300000001</v>
      </c>
      <c r="J955" s="7" t="str">
        <f>_xlfn.XLOOKUP(fact_daily_prices!$B955,dim_company[company_id],dim_company[sector_id])</f>
        <v>SEC03</v>
      </c>
      <c r="K955" s="21" t="str">
        <f>_xlfn.XLOOKUP(fact_daily_prices!$J955,dim_sector[sector_id],dim_sector[sector_name])</f>
        <v>Healthcare</v>
      </c>
      <c r="L955" t="str">
        <v>COMP008-12-03-2025</v>
      </c>
      <c r="M955" t="str">
        <f>_xlfn.CONCAT(A954," ",B954)</f>
        <v>45727 COMP008</v>
      </c>
    </row>
    <row r="956" spans="1:13" x14ac:dyDescent="0.3">
      <c r="A956" s="17">
        <v>45729</v>
      </c>
      <c r="B956" s="18" t="s">
        <v>33</v>
      </c>
      <c r="C956" s="18">
        <v>1104.95</v>
      </c>
      <c r="D956" s="18">
        <v>1113.1500000000001</v>
      </c>
      <c r="E956" s="18">
        <v>1096.75</v>
      </c>
      <c r="F956" s="18">
        <v>1112.17</v>
      </c>
      <c r="G956" s="18">
        <v>27514</v>
      </c>
      <c r="H956" s="18">
        <f t="shared" si="16"/>
        <v>6.7615562369062118E-3</v>
      </c>
      <c r="I956" s="18">
        <f>PRODUCT(fact_daily_prices!$F956,fact_daily_prices!$G956)</f>
        <v>30600245.380000003</v>
      </c>
      <c r="J956" s="18" t="str">
        <f>_xlfn.XLOOKUP(fact_daily_prices!$B956,dim_company[company_id],dim_company[sector_id])</f>
        <v>SEC03</v>
      </c>
      <c r="K956" s="19" t="str">
        <f>_xlfn.XLOOKUP(fact_daily_prices!$J956,dim_sector[sector_id],dim_sector[sector_name])</f>
        <v>Healthcare</v>
      </c>
      <c r="L956" t="str">
        <v>COMP008-13-03-2025</v>
      </c>
      <c r="M956" t="str">
        <f>_xlfn.CONCAT(A955," ",B955)</f>
        <v>45728 COMP008</v>
      </c>
    </row>
    <row r="957" spans="1:13" x14ac:dyDescent="0.3">
      <c r="A957" s="20">
        <v>45730</v>
      </c>
      <c r="B957" s="7" t="s">
        <v>33</v>
      </c>
      <c r="C957" s="7">
        <v>1130.3900000000001</v>
      </c>
      <c r="D957" s="7">
        <v>1140.75</v>
      </c>
      <c r="E957" s="7">
        <v>1120.02</v>
      </c>
      <c r="F957" s="7">
        <v>1135.5</v>
      </c>
      <c r="G957" s="7">
        <v>46487</v>
      </c>
      <c r="H957" s="7">
        <f t="shared" si="16"/>
        <v>2.0546014971378184E-2</v>
      </c>
      <c r="I957" s="7">
        <f>PRODUCT(fact_daily_prices!$F957,fact_daily_prices!$G957)</f>
        <v>52785988.5</v>
      </c>
      <c r="J957" s="7" t="str">
        <f>_xlfn.XLOOKUP(fact_daily_prices!$B957,dim_company[company_id],dim_company[sector_id])</f>
        <v>SEC03</v>
      </c>
      <c r="K957" s="21" t="str">
        <f>_xlfn.XLOOKUP(fact_daily_prices!$J957,dim_sector[sector_id],dim_sector[sector_name])</f>
        <v>Healthcare</v>
      </c>
      <c r="L957" t="str">
        <v>COMP008-14-03-2025</v>
      </c>
      <c r="M957" t="str">
        <f>_xlfn.CONCAT(A956," ",B956)</f>
        <v>45729 COMP008</v>
      </c>
    </row>
    <row r="958" spans="1:13" x14ac:dyDescent="0.3">
      <c r="A958" s="17">
        <v>45733</v>
      </c>
      <c r="B958" s="18" t="s">
        <v>33</v>
      </c>
      <c r="C958" s="18">
        <v>1168.6099999999999</v>
      </c>
      <c r="D958" s="18">
        <v>1172.9000000000001</v>
      </c>
      <c r="E958" s="18">
        <v>1164.31</v>
      </c>
      <c r="F958" s="18">
        <v>1171.81</v>
      </c>
      <c r="G958" s="18">
        <v>23908</v>
      </c>
      <c r="H958" s="18">
        <f t="shared" si="16"/>
        <v>3.0986252037446298E-2</v>
      </c>
      <c r="I958" s="18">
        <f>PRODUCT(fact_daily_prices!$F958,fact_daily_prices!$G958)</f>
        <v>28015633.48</v>
      </c>
      <c r="J958" s="18" t="str">
        <f>_xlfn.XLOOKUP(fact_daily_prices!$B958,dim_company[company_id],dim_company[sector_id])</f>
        <v>SEC03</v>
      </c>
      <c r="K958" s="19" t="str">
        <f>_xlfn.XLOOKUP(fact_daily_prices!$J958,dim_sector[sector_id],dim_sector[sector_name])</f>
        <v>Healthcare</v>
      </c>
      <c r="L958" t="str">
        <v>COMP008-17-03-2025</v>
      </c>
      <c r="M958" t="str">
        <f>_xlfn.CONCAT(A957," ",B957)</f>
        <v>45730 COMP008</v>
      </c>
    </row>
    <row r="959" spans="1:13" x14ac:dyDescent="0.3">
      <c r="A959" s="20">
        <v>45734</v>
      </c>
      <c r="B959" s="7" t="s">
        <v>33</v>
      </c>
      <c r="C959" s="7">
        <v>1207.47</v>
      </c>
      <c r="D959" s="7">
        <v>1215.06</v>
      </c>
      <c r="E959" s="7">
        <v>1199.8900000000001</v>
      </c>
      <c r="F959" s="7">
        <v>1206.05</v>
      </c>
      <c r="G959" s="7">
        <v>38952</v>
      </c>
      <c r="H959" s="7">
        <f t="shared" si="16"/>
        <v>2.8390199411301366E-2</v>
      </c>
      <c r="I959" s="7">
        <f>PRODUCT(fact_daily_prices!$F959,fact_daily_prices!$G959)</f>
        <v>46978059.600000001</v>
      </c>
      <c r="J959" s="7" t="str">
        <f>_xlfn.XLOOKUP(fact_daily_prices!$B959,dim_company[company_id],dim_company[sector_id])</f>
        <v>SEC03</v>
      </c>
      <c r="K959" s="21" t="str">
        <f>_xlfn.XLOOKUP(fact_daily_prices!$J959,dim_sector[sector_id],dim_sector[sector_name])</f>
        <v>Healthcare</v>
      </c>
      <c r="L959" t="str">
        <v>COMP008-18-03-2025</v>
      </c>
      <c r="M959" t="str">
        <f>_xlfn.CONCAT(A958," ",B958)</f>
        <v>45733 COMP008</v>
      </c>
    </row>
    <row r="960" spans="1:13" x14ac:dyDescent="0.3">
      <c r="A960" s="17">
        <v>45735</v>
      </c>
      <c r="B960" s="18" t="s">
        <v>33</v>
      </c>
      <c r="C960" s="18">
        <v>1225.49</v>
      </c>
      <c r="D960" s="18">
        <v>1240.17</v>
      </c>
      <c r="E960" s="18">
        <v>1210.82</v>
      </c>
      <c r="F960" s="18">
        <v>1229.25</v>
      </c>
      <c r="G960" s="18">
        <v>48929</v>
      </c>
      <c r="H960" s="18">
        <f t="shared" si="16"/>
        <v>1.8873296725645756E-2</v>
      </c>
      <c r="I960" s="18">
        <f>PRODUCT(fact_daily_prices!$F960,fact_daily_prices!$G960)</f>
        <v>60145973.25</v>
      </c>
      <c r="J960" s="18" t="str">
        <f>_xlfn.XLOOKUP(fact_daily_prices!$B960,dim_company[company_id],dim_company[sector_id])</f>
        <v>SEC03</v>
      </c>
      <c r="K960" s="19" t="str">
        <f>_xlfn.XLOOKUP(fact_daily_prices!$J960,dim_sector[sector_id],dim_sector[sector_name])</f>
        <v>Healthcare</v>
      </c>
      <c r="L960" t="str">
        <v>COMP008-19-03-2025</v>
      </c>
      <c r="M960" t="str">
        <f>_xlfn.CONCAT(A959," ",B959)</f>
        <v>45734 COMP008</v>
      </c>
    </row>
    <row r="961" spans="1:13" x14ac:dyDescent="0.3">
      <c r="A961" s="20">
        <v>45736</v>
      </c>
      <c r="B961" s="7" t="s">
        <v>33</v>
      </c>
      <c r="C961" s="7">
        <v>1240.97</v>
      </c>
      <c r="D961" s="7">
        <v>1251.07</v>
      </c>
      <c r="E961" s="7">
        <v>1230.8699999999999</v>
      </c>
      <c r="F961" s="7">
        <v>1237.75</v>
      </c>
      <c r="G961" s="7">
        <v>30134</v>
      </c>
      <c r="H961" s="7">
        <f t="shared" si="16"/>
        <v>6.8672995354473847E-3</v>
      </c>
      <c r="I961" s="7">
        <f>PRODUCT(fact_daily_prices!$F961,fact_daily_prices!$G961)</f>
        <v>37298358.5</v>
      </c>
      <c r="J961" s="7" t="str">
        <f>_xlfn.XLOOKUP(fact_daily_prices!$B961,dim_company[company_id],dim_company[sector_id])</f>
        <v>SEC03</v>
      </c>
      <c r="K961" s="21" t="str">
        <f>_xlfn.XLOOKUP(fact_daily_prices!$J961,dim_sector[sector_id],dim_sector[sector_name])</f>
        <v>Healthcare</v>
      </c>
      <c r="L961" t="str">
        <v>COMP008-20-03-2025</v>
      </c>
      <c r="M961" t="str">
        <f>_xlfn.CONCAT(A960," ",B960)</f>
        <v>45735 COMP008</v>
      </c>
    </row>
    <row r="962" spans="1:13" x14ac:dyDescent="0.3">
      <c r="A962" s="17">
        <v>45737</v>
      </c>
      <c r="B962" s="18" t="s">
        <v>33</v>
      </c>
      <c r="C962" s="18">
        <v>1261.96</v>
      </c>
      <c r="D962" s="18">
        <v>1269.23</v>
      </c>
      <c r="E962" s="18">
        <v>1254.7</v>
      </c>
      <c r="F962" s="18">
        <v>1259.27</v>
      </c>
      <c r="G962" s="18">
        <v>47799</v>
      </c>
      <c r="H962" s="18">
        <f t="shared" si="16"/>
        <v>1.7089266003319368E-2</v>
      </c>
      <c r="I962" s="18">
        <f>PRODUCT(fact_daily_prices!$F962,fact_daily_prices!$G962)</f>
        <v>60191846.729999997</v>
      </c>
      <c r="J962" s="18" t="str">
        <f>_xlfn.XLOOKUP(fact_daily_prices!$B962,dim_company[company_id],dim_company[sector_id])</f>
        <v>SEC03</v>
      </c>
      <c r="K962" s="19" t="str">
        <f>_xlfn.XLOOKUP(fact_daily_prices!$J962,dim_sector[sector_id],dim_sector[sector_name])</f>
        <v>Healthcare</v>
      </c>
      <c r="L962" t="str">
        <v>COMP008-21-03-2025</v>
      </c>
      <c r="M962" t="str">
        <f>_xlfn.CONCAT(A961," ",B961)</f>
        <v>45736 COMP008</v>
      </c>
    </row>
    <row r="963" spans="1:13" x14ac:dyDescent="0.3">
      <c r="A963" s="20">
        <v>45740</v>
      </c>
      <c r="B963" s="7" t="s">
        <v>33</v>
      </c>
      <c r="C963" s="7">
        <v>1296.32</v>
      </c>
      <c r="D963" s="7">
        <v>1307.5</v>
      </c>
      <c r="E963" s="7">
        <v>1285.1400000000001</v>
      </c>
      <c r="F963" s="7">
        <v>1286.22</v>
      </c>
      <c r="G963" s="7">
        <v>38292</v>
      </c>
      <c r="H963" s="7">
        <f t="shared" si="16"/>
        <v>2.0952869649049188E-2</v>
      </c>
      <c r="I963" s="7">
        <f>PRODUCT(fact_daily_prices!$F963,fact_daily_prices!$G963)</f>
        <v>49251936.240000002</v>
      </c>
      <c r="J963" s="7" t="str">
        <f>_xlfn.XLOOKUP(fact_daily_prices!$B963,dim_company[company_id],dim_company[sector_id])</f>
        <v>SEC03</v>
      </c>
      <c r="K963" s="21" t="str">
        <f>_xlfn.XLOOKUP(fact_daily_prices!$J963,dim_sector[sector_id],dim_sector[sector_name])</f>
        <v>Healthcare</v>
      </c>
      <c r="L963" t="str">
        <v>COMP008-24-03-2025</v>
      </c>
      <c r="M963" t="str">
        <f>_xlfn.CONCAT(A962," ",B962)</f>
        <v>45737 COMP008</v>
      </c>
    </row>
    <row r="964" spans="1:13" x14ac:dyDescent="0.3">
      <c r="A964" s="17">
        <v>45741</v>
      </c>
      <c r="B964" s="18" t="s">
        <v>33</v>
      </c>
      <c r="C964" s="18">
        <v>1280.31</v>
      </c>
      <c r="D964" s="18">
        <v>1289.79</v>
      </c>
      <c r="E964" s="18">
        <v>1270.83</v>
      </c>
      <c r="F964" s="18">
        <v>1284.1400000000001</v>
      </c>
      <c r="G964" s="18">
        <v>6313</v>
      </c>
      <c r="H964" s="18">
        <f t="shared" ref="H964:H1027" si="17">(F964-F963)/F964</f>
        <v>-1.6197610852398702E-3</v>
      </c>
      <c r="I964" s="18">
        <f>PRODUCT(fact_daily_prices!$F964,fact_daily_prices!$G964)</f>
        <v>8106775.8200000003</v>
      </c>
      <c r="J964" s="18" t="str">
        <f>_xlfn.XLOOKUP(fact_daily_prices!$B964,dim_company[company_id],dim_company[sector_id])</f>
        <v>SEC03</v>
      </c>
      <c r="K964" s="19" t="str">
        <f>_xlfn.XLOOKUP(fact_daily_prices!$J964,dim_sector[sector_id],dim_sector[sector_name])</f>
        <v>Healthcare</v>
      </c>
      <c r="L964" t="str">
        <v>COMP008-25-03-2025</v>
      </c>
      <c r="M964" t="str">
        <f>_xlfn.CONCAT(A963," ",B963)</f>
        <v>45740 COMP008</v>
      </c>
    </row>
    <row r="965" spans="1:13" x14ac:dyDescent="0.3">
      <c r="A965" s="20">
        <v>45742</v>
      </c>
      <c r="B965" s="7" t="s">
        <v>33</v>
      </c>
      <c r="C965" s="7">
        <v>1280.01</v>
      </c>
      <c r="D965" s="7">
        <v>1290.07</v>
      </c>
      <c r="E965" s="7">
        <v>1269.95</v>
      </c>
      <c r="F965" s="7">
        <v>1275.8499999999999</v>
      </c>
      <c r="G965" s="7">
        <v>5887</v>
      </c>
      <c r="H965" s="7">
        <f t="shared" si="17"/>
        <v>-6.4976290316261249E-3</v>
      </c>
      <c r="I965" s="7">
        <f>PRODUCT(fact_daily_prices!$F965,fact_daily_prices!$G965)</f>
        <v>7510928.9499999993</v>
      </c>
      <c r="J965" s="7" t="str">
        <f>_xlfn.XLOOKUP(fact_daily_prices!$B965,dim_company[company_id],dim_company[sector_id])</f>
        <v>SEC03</v>
      </c>
      <c r="K965" s="21" t="str">
        <f>_xlfn.XLOOKUP(fact_daily_prices!$J965,dim_sector[sector_id],dim_sector[sector_name])</f>
        <v>Healthcare</v>
      </c>
      <c r="L965" t="str">
        <v>COMP008-26-03-2025</v>
      </c>
      <c r="M965" t="str">
        <f>_xlfn.CONCAT(A964," ",B964)</f>
        <v>45741 COMP008</v>
      </c>
    </row>
    <row r="966" spans="1:13" x14ac:dyDescent="0.3">
      <c r="A966" s="17">
        <v>45743</v>
      </c>
      <c r="B966" s="18" t="s">
        <v>33</v>
      </c>
      <c r="C966" s="18">
        <v>1272.8</v>
      </c>
      <c r="D966" s="18">
        <v>1288.3599999999999</v>
      </c>
      <c r="E966" s="18">
        <v>1257.25</v>
      </c>
      <c r="F966" s="18">
        <v>1263.8800000000001</v>
      </c>
      <c r="G966" s="18">
        <v>4558</v>
      </c>
      <c r="H966" s="18">
        <f t="shared" si="17"/>
        <v>-9.4708358388453009E-3</v>
      </c>
      <c r="I966" s="18">
        <f>PRODUCT(fact_daily_prices!$F966,fact_daily_prices!$G966)</f>
        <v>5760765.04</v>
      </c>
      <c r="J966" s="18" t="str">
        <f>_xlfn.XLOOKUP(fact_daily_prices!$B966,dim_company[company_id],dim_company[sector_id])</f>
        <v>SEC03</v>
      </c>
      <c r="K966" s="19" t="str">
        <f>_xlfn.XLOOKUP(fact_daily_prices!$J966,dim_sector[sector_id],dim_sector[sector_name])</f>
        <v>Healthcare</v>
      </c>
      <c r="L966" t="str">
        <v>COMP008-27-03-2025</v>
      </c>
      <c r="M966" t="str">
        <f>_xlfn.CONCAT(A965," ",B965)</f>
        <v>45742 COMP008</v>
      </c>
    </row>
    <row r="967" spans="1:13" x14ac:dyDescent="0.3">
      <c r="A967" s="20">
        <v>45744</v>
      </c>
      <c r="B967" s="7" t="s">
        <v>33</v>
      </c>
      <c r="C967" s="7">
        <v>1241.97</v>
      </c>
      <c r="D967" s="7">
        <v>1255.81</v>
      </c>
      <c r="E967" s="7">
        <v>1228.1400000000001</v>
      </c>
      <c r="F967" s="7">
        <v>1250.3</v>
      </c>
      <c r="G967" s="7">
        <v>37343</v>
      </c>
      <c r="H967" s="7">
        <f t="shared" si="17"/>
        <v>-1.0861393265616377E-2</v>
      </c>
      <c r="I967" s="7">
        <f>PRODUCT(fact_daily_prices!$F967,fact_daily_prices!$G967)</f>
        <v>46689952.899999999</v>
      </c>
      <c r="J967" s="7" t="str">
        <f>_xlfn.XLOOKUP(fact_daily_prices!$B967,dim_company[company_id],dim_company[sector_id])</f>
        <v>SEC03</v>
      </c>
      <c r="K967" s="21" t="str">
        <f>_xlfn.XLOOKUP(fact_daily_prices!$J967,dim_sector[sector_id],dim_sector[sector_name])</f>
        <v>Healthcare</v>
      </c>
      <c r="L967" t="str">
        <v>COMP008-28-03-2025</v>
      </c>
      <c r="M967" t="str">
        <f>_xlfn.CONCAT(A966," ",B966)</f>
        <v>45743 COMP008</v>
      </c>
    </row>
    <row r="968" spans="1:13" x14ac:dyDescent="0.3">
      <c r="A968" s="17">
        <v>45747</v>
      </c>
      <c r="B968" s="18" t="s">
        <v>33</v>
      </c>
      <c r="C968" s="18">
        <v>1230.05</v>
      </c>
      <c r="D968" s="18">
        <v>1240.43</v>
      </c>
      <c r="E968" s="18">
        <v>1219.68</v>
      </c>
      <c r="F968" s="18">
        <v>1229.01</v>
      </c>
      <c r="G968" s="18">
        <v>40887</v>
      </c>
      <c r="H968" s="18">
        <f t="shared" si="17"/>
        <v>-1.7322885900033332E-2</v>
      </c>
      <c r="I968" s="18">
        <f>PRODUCT(fact_daily_prices!$F968,fact_daily_prices!$G968)</f>
        <v>50250531.869999997</v>
      </c>
      <c r="J968" s="18" t="str">
        <f>_xlfn.XLOOKUP(fact_daily_prices!$B968,dim_company[company_id],dim_company[sector_id])</f>
        <v>SEC03</v>
      </c>
      <c r="K968" s="19" t="str">
        <f>_xlfn.XLOOKUP(fact_daily_prices!$J968,dim_sector[sector_id],dim_sector[sector_name])</f>
        <v>Healthcare</v>
      </c>
      <c r="L968" t="str">
        <v>COMP008-31-03-2025</v>
      </c>
      <c r="M968" t="str">
        <f>_xlfn.CONCAT(A967," ",B967)</f>
        <v>45744 COMP008</v>
      </c>
    </row>
    <row r="969" spans="1:13" x14ac:dyDescent="0.3">
      <c r="A969" s="20">
        <v>45748</v>
      </c>
      <c r="B969" s="7" t="s">
        <v>33</v>
      </c>
      <c r="C969" s="7">
        <v>1228.8699999999999</v>
      </c>
      <c r="D969" s="7">
        <v>1243.1199999999999</v>
      </c>
      <c r="E969" s="7">
        <v>1214.6199999999999</v>
      </c>
      <c r="F969" s="7">
        <v>1233.18</v>
      </c>
      <c r="G969" s="7">
        <v>32601</v>
      </c>
      <c r="H969" s="7">
        <f t="shared" si="17"/>
        <v>3.3815014839683358E-3</v>
      </c>
      <c r="I969" s="7">
        <f>PRODUCT(fact_daily_prices!$F969,fact_daily_prices!$G969)</f>
        <v>40202901.18</v>
      </c>
      <c r="J969" s="7" t="str">
        <f>_xlfn.XLOOKUP(fact_daily_prices!$B969,dim_company[company_id],dim_company[sector_id])</f>
        <v>SEC03</v>
      </c>
      <c r="K969" s="21" t="str">
        <f>_xlfn.XLOOKUP(fact_daily_prices!$J969,dim_sector[sector_id],dim_sector[sector_name])</f>
        <v>Healthcare</v>
      </c>
      <c r="L969" t="str">
        <v>COMP008-01-04-2025</v>
      </c>
      <c r="M969" t="str">
        <f>_xlfn.CONCAT(A968," ",B968)</f>
        <v>45747 COMP008</v>
      </c>
    </row>
    <row r="970" spans="1:13" x14ac:dyDescent="0.3">
      <c r="A970" s="17">
        <v>45749</v>
      </c>
      <c r="B970" s="18" t="s">
        <v>33</v>
      </c>
      <c r="C970" s="18">
        <v>1221.06</v>
      </c>
      <c r="D970" s="18">
        <v>1234.53</v>
      </c>
      <c r="E970" s="18">
        <v>1207.5899999999999</v>
      </c>
      <c r="F970" s="18">
        <v>1218.03</v>
      </c>
      <c r="G970" s="18">
        <v>24099</v>
      </c>
      <c r="H970" s="18">
        <f t="shared" si="17"/>
        <v>-1.2438117287751608E-2</v>
      </c>
      <c r="I970" s="18">
        <f>PRODUCT(fact_daily_prices!$F970,fact_daily_prices!$G970)</f>
        <v>29353304.969999999</v>
      </c>
      <c r="J970" s="18" t="str">
        <f>_xlfn.XLOOKUP(fact_daily_prices!$B970,dim_company[company_id],dim_company[sector_id])</f>
        <v>SEC03</v>
      </c>
      <c r="K970" s="19" t="str">
        <f>_xlfn.XLOOKUP(fact_daily_prices!$J970,dim_sector[sector_id],dim_sector[sector_name])</f>
        <v>Healthcare</v>
      </c>
      <c r="L970" t="str">
        <v>COMP008-02-04-2025</v>
      </c>
      <c r="M970" t="str">
        <f>_xlfn.CONCAT(A969," ",B969)</f>
        <v>45748 COMP008</v>
      </c>
    </row>
    <row r="971" spans="1:13" x14ac:dyDescent="0.3">
      <c r="A971" s="20">
        <v>45750</v>
      </c>
      <c r="B971" s="7" t="s">
        <v>33</v>
      </c>
      <c r="C971" s="7">
        <v>1200.93</v>
      </c>
      <c r="D971" s="7">
        <v>1217.06</v>
      </c>
      <c r="E971" s="7">
        <v>1184.79</v>
      </c>
      <c r="F971" s="7">
        <v>1206.3499999999999</v>
      </c>
      <c r="G971" s="7">
        <v>20094</v>
      </c>
      <c r="H971" s="7">
        <f t="shared" si="17"/>
        <v>-9.6820988933560455E-3</v>
      </c>
      <c r="I971" s="7">
        <f>PRODUCT(fact_daily_prices!$F971,fact_daily_prices!$G971)</f>
        <v>24240396.899999999</v>
      </c>
      <c r="J971" s="7" t="str">
        <f>_xlfn.XLOOKUP(fact_daily_prices!$B971,dim_company[company_id],dim_company[sector_id])</f>
        <v>SEC03</v>
      </c>
      <c r="K971" s="21" t="str">
        <f>_xlfn.XLOOKUP(fact_daily_prices!$J971,dim_sector[sector_id],dim_sector[sector_name])</f>
        <v>Healthcare</v>
      </c>
      <c r="L971" t="str">
        <v>COMP008-03-04-2025</v>
      </c>
      <c r="M971" t="str">
        <f>_xlfn.CONCAT(A970," ",B970)</f>
        <v>45749 COMP008</v>
      </c>
    </row>
    <row r="972" spans="1:13" x14ac:dyDescent="0.3">
      <c r="A972" s="17">
        <v>45751</v>
      </c>
      <c r="B972" s="18" t="s">
        <v>33</v>
      </c>
      <c r="C972" s="18">
        <v>1220.9100000000001</v>
      </c>
      <c r="D972" s="18">
        <v>1237.6300000000001</v>
      </c>
      <c r="E972" s="18">
        <v>1204.2</v>
      </c>
      <c r="F972" s="18">
        <v>1217.3499999999999</v>
      </c>
      <c r="G972" s="18">
        <v>2657</v>
      </c>
      <c r="H972" s="18">
        <f t="shared" si="17"/>
        <v>9.0360208649936345E-3</v>
      </c>
      <c r="I972" s="18">
        <f>PRODUCT(fact_daily_prices!$F972,fact_daily_prices!$G972)</f>
        <v>3234498.9499999997</v>
      </c>
      <c r="J972" s="18" t="str">
        <f>_xlfn.XLOOKUP(fact_daily_prices!$B972,dim_company[company_id],dim_company[sector_id])</f>
        <v>SEC03</v>
      </c>
      <c r="K972" s="19" t="str">
        <f>_xlfn.XLOOKUP(fact_daily_prices!$J972,dim_sector[sector_id],dim_sector[sector_name])</f>
        <v>Healthcare</v>
      </c>
      <c r="L972" t="str">
        <v>COMP008-04-04-2025</v>
      </c>
      <c r="M972" t="str">
        <f>_xlfn.CONCAT(A971," ",B971)</f>
        <v>45750 COMP008</v>
      </c>
    </row>
    <row r="973" spans="1:13" x14ac:dyDescent="0.3">
      <c r="A973" s="20">
        <v>45754</v>
      </c>
      <c r="B973" s="7" t="s">
        <v>33</v>
      </c>
      <c r="C973" s="7">
        <v>1222.01</v>
      </c>
      <c r="D973" s="7">
        <v>1226.22</v>
      </c>
      <c r="E973" s="7">
        <v>1217.8</v>
      </c>
      <c r="F973" s="7">
        <v>1220.43</v>
      </c>
      <c r="G973" s="7">
        <v>4164</v>
      </c>
      <c r="H973" s="7">
        <f t="shared" si="17"/>
        <v>2.5237006628812423E-3</v>
      </c>
      <c r="I973" s="7">
        <f>PRODUCT(fact_daily_prices!$F973,fact_daily_prices!$G973)</f>
        <v>5081870.5200000005</v>
      </c>
      <c r="J973" s="7" t="str">
        <f>_xlfn.XLOOKUP(fact_daily_prices!$B973,dim_company[company_id],dim_company[sector_id])</f>
        <v>SEC03</v>
      </c>
      <c r="K973" s="21" t="str">
        <f>_xlfn.XLOOKUP(fact_daily_prices!$J973,dim_sector[sector_id],dim_sector[sector_name])</f>
        <v>Healthcare</v>
      </c>
      <c r="L973" t="str">
        <v>COMP008-07-04-2025</v>
      </c>
      <c r="M973" t="str">
        <f>_xlfn.CONCAT(A972," ",B972)</f>
        <v>45751 COMP008</v>
      </c>
    </row>
    <row r="974" spans="1:13" x14ac:dyDescent="0.3">
      <c r="A974" s="17">
        <v>45755</v>
      </c>
      <c r="B974" s="18" t="s">
        <v>33</v>
      </c>
      <c r="C974" s="18">
        <v>1235.49</v>
      </c>
      <c r="D974" s="18">
        <v>1249.81</v>
      </c>
      <c r="E974" s="18">
        <v>1221.18</v>
      </c>
      <c r="F974" s="18">
        <v>1227.3399999999999</v>
      </c>
      <c r="G974" s="18">
        <v>20601</v>
      </c>
      <c r="H974" s="18">
        <f t="shared" si="17"/>
        <v>5.6300617595775046E-3</v>
      </c>
      <c r="I974" s="18">
        <f>PRODUCT(fact_daily_prices!$F974,fact_daily_prices!$G974)</f>
        <v>25284431.34</v>
      </c>
      <c r="J974" s="18" t="str">
        <f>_xlfn.XLOOKUP(fact_daily_prices!$B974,dim_company[company_id],dim_company[sector_id])</f>
        <v>SEC03</v>
      </c>
      <c r="K974" s="19" t="str">
        <f>_xlfn.XLOOKUP(fact_daily_prices!$J974,dim_sector[sector_id],dim_sector[sector_name])</f>
        <v>Healthcare</v>
      </c>
      <c r="L974" t="str">
        <v>COMP008-08-04-2025</v>
      </c>
      <c r="M974" t="str">
        <f>_xlfn.CONCAT(A973," ",B973)</f>
        <v>45754 COMP008</v>
      </c>
    </row>
    <row r="975" spans="1:13" x14ac:dyDescent="0.3">
      <c r="A975" s="20">
        <v>45756</v>
      </c>
      <c r="B975" s="7" t="s">
        <v>33</v>
      </c>
      <c r="C975" s="7">
        <v>1245.21</v>
      </c>
      <c r="D975" s="7">
        <v>1255.17</v>
      </c>
      <c r="E975" s="7">
        <v>1235.26</v>
      </c>
      <c r="F975" s="7">
        <v>1248.93</v>
      </c>
      <c r="G975" s="7">
        <v>5552</v>
      </c>
      <c r="H975" s="7">
        <f t="shared" si="17"/>
        <v>1.7286797498658968E-2</v>
      </c>
      <c r="I975" s="7">
        <f>PRODUCT(fact_daily_prices!$F975,fact_daily_prices!$G975)</f>
        <v>6934059.3600000003</v>
      </c>
      <c r="J975" s="7" t="str">
        <f>_xlfn.XLOOKUP(fact_daily_prices!$B975,dim_company[company_id],dim_company[sector_id])</f>
        <v>SEC03</v>
      </c>
      <c r="K975" s="21" t="str">
        <f>_xlfn.XLOOKUP(fact_daily_prices!$J975,dim_sector[sector_id],dim_sector[sector_name])</f>
        <v>Healthcare</v>
      </c>
      <c r="L975" t="str">
        <v>COMP008-09-04-2025</v>
      </c>
      <c r="M975" t="str">
        <f>_xlfn.CONCAT(A974," ",B974)</f>
        <v>45755 COMP008</v>
      </c>
    </row>
    <row r="976" spans="1:13" x14ac:dyDescent="0.3">
      <c r="A976" s="17">
        <v>45757</v>
      </c>
      <c r="B976" s="18" t="s">
        <v>33</v>
      </c>
      <c r="C976" s="18">
        <v>1259.57</v>
      </c>
      <c r="D976" s="18">
        <v>1270.7</v>
      </c>
      <c r="E976" s="18">
        <v>1248.44</v>
      </c>
      <c r="F976" s="18">
        <v>1262.9100000000001</v>
      </c>
      <c r="G976" s="18">
        <v>3671</v>
      </c>
      <c r="H976" s="18">
        <f t="shared" si="17"/>
        <v>1.106967242321307E-2</v>
      </c>
      <c r="I976" s="18">
        <f>PRODUCT(fact_daily_prices!$F976,fact_daily_prices!$G976)</f>
        <v>4636142.6100000003</v>
      </c>
      <c r="J976" s="18" t="str">
        <f>_xlfn.XLOOKUP(fact_daily_prices!$B976,dim_company[company_id],dim_company[sector_id])</f>
        <v>SEC03</v>
      </c>
      <c r="K976" s="19" t="str">
        <f>_xlfn.XLOOKUP(fact_daily_prices!$J976,dim_sector[sector_id],dim_sector[sector_name])</f>
        <v>Healthcare</v>
      </c>
      <c r="L976" t="str">
        <v>COMP008-10-04-2025</v>
      </c>
      <c r="M976" t="str">
        <f>_xlfn.CONCAT(A975," ",B975)</f>
        <v>45756 COMP008</v>
      </c>
    </row>
    <row r="977" spans="1:13" x14ac:dyDescent="0.3">
      <c r="A977" s="20">
        <v>45758</v>
      </c>
      <c r="B977" s="7" t="s">
        <v>33</v>
      </c>
      <c r="C977" s="7">
        <v>1291.8</v>
      </c>
      <c r="D977" s="7">
        <v>1310.3900000000001</v>
      </c>
      <c r="E977" s="7">
        <v>1273.21</v>
      </c>
      <c r="F977" s="7">
        <v>1287.6199999999999</v>
      </c>
      <c r="G977" s="7">
        <v>4722</v>
      </c>
      <c r="H977" s="7">
        <f t="shared" si="17"/>
        <v>1.919044438576584E-2</v>
      </c>
      <c r="I977" s="7">
        <f>PRODUCT(fact_daily_prices!$F977,fact_daily_prices!$G977)</f>
        <v>6080141.6399999997</v>
      </c>
      <c r="J977" s="7" t="str">
        <f>_xlfn.XLOOKUP(fact_daily_prices!$B977,dim_company[company_id],dim_company[sector_id])</f>
        <v>SEC03</v>
      </c>
      <c r="K977" s="21" t="str">
        <f>_xlfn.XLOOKUP(fact_daily_prices!$J977,dim_sector[sector_id],dim_sector[sector_name])</f>
        <v>Healthcare</v>
      </c>
      <c r="L977" t="str">
        <v>COMP008-11-04-2025</v>
      </c>
      <c r="M977" t="str">
        <f>_xlfn.CONCAT(A976," ",B976)</f>
        <v>45757 COMP008</v>
      </c>
    </row>
    <row r="978" spans="1:13" x14ac:dyDescent="0.3">
      <c r="A978" s="17">
        <v>45761</v>
      </c>
      <c r="B978" s="18" t="s">
        <v>33</v>
      </c>
      <c r="C978" s="18">
        <v>1289.43</v>
      </c>
      <c r="D978" s="18">
        <v>1307.5999999999999</v>
      </c>
      <c r="E978" s="18">
        <v>1271.26</v>
      </c>
      <c r="F978" s="18">
        <v>1289.22</v>
      </c>
      <c r="G978" s="18">
        <v>22438</v>
      </c>
      <c r="H978" s="18">
        <f t="shared" si="17"/>
        <v>1.2410604861855512E-3</v>
      </c>
      <c r="I978" s="18">
        <f>PRODUCT(fact_daily_prices!$F978,fact_daily_prices!$G978)</f>
        <v>28927518.359999999</v>
      </c>
      <c r="J978" s="18" t="str">
        <f>_xlfn.XLOOKUP(fact_daily_prices!$B978,dim_company[company_id],dim_company[sector_id])</f>
        <v>SEC03</v>
      </c>
      <c r="K978" s="19" t="str">
        <f>_xlfn.XLOOKUP(fact_daily_prices!$J978,dim_sector[sector_id],dim_sector[sector_name])</f>
        <v>Healthcare</v>
      </c>
      <c r="L978" t="str">
        <v>COMP008-14-04-2025</v>
      </c>
      <c r="M978" t="str">
        <f>_xlfn.CONCAT(A977," ",B977)</f>
        <v>45758 COMP008</v>
      </c>
    </row>
    <row r="979" spans="1:13" x14ac:dyDescent="0.3">
      <c r="A979" s="20">
        <v>45762</v>
      </c>
      <c r="B979" s="7" t="s">
        <v>33</v>
      </c>
      <c r="C979" s="7">
        <v>1311.6</v>
      </c>
      <c r="D979" s="7">
        <v>1326.39</v>
      </c>
      <c r="E979" s="7">
        <v>1296.81</v>
      </c>
      <c r="F979" s="7">
        <v>1315.99</v>
      </c>
      <c r="G979" s="7">
        <v>33247</v>
      </c>
      <c r="H979" s="7">
        <f t="shared" si="17"/>
        <v>2.0342099863980716E-2</v>
      </c>
      <c r="I979" s="7">
        <f>PRODUCT(fact_daily_prices!$F979,fact_daily_prices!$G979)</f>
        <v>43752719.530000001</v>
      </c>
      <c r="J979" s="7" t="str">
        <f>_xlfn.XLOOKUP(fact_daily_prices!$B979,dim_company[company_id],dim_company[sector_id])</f>
        <v>SEC03</v>
      </c>
      <c r="K979" s="21" t="str">
        <f>_xlfn.XLOOKUP(fact_daily_prices!$J979,dim_sector[sector_id],dim_sector[sector_name])</f>
        <v>Healthcare</v>
      </c>
      <c r="L979" t="str">
        <v>COMP008-15-04-2025</v>
      </c>
      <c r="M979" t="str">
        <f>_xlfn.CONCAT(A978," ",B978)</f>
        <v>45761 COMP008</v>
      </c>
    </row>
    <row r="980" spans="1:13" x14ac:dyDescent="0.3">
      <c r="A980" s="17">
        <v>45763</v>
      </c>
      <c r="B980" s="18" t="s">
        <v>33</v>
      </c>
      <c r="C980" s="18">
        <v>1320.41</v>
      </c>
      <c r="D980" s="18">
        <v>1343.58</v>
      </c>
      <c r="E980" s="18">
        <v>1297.24</v>
      </c>
      <c r="F980" s="18">
        <v>1322.28</v>
      </c>
      <c r="G980" s="18">
        <v>21435</v>
      </c>
      <c r="H980" s="18">
        <f t="shared" si="17"/>
        <v>4.756934991075993E-3</v>
      </c>
      <c r="I980" s="18">
        <f>PRODUCT(fact_daily_prices!$F980,fact_daily_prices!$G980)</f>
        <v>28343071.800000001</v>
      </c>
      <c r="J980" s="18" t="str">
        <f>_xlfn.XLOOKUP(fact_daily_prices!$B980,dim_company[company_id],dim_company[sector_id])</f>
        <v>SEC03</v>
      </c>
      <c r="K980" s="19" t="str">
        <f>_xlfn.XLOOKUP(fact_daily_prices!$J980,dim_sector[sector_id],dim_sector[sector_name])</f>
        <v>Healthcare</v>
      </c>
      <c r="L980" t="str">
        <v>COMP008-16-04-2025</v>
      </c>
      <c r="M980" t="str">
        <f>_xlfn.CONCAT(A979," ",B979)</f>
        <v>45762 COMP008</v>
      </c>
    </row>
    <row r="981" spans="1:13" x14ac:dyDescent="0.3">
      <c r="A981" s="20">
        <v>45764</v>
      </c>
      <c r="B981" s="7" t="s">
        <v>33</v>
      </c>
      <c r="C981" s="7">
        <v>1322.26</v>
      </c>
      <c r="D981" s="7">
        <v>1335.54</v>
      </c>
      <c r="E981" s="7">
        <v>1308.99</v>
      </c>
      <c r="F981" s="7">
        <v>1325.41</v>
      </c>
      <c r="G981" s="7">
        <v>28386</v>
      </c>
      <c r="H981" s="7">
        <f t="shared" si="17"/>
        <v>2.3615334123026905E-3</v>
      </c>
      <c r="I981" s="7">
        <f>PRODUCT(fact_daily_prices!$F981,fact_daily_prices!$G981)</f>
        <v>37623088.260000005</v>
      </c>
      <c r="J981" s="7" t="str">
        <f>_xlfn.XLOOKUP(fact_daily_prices!$B981,dim_company[company_id],dim_company[sector_id])</f>
        <v>SEC03</v>
      </c>
      <c r="K981" s="21" t="str">
        <f>_xlfn.XLOOKUP(fact_daily_prices!$J981,dim_sector[sector_id],dim_sector[sector_name])</f>
        <v>Healthcare</v>
      </c>
      <c r="L981" t="str">
        <v>COMP008-17-04-2025</v>
      </c>
      <c r="M981" t="str">
        <f>_xlfn.CONCAT(A980," ",B980)</f>
        <v>45763 COMP008</v>
      </c>
    </row>
    <row r="982" spans="1:13" x14ac:dyDescent="0.3">
      <c r="A982" s="17">
        <v>45765</v>
      </c>
      <c r="B982" s="18" t="s">
        <v>33</v>
      </c>
      <c r="C982" s="18">
        <v>1347.42</v>
      </c>
      <c r="D982" s="18">
        <v>1371.43</v>
      </c>
      <c r="E982" s="18">
        <v>1323.42</v>
      </c>
      <c r="F982" s="18">
        <v>1350.36</v>
      </c>
      <c r="G982" s="18">
        <v>3123</v>
      </c>
      <c r="H982" s="18">
        <f t="shared" si="17"/>
        <v>1.8476554400307932E-2</v>
      </c>
      <c r="I982" s="18">
        <f>PRODUCT(fact_daily_prices!$F982,fact_daily_prices!$G982)</f>
        <v>4217174.2799999993</v>
      </c>
      <c r="J982" s="18" t="str">
        <f>_xlfn.XLOOKUP(fact_daily_prices!$B982,dim_company[company_id],dim_company[sector_id])</f>
        <v>SEC03</v>
      </c>
      <c r="K982" s="19" t="str">
        <f>_xlfn.XLOOKUP(fact_daily_prices!$J982,dim_sector[sector_id],dim_sector[sector_name])</f>
        <v>Healthcare</v>
      </c>
      <c r="L982" t="str">
        <v>COMP008-18-04-2025</v>
      </c>
      <c r="M982" t="str">
        <f>_xlfn.CONCAT(A981," ",B981)</f>
        <v>45764 COMP008</v>
      </c>
    </row>
    <row r="983" spans="1:13" x14ac:dyDescent="0.3">
      <c r="A983" s="20">
        <v>45768</v>
      </c>
      <c r="B983" s="7" t="s">
        <v>33</v>
      </c>
      <c r="C983" s="7">
        <v>1335.54</v>
      </c>
      <c r="D983" s="7">
        <v>1353.54</v>
      </c>
      <c r="E983" s="7">
        <v>1317.54</v>
      </c>
      <c r="F983" s="7">
        <v>1335.92</v>
      </c>
      <c r="G983" s="7">
        <v>48216</v>
      </c>
      <c r="H983" s="7">
        <f t="shared" si="17"/>
        <v>-1.0809030480866988E-2</v>
      </c>
      <c r="I983" s="7">
        <f>PRODUCT(fact_daily_prices!$F983,fact_daily_prices!$G983)</f>
        <v>64412718.720000006</v>
      </c>
      <c r="J983" s="7" t="str">
        <f>_xlfn.XLOOKUP(fact_daily_prices!$B983,dim_company[company_id],dim_company[sector_id])</f>
        <v>SEC03</v>
      </c>
      <c r="K983" s="21" t="str">
        <f>_xlfn.XLOOKUP(fact_daily_prices!$J983,dim_sector[sector_id],dim_sector[sector_name])</f>
        <v>Healthcare</v>
      </c>
      <c r="L983" t="str">
        <v>COMP008-21-04-2025</v>
      </c>
      <c r="M983" t="str">
        <f>_xlfn.CONCAT(A982," ",B982)</f>
        <v>45765 COMP008</v>
      </c>
    </row>
    <row r="984" spans="1:13" x14ac:dyDescent="0.3">
      <c r="A984" s="17">
        <v>45769</v>
      </c>
      <c r="B984" s="18" t="s">
        <v>33</v>
      </c>
      <c r="C984" s="18">
        <v>1372.2</v>
      </c>
      <c r="D984" s="18">
        <v>1379.09</v>
      </c>
      <c r="E984" s="18">
        <v>1365.31</v>
      </c>
      <c r="F984" s="18">
        <v>1370.74</v>
      </c>
      <c r="G984" s="18">
        <v>14001</v>
      </c>
      <c r="H984" s="18">
        <f t="shared" si="17"/>
        <v>2.5402337423581375E-2</v>
      </c>
      <c r="I984" s="18">
        <f>PRODUCT(fact_daily_prices!$F984,fact_daily_prices!$G984)</f>
        <v>19191730.739999998</v>
      </c>
      <c r="J984" s="18" t="str">
        <f>_xlfn.XLOOKUP(fact_daily_prices!$B984,dim_company[company_id],dim_company[sector_id])</f>
        <v>SEC03</v>
      </c>
      <c r="K984" s="19" t="str">
        <f>_xlfn.XLOOKUP(fact_daily_prices!$J984,dim_sector[sector_id],dim_sector[sector_name])</f>
        <v>Healthcare</v>
      </c>
      <c r="L984" t="str">
        <v>COMP008-22-04-2025</v>
      </c>
      <c r="M984" t="str">
        <f>_xlfn.CONCAT(A983," ",B983)</f>
        <v>45768 COMP008</v>
      </c>
    </row>
    <row r="985" spans="1:13" x14ac:dyDescent="0.3">
      <c r="A985" s="20">
        <v>45770</v>
      </c>
      <c r="B985" s="7" t="s">
        <v>33</v>
      </c>
      <c r="C985" s="7">
        <v>1371.67</v>
      </c>
      <c r="D985" s="7">
        <v>1383.22</v>
      </c>
      <c r="E985" s="7">
        <v>1360.12</v>
      </c>
      <c r="F985" s="7">
        <v>1366.21</v>
      </c>
      <c r="G985" s="7">
        <v>49174</v>
      </c>
      <c r="H985" s="7">
        <f t="shared" si="17"/>
        <v>-3.3157420894298628E-3</v>
      </c>
      <c r="I985" s="7">
        <f>PRODUCT(fact_daily_prices!$F985,fact_daily_prices!$G985)</f>
        <v>67182010.540000007</v>
      </c>
      <c r="J985" s="7" t="str">
        <f>_xlfn.XLOOKUP(fact_daily_prices!$B985,dim_company[company_id],dim_company[sector_id])</f>
        <v>SEC03</v>
      </c>
      <c r="K985" s="21" t="str">
        <f>_xlfn.XLOOKUP(fact_daily_prices!$J985,dim_sector[sector_id],dim_sector[sector_name])</f>
        <v>Healthcare</v>
      </c>
      <c r="L985" t="str">
        <v>COMP008-23-04-2025</v>
      </c>
      <c r="M985" t="str">
        <f>_xlfn.CONCAT(A984," ",B984)</f>
        <v>45769 COMP008</v>
      </c>
    </row>
    <row r="986" spans="1:13" x14ac:dyDescent="0.3">
      <c r="A986" s="17">
        <v>45771</v>
      </c>
      <c r="B986" s="18" t="s">
        <v>33</v>
      </c>
      <c r="C986" s="18">
        <v>1340.07</v>
      </c>
      <c r="D986" s="18">
        <v>1359.09</v>
      </c>
      <c r="E986" s="18">
        <v>1321.04</v>
      </c>
      <c r="F986" s="18">
        <v>1345.72</v>
      </c>
      <c r="G986" s="18">
        <v>36739</v>
      </c>
      <c r="H986" s="18">
        <f t="shared" si="17"/>
        <v>-1.5226049995541427E-2</v>
      </c>
      <c r="I986" s="18">
        <f>PRODUCT(fact_daily_prices!$F986,fact_daily_prices!$G986)</f>
        <v>49440407.079999998</v>
      </c>
      <c r="J986" s="18" t="str">
        <f>_xlfn.XLOOKUP(fact_daily_prices!$B986,dim_company[company_id],dim_company[sector_id])</f>
        <v>SEC03</v>
      </c>
      <c r="K986" s="19" t="str">
        <f>_xlfn.XLOOKUP(fact_daily_prices!$J986,dim_sector[sector_id],dim_sector[sector_name])</f>
        <v>Healthcare</v>
      </c>
      <c r="L986" t="str">
        <v>COMP008-24-04-2025</v>
      </c>
      <c r="M986" t="str">
        <f>_xlfn.CONCAT(A985," ",B985)</f>
        <v>45770 COMP008</v>
      </c>
    </row>
    <row r="987" spans="1:13" x14ac:dyDescent="0.3">
      <c r="A987" s="20">
        <v>45772</v>
      </c>
      <c r="B987" s="7" t="s">
        <v>33</v>
      </c>
      <c r="C987" s="7">
        <v>1351.27</v>
      </c>
      <c r="D987" s="7">
        <v>1360.71</v>
      </c>
      <c r="E987" s="7">
        <v>1341.82</v>
      </c>
      <c r="F987" s="7">
        <v>1357.17</v>
      </c>
      <c r="G987" s="7">
        <v>30166</v>
      </c>
      <c r="H987" s="7">
        <f t="shared" si="17"/>
        <v>8.4366733717957543E-3</v>
      </c>
      <c r="I987" s="7">
        <f>PRODUCT(fact_daily_prices!$F987,fact_daily_prices!$G987)</f>
        <v>40940390.219999999</v>
      </c>
      <c r="J987" s="7" t="str">
        <f>_xlfn.XLOOKUP(fact_daily_prices!$B987,dim_company[company_id],dim_company[sector_id])</f>
        <v>SEC03</v>
      </c>
      <c r="K987" s="21" t="str">
        <f>_xlfn.XLOOKUP(fact_daily_prices!$J987,dim_sector[sector_id],dim_sector[sector_name])</f>
        <v>Healthcare</v>
      </c>
      <c r="L987" t="str">
        <v>COMP008-25-04-2025</v>
      </c>
      <c r="M987" t="str">
        <f>_xlfn.CONCAT(A986," ",B986)</f>
        <v>45771 COMP008</v>
      </c>
    </row>
    <row r="988" spans="1:13" x14ac:dyDescent="0.3">
      <c r="A988" s="17">
        <v>45775</v>
      </c>
      <c r="B988" s="18" t="s">
        <v>33</v>
      </c>
      <c r="C988" s="18">
        <v>1349.15</v>
      </c>
      <c r="D988" s="18">
        <v>1371.52</v>
      </c>
      <c r="E988" s="18">
        <v>1326.79</v>
      </c>
      <c r="F988" s="18">
        <v>1351.05</v>
      </c>
      <c r="G988" s="18">
        <v>26592</v>
      </c>
      <c r="H988" s="18">
        <f t="shared" si="17"/>
        <v>-4.5298101476630168E-3</v>
      </c>
      <c r="I988" s="18">
        <f>PRODUCT(fact_daily_prices!$F988,fact_daily_prices!$G988)</f>
        <v>35927121.600000001</v>
      </c>
      <c r="J988" s="18" t="str">
        <f>_xlfn.XLOOKUP(fact_daily_prices!$B988,dim_company[company_id],dim_company[sector_id])</f>
        <v>SEC03</v>
      </c>
      <c r="K988" s="19" t="str">
        <f>_xlfn.XLOOKUP(fact_daily_prices!$J988,dim_sector[sector_id],dim_sector[sector_name])</f>
        <v>Healthcare</v>
      </c>
      <c r="L988" t="str">
        <v>COMP008-28-04-2025</v>
      </c>
      <c r="M988" t="str">
        <f>_xlfn.CONCAT(A987," ",B987)</f>
        <v>45772 COMP008</v>
      </c>
    </row>
    <row r="989" spans="1:13" x14ac:dyDescent="0.3">
      <c r="A989" s="20">
        <v>45776</v>
      </c>
      <c r="B989" s="7" t="s">
        <v>33</v>
      </c>
      <c r="C989" s="7">
        <v>1391.16</v>
      </c>
      <c r="D989" s="7">
        <v>1405.45</v>
      </c>
      <c r="E989" s="7">
        <v>1376.87</v>
      </c>
      <c r="F989" s="7">
        <v>1386.31</v>
      </c>
      <c r="G989" s="7">
        <v>7782</v>
      </c>
      <c r="H989" s="7">
        <f t="shared" si="17"/>
        <v>2.5434426643391444E-2</v>
      </c>
      <c r="I989" s="7">
        <f>PRODUCT(fact_daily_prices!$F989,fact_daily_prices!$G989)</f>
        <v>10788264.42</v>
      </c>
      <c r="J989" s="7" t="str">
        <f>_xlfn.XLOOKUP(fact_daily_prices!$B989,dim_company[company_id],dim_company[sector_id])</f>
        <v>SEC03</v>
      </c>
      <c r="K989" s="21" t="str">
        <f>_xlfn.XLOOKUP(fact_daily_prices!$J989,dim_sector[sector_id],dim_sector[sector_name])</f>
        <v>Healthcare</v>
      </c>
      <c r="L989" t="str">
        <v>COMP008-29-04-2025</v>
      </c>
      <c r="M989" t="str">
        <f>_xlfn.CONCAT(A988," ",B988)</f>
        <v>45775 COMP008</v>
      </c>
    </row>
    <row r="990" spans="1:13" x14ac:dyDescent="0.3">
      <c r="A990" s="17">
        <v>45777</v>
      </c>
      <c r="B990" s="18" t="s">
        <v>33</v>
      </c>
      <c r="C990" s="18">
        <v>1370.2</v>
      </c>
      <c r="D990" s="18">
        <v>1379.56</v>
      </c>
      <c r="E990" s="18">
        <v>1360.85</v>
      </c>
      <c r="F990" s="18">
        <v>1379.1</v>
      </c>
      <c r="G990" s="18">
        <v>9307</v>
      </c>
      <c r="H990" s="18">
        <f t="shared" si="17"/>
        <v>-5.2280472772098015E-3</v>
      </c>
      <c r="I990" s="18">
        <f>PRODUCT(fact_daily_prices!$F990,fact_daily_prices!$G990)</f>
        <v>12835283.699999999</v>
      </c>
      <c r="J990" s="18" t="str">
        <f>_xlfn.XLOOKUP(fact_daily_prices!$B990,dim_company[company_id],dim_company[sector_id])</f>
        <v>SEC03</v>
      </c>
      <c r="K990" s="19" t="str">
        <f>_xlfn.XLOOKUP(fact_daily_prices!$J990,dim_sector[sector_id],dim_sector[sector_name])</f>
        <v>Healthcare</v>
      </c>
      <c r="L990" t="str">
        <v>COMP008-30-04-2025</v>
      </c>
      <c r="M990" t="str">
        <f>_xlfn.CONCAT(A989," ",B989)</f>
        <v>45776 COMP008</v>
      </c>
    </row>
    <row r="991" spans="1:13" x14ac:dyDescent="0.3">
      <c r="A991" s="20">
        <v>45778</v>
      </c>
      <c r="B991" s="7" t="s">
        <v>33</v>
      </c>
      <c r="C991" s="7">
        <v>1388.49</v>
      </c>
      <c r="D991" s="7">
        <v>1394.2</v>
      </c>
      <c r="E991" s="7">
        <v>1382.78</v>
      </c>
      <c r="F991" s="7">
        <v>1384.9</v>
      </c>
      <c r="G991" s="7">
        <v>39346</v>
      </c>
      <c r="H991" s="7">
        <f t="shared" si="17"/>
        <v>4.1880280164634139E-3</v>
      </c>
      <c r="I991" s="7">
        <f>PRODUCT(fact_daily_prices!$F991,fact_daily_prices!$G991)</f>
        <v>54490275.400000006</v>
      </c>
      <c r="J991" s="7" t="str">
        <f>_xlfn.XLOOKUP(fact_daily_prices!$B991,dim_company[company_id],dim_company[sector_id])</f>
        <v>SEC03</v>
      </c>
      <c r="K991" s="21" t="str">
        <f>_xlfn.XLOOKUP(fact_daily_prices!$J991,dim_sector[sector_id],dim_sector[sector_name])</f>
        <v>Healthcare</v>
      </c>
      <c r="L991" t="str">
        <v>COMP008-01-05-2025</v>
      </c>
      <c r="M991" t="str">
        <f>_xlfn.CONCAT(A990," ",B990)</f>
        <v>45777 COMP008</v>
      </c>
    </row>
    <row r="992" spans="1:13" x14ac:dyDescent="0.3">
      <c r="A992" s="17">
        <v>45779</v>
      </c>
      <c r="B992" s="18" t="s">
        <v>33</v>
      </c>
      <c r="C992" s="18">
        <v>1349.54</v>
      </c>
      <c r="D992" s="18">
        <v>1361.22</v>
      </c>
      <c r="E992" s="18">
        <v>1337.85</v>
      </c>
      <c r="F992" s="18">
        <v>1360.57</v>
      </c>
      <c r="G992" s="18">
        <v>22164</v>
      </c>
      <c r="H992" s="18">
        <f t="shared" si="17"/>
        <v>-1.788221113209916E-2</v>
      </c>
      <c r="I992" s="18">
        <f>PRODUCT(fact_daily_prices!$F992,fact_daily_prices!$G992)</f>
        <v>30155673.48</v>
      </c>
      <c r="J992" s="18" t="str">
        <f>_xlfn.XLOOKUP(fact_daily_prices!$B992,dim_company[company_id],dim_company[sector_id])</f>
        <v>SEC03</v>
      </c>
      <c r="K992" s="19" t="str">
        <f>_xlfn.XLOOKUP(fact_daily_prices!$J992,dim_sector[sector_id],dim_sector[sector_name])</f>
        <v>Healthcare</v>
      </c>
      <c r="L992" t="str">
        <v>COMP008-02-05-2025</v>
      </c>
      <c r="M992" t="str">
        <f>_xlfn.CONCAT(A991," ",B991)</f>
        <v>45778 COMP008</v>
      </c>
    </row>
    <row r="993" spans="1:13" x14ac:dyDescent="0.3">
      <c r="A993" s="20">
        <v>45782</v>
      </c>
      <c r="B993" s="7" t="s">
        <v>33</v>
      </c>
      <c r="C993" s="7">
        <v>1375.46</v>
      </c>
      <c r="D993" s="7">
        <v>1383.28</v>
      </c>
      <c r="E993" s="7">
        <v>1367.63</v>
      </c>
      <c r="F993" s="7">
        <v>1374.91</v>
      </c>
      <c r="G993" s="7">
        <v>3941</v>
      </c>
      <c r="H993" s="7">
        <f t="shared" si="17"/>
        <v>1.0429773585180225E-2</v>
      </c>
      <c r="I993" s="7">
        <f>PRODUCT(fact_daily_prices!$F993,fact_daily_prices!$G993)</f>
        <v>5418520.3100000005</v>
      </c>
      <c r="J993" s="7" t="str">
        <f>_xlfn.XLOOKUP(fact_daily_prices!$B993,dim_company[company_id],dim_company[sector_id])</f>
        <v>SEC03</v>
      </c>
      <c r="K993" s="21" t="str">
        <f>_xlfn.XLOOKUP(fact_daily_prices!$J993,dim_sector[sector_id],dim_sector[sector_name])</f>
        <v>Healthcare</v>
      </c>
      <c r="L993" t="str">
        <v>COMP008-05-05-2025</v>
      </c>
      <c r="M993" t="str">
        <f>_xlfn.CONCAT(A992," ",B992)</f>
        <v>45779 COMP008</v>
      </c>
    </row>
    <row r="994" spans="1:13" x14ac:dyDescent="0.3">
      <c r="A994" s="17">
        <v>45783</v>
      </c>
      <c r="B994" s="18" t="s">
        <v>33</v>
      </c>
      <c r="C994" s="18">
        <v>1361.04</v>
      </c>
      <c r="D994" s="18">
        <v>1385.48</v>
      </c>
      <c r="E994" s="18">
        <v>1336.6</v>
      </c>
      <c r="F994" s="18">
        <v>1361.83</v>
      </c>
      <c r="G994" s="18">
        <v>46865</v>
      </c>
      <c r="H994" s="18">
        <f t="shared" si="17"/>
        <v>-9.6047230564755923E-3</v>
      </c>
      <c r="I994" s="18">
        <f>PRODUCT(fact_daily_prices!$F994,fact_daily_prices!$G994)</f>
        <v>63822162.949999996</v>
      </c>
      <c r="J994" s="18" t="str">
        <f>_xlfn.XLOOKUP(fact_daily_prices!$B994,dim_company[company_id],dim_company[sector_id])</f>
        <v>SEC03</v>
      </c>
      <c r="K994" s="19" t="str">
        <f>_xlfn.XLOOKUP(fact_daily_prices!$J994,dim_sector[sector_id],dim_sector[sector_name])</f>
        <v>Healthcare</v>
      </c>
      <c r="L994" t="str">
        <v>COMP008-06-05-2025</v>
      </c>
      <c r="M994" t="str">
        <f>_xlfn.CONCAT(A993," ",B993)</f>
        <v>45782 COMP008</v>
      </c>
    </row>
    <row r="995" spans="1:13" x14ac:dyDescent="0.3">
      <c r="A995" s="20">
        <v>45784</v>
      </c>
      <c r="B995" s="7" t="s">
        <v>33</v>
      </c>
      <c r="C995" s="7">
        <v>1383.91</v>
      </c>
      <c r="D995" s="7">
        <v>1399.58</v>
      </c>
      <c r="E995" s="7">
        <v>1368.23</v>
      </c>
      <c r="F995" s="7">
        <v>1374.11</v>
      </c>
      <c r="G995" s="7">
        <v>26359</v>
      </c>
      <c r="H995" s="7">
        <f t="shared" si="17"/>
        <v>8.9366935689282317E-3</v>
      </c>
      <c r="I995" s="7">
        <f>PRODUCT(fact_daily_prices!$F995,fact_daily_prices!$G995)</f>
        <v>36220165.489999995</v>
      </c>
      <c r="J995" s="7" t="str">
        <f>_xlfn.XLOOKUP(fact_daily_prices!$B995,dim_company[company_id],dim_company[sector_id])</f>
        <v>SEC03</v>
      </c>
      <c r="K995" s="21" t="str">
        <f>_xlfn.XLOOKUP(fact_daily_prices!$J995,dim_sector[sector_id],dim_sector[sector_name])</f>
        <v>Healthcare</v>
      </c>
      <c r="L995" t="str">
        <v>COMP008-07-05-2025</v>
      </c>
      <c r="M995" t="str">
        <f>_xlfn.CONCAT(A994," ",B994)</f>
        <v>45783 COMP008</v>
      </c>
    </row>
    <row r="996" spans="1:13" x14ac:dyDescent="0.3">
      <c r="A996" s="17">
        <v>45785</v>
      </c>
      <c r="B996" s="18" t="s">
        <v>33</v>
      </c>
      <c r="C996" s="18">
        <v>1369.51</v>
      </c>
      <c r="D996" s="18">
        <v>1382.73</v>
      </c>
      <c r="E996" s="18">
        <v>1356.29</v>
      </c>
      <c r="F996" s="18">
        <v>1367.04</v>
      </c>
      <c r="G996" s="18">
        <v>9378</v>
      </c>
      <c r="H996" s="18">
        <f t="shared" si="17"/>
        <v>-5.1717579588014513E-3</v>
      </c>
      <c r="I996" s="18">
        <f>PRODUCT(fact_daily_prices!$F996,fact_daily_prices!$G996)</f>
        <v>12820101.119999999</v>
      </c>
      <c r="J996" s="18" t="str">
        <f>_xlfn.XLOOKUP(fact_daily_prices!$B996,dim_company[company_id],dim_company[sector_id])</f>
        <v>SEC03</v>
      </c>
      <c r="K996" s="19" t="str">
        <f>_xlfn.XLOOKUP(fact_daily_prices!$J996,dim_sector[sector_id],dim_sector[sector_name])</f>
        <v>Healthcare</v>
      </c>
      <c r="L996" t="str">
        <v>COMP008-08-05-2025</v>
      </c>
      <c r="M996" t="str">
        <f>_xlfn.CONCAT(A995," ",B995)</f>
        <v>45784 COMP008</v>
      </c>
    </row>
    <row r="997" spans="1:13" x14ac:dyDescent="0.3">
      <c r="A997" s="20">
        <v>45786</v>
      </c>
      <c r="B997" s="7" t="s">
        <v>33</v>
      </c>
      <c r="C997" s="7">
        <v>1340.17</v>
      </c>
      <c r="D997" s="7">
        <v>1348.09</v>
      </c>
      <c r="E997" s="7">
        <v>1332.25</v>
      </c>
      <c r="F997" s="7">
        <v>1332.55</v>
      </c>
      <c r="G997" s="7">
        <v>14675</v>
      </c>
      <c r="H997" s="7">
        <f t="shared" si="17"/>
        <v>-2.5882706089827782E-2</v>
      </c>
      <c r="I997" s="7">
        <f>PRODUCT(fact_daily_prices!$F997,fact_daily_prices!$G997)</f>
        <v>19555171.25</v>
      </c>
      <c r="J997" s="7" t="str">
        <f>_xlfn.XLOOKUP(fact_daily_prices!$B997,dim_company[company_id],dim_company[sector_id])</f>
        <v>SEC03</v>
      </c>
      <c r="K997" s="21" t="str">
        <f>_xlfn.XLOOKUP(fact_daily_prices!$J997,dim_sector[sector_id],dim_sector[sector_name])</f>
        <v>Healthcare</v>
      </c>
      <c r="L997" t="str">
        <v>COMP008-09-05-2025</v>
      </c>
      <c r="M997" t="str">
        <f>_xlfn.CONCAT(A996," ",B996)</f>
        <v>45785 COMP008</v>
      </c>
    </row>
    <row r="998" spans="1:13" x14ac:dyDescent="0.3">
      <c r="A998" s="17">
        <v>45789</v>
      </c>
      <c r="B998" s="18" t="s">
        <v>33</v>
      </c>
      <c r="C998" s="18">
        <v>1335.95</v>
      </c>
      <c r="D998" s="18">
        <v>1343.45</v>
      </c>
      <c r="E998" s="18">
        <v>1328.45</v>
      </c>
      <c r="F998" s="18">
        <v>1335.07</v>
      </c>
      <c r="G998" s="18">
        <v>36113</v>
      </c>
      <c r="H998" s="18">
        <f t="shared" si="17"/>
        <v>1.8875414772258998E-3</v>
      </c>
      <c r="I998" s="18">
        <f>PRODUCT(fact_daily_prices!$F998,fact_daily_prices!$G998)</f>
        <v>48213382.909999996</v>
      </c>
      <c r="J998" s="18" t="str">
        <f>_xlfn.XLOOKUP(fact_daily_prices!$B998,dim_company[company_id],dim_company[sector_id])</f>
        <v>SEC03</v>
      </c>
      <c r="K998" s="19" t="str">
        <f>_xlfn.XLOOKUP(fact_daily_prices!$J998,dim_sector[sector_id],dim_sector[sector_name])</f>
        <v>Healthcare</v>
      </c>
      <c r="L998" t="str">
        <v>COMP008-12-05-2025</v>
      </c>
      <c r="M998" t="str">
        <f>_xlfn.CONCAT(A997," ",B997)</f>
        <v>45786 COMP008</v>
      </c>
    </row>
    <row r="999" spans="1:13" x14ac:dyDescent="0.3">
      <c r="A999" s="20">
        <v>45790</v>
      </c>
      <c r="B999" s="7" t="s">
        <v>33</v>
      </c>
      <c r="C999" s="7">
        <v>1339.39</v>
      </c>
      <c r="D999" s="7">
        <v>1352.58</v>
      </c>
      <c r="E999" s="7">
        <v>1326.21</v>
      </c>
      <c r="F999" s="7">
        <v>1336.85</v>
      </c>
      <c r="G999" s="7">
        <v>6877</v>
      </c>
      <c r="H999" s="7">
        <f t="shared" si="17"/>
        <v>1.3314881998728152E-3</v>
      </c>
      <c r="I999" s="7">
        <f>PRODUCT(fact_daily_prices!$F999,fact_daily_prices!$G999)</f>
        <v>9193517.4499999993</v>
      </c>
      <c r="J999" s="7" t="str">
        <f>_xlfn.XLOOKUP(fact_daily_prices!$B999,dim_company[company_id],dim_company[sector_id])</f>
        <v>SEC03</v>
      </c>
      <c r="K999" s="21" t="str">
        <f>_xlfn.XLOOKUP(fact_daily_prices!$J999,dim_sector[sector_id],dim_sector[sector_name])</f>
        <v>Healthcare</v>
      </c>
      <c r="L999" t="str">
        <v>COMP008-13-05-2025</v>
      </c>
      <c r="M999" t="str">
        <f>_xlfn.CONCAT(A998," ",B998)</f>
        <v>45789 COMP008</v>
      </c>
    </row>
    <row r="1000" spans="1:13" x14ac:dyDescent="0.3">
      <c r="A1000" s="17">
        <v>45791</v>
      </c>
      <c r="B1000" s="18" t="s">
        <v>33</v>
      </c>
      <c r="C1000" s="18">
        <v>1355.73</v>
      </c>
      <c r="D1000" s="18">
        <v>1366.81</v>
      </c>
      <c r="E1000" s="18">
        <v>1344.65</v>
      </c>
      <c r="F1000" s="18">
        <v>1352.09</v>
      </c>
      <c r="G1000" s="18">
        <v>5686</v>
      </c>
      <c r="H1000" s="18">
        <f t="shared" si="17"/>
        <v>1.1271439031425431E-2</v>
      </c>
      <c r="I1000" s="18">
        <f>PRODUCT(fact_daily_prices!$F1000,fact_daily_prices!$G1000)</f>
        <v>7687983.7399999993</v>
      </c>
      <c r="J1000" s="18" t="str">
        <f>_xlfn.XLOOKUP(fact_daily_prices!$B1000,dim_company[company_id],dim_company[sector_id])</f>
        <v>SEC03</v>
      </c>
      <c r="K1000" s="19" t="str">
        <f>_xlfn.XLOOKUP(fact_daily_prices!$J1000,dim_sector[sector_id],dim_sector[sector_name])</f>
        <v>Healthcare</v>
      </c>
      <c r="L1000" t="str">
        <v>COMP008-14-05-2025</v>
      </c>
      <c r="M1000" t="str">
        <f>_xlfn.CONCAT(A999," ",B999)</f>
        <v>45790 COMP008</v>
      </c>
    </row>
    <row r="1001" spans="1:13" x14ac:dyDescent="0.3">
      <c r="A1001" s="20">
        <v>45792</v>
      </c>
      <c r="B1001" s="7" t="s">
        <v>33</v>
      </c>
      <c r="C1001" s="7">
        <v>1370.46</v>
      </c>
      <c r="D1001" s="7">
        <v>1386.67</v>
      </c>
      <c r="E1001" s="7">
        <v>1354.24</v>
      </c>
      <c r="F1001" s="7">
        <v>1379.19</v>
      </c>
      <c r="G1001" s="7">
        <v>13205</v>
      </c>
      <c r="H1001" s="7">
        <f t="shared" si="17"/>
        <v>1.964921439395597E-2</v>
      </c>
      <c r="I1001" s="7">
        <f>PRODUCT(fact_daily_prices!$F1001,fact_daily_prices!$G1001)</f>
        <v>18212203.949999999</v>
      </c>
      <c r="J1001" s="7" t="str">
        <f>_xlfn.XLOOKUP(fact_daily_prices!$B1001,dim_company[company_id],dim_company[sector_id])</f>
        <v>SEC03</v>
      </c>
      <c r="K1001" s="21" t="str">
        <f>_xlfn.XLOOKUP(fact_daily_prices!$J1001,dim_sector[sector_id],dim_sector[sector_name])</f>
        <v>Healthcare</v>
      </c>
      <c r="L1001" t="str">
        <v>COMP008-15-05-2025</v>
      </c>
      <c r="M1001" t="str">
        <f>_xlfn.CONCAT(A1000," ",B1000)</f>
        <v>45791 COMP008</v>
      </c>
    </row>
    <row r="1002" spans="1:13" x14ac:dyDescent="0.3">
      <c r="A1002" s="17">
        <v>45793</v>
      </c>
      <c r="B1002" s="18" t="s">
        <v>33</v>
      </c>
      <c r="C1002" s="18">
        <v>1414.59</v>
      </c>
      <c r="D1002" s="18">
        <v>1418.65</v>
      </c>
      <c r="E1002" s="18">
        <v>1410.52</v>
      </c>
      <c r="F1002" s="18">
        <v>1413.16</v>
      </c>
      <c r="G1002" s="18">
        <v>17524</v>
      </c>
      <c r="H1002" s="18">
        <f t="shared" si="17"/>
        <v>2.4038325455008652E-2</v>
      </c>
      <c r="I1002" s="18">
        <f>PRODUCT(fact_daily_prices!$F1002,fact_daily_prices!$G1002)</f>
        <v>24764215.84</v>
      </c>
      <c r="J1002" s="18" t="str">
        <f>_xlfn.XLOOKUP(fact_daily_prices!$B1002,dim_company[company_id],dim_company[sector_id])</f>
        <v>SEC03</v>
      </c>
      <c r="K1002" s="19" t="str">
        <f>_xlfn.XLOOKUP(fact_daily_prices!$J1002,dim_sector[sector_id],dim_sector[sector_name])</f>
        <v>Healthcare</v>
      </c>
      <c r="L1002" t="str">
        <v>COMP008-16-05-2025</v>
      </c>
      <c r="M1002" t="str">
        <f>_xlfn.CONCAT(A1001," ",B1001)</f>
        <v>45792 COMP008</v>
      </c>
    </row>
    <row r="1003" spans="1:13" x14ac:dyDescent="0.3">
      <c r="A1003" s="20">
        <v>45796</v>
      </c>
      <c r="B1003" s="7" t="s">
        <v>33</v>
      </c>
      <c r="C1003" s="7">
        <v>1429.35</v>
      </c>
      <c r="D1003" s="7">
        <v>1452.75</v>
      </c>
      <c r="E1003" s="7">
        <v>1405.94</v>
      </c>
      <c r="F1003" s="7">
        <v>1428.97</v>
      </c>
      <c r="G1003" s="7">
        <v>17848</v>
      </c>
      <c r="H1003" s="7">
        <f t="shared" si="17"/>
        <v>1.1063913168226027E-2</v>
      </c>
      <c r="I1003" s="7">
        <f>PRODUCT(fact_daily_prices!$F1003,fact_daily_prices!$G1003)</f>
        <v>25504256.559999999</v>
      </c>
      <c r="J1003" s="7" t="str">
        <f>_xlfn.XLOOKUP(fact_daily_prices!$B1003,dim_company[company_id],dim_company[sector_id])</f>
        <v>SEC03</v>
      </c>
      <c r="K1003" s="21" t="str">
        <f>_xlfn.XLOOKUP(fact_daily_prices!$J1003,dim_sector[sector_id],dim_sector[sector_name])</f>
        <v>Healthcare</v>
      </c>
      <c r="L1003" t="str">
        <v>COMP008-19-05-2025</v>
      </c>
      <c r="M1003" t="str">
        <f>_xlfn.CONCAT(A1002," ",B1002)</f>
        <v>45793 COMP008</v>
      </c>
    </row>
    <row r="1004" spans="1:13" x14ac:dyDescent="0.3">
      <c r="A1004" s="17">
        <v>45797</v>
      </c>
      <c r="B1004" s="18" t="s">
        <v>33</v>
      </c>
      <c r="C1004" s="18">
        <v>1425.85</v>
      </c>
      <c r="D1004" s="18">
        <v>1440.82</v>
      </c>
      <c r="E1004" s="18">
        <v>1410.89</v>
      </c>
      <c r="F1004" s="18">
        <v>1434.33</v>
      </c>
      <c r="G1004" s="18">
        <v>39724</v>
      </c>
      <c r="H1004" s="18">
        <f t="shared" si="17"/>
        <v>3.736936409333905E-3</v>
      </c>
      <c r="I1004" s="18">
        <f>PRODUCT(fact_daily_prices!$F1004,fact_daily_prices!$G1004)</f>
        <v>56977324.919999994</v>
      </c>
      <c r="J1004" s="18" t="str">
        <f>_xlfn.XLOOKUP(fact_daily_prices!$B1004,dim_company[company_id],dim_company[sector_id])</f>
        <v>SEC03</v>
      </c>
      <c r="K1004" s="19" t="str">
        <f>_xlfn.XLOOKUP(fact_daily_prices!$J1004,dim_sector[sector_id],dim_sector[sector_name])</f>
        <v>Healthcare</v>
      </c>
      <c r="L1004" t="str">
        <v>COMP008-20-05-2025</v>
      </c>
      <c r="M1004" t="str">
        <f>_xlfn.CONCAT(A1003," ",B1003)</f>
        <v>45796 COMP008</v>
      </c>
    </row>
    <row r="1005" spans="1:13" x14ac:dyDescent="0.3">
      <c r="A1005" s="20">
        <v>45798</v>
      </c>
      <c r="B1005" s="7" t="s">
        <v>33</v>
      </c>
      <c r="C1005" s="7">
        <v>1407.65</v>
      </c>
      <c r="D1005" s="7">
        <v>1411.64</v>
      </c>
      <c r="E1005" s="7">
        <v>1403.66</v>
      </c>
      <c r="F1005" s="7">
        <v>1409.1</v>
      </c>
      <c r="G1005" s="7">
        <v>30301</v>
      </c>
      <c r="H1005" s="7">
        <f t="shared" si="17"/>
        <v>-1.7905045773898245E-2</v>
      </c>
      <c r="I1005" s="7">
        <f>PRODUCT(fact_daily_prices!$F1005,fact_daily_prices!$G1005)</f>
        <v>42697139.099999994</v>
      </c>
      <c r="J1005" s="7" t="str">
        <f>_xlfn.XLOOKUP(fact_daily_prices!$B1005,dim_company[company_id],dim_company[sector_id])</f>
        <v>SEC03</v>
      </c>
      <c r="K1005" s="21" t="str">
        <f>_xlfn.XLOOKUP(fact_daily_prices!$J1005,dim_sector[sector_id],dim_sector[sector_name])</f>
        <v>Healthcare</v>
      </c>
      <c r="L1005" t="str">
        <v>COMP008-21-05-2025</v>
      </c>
      <c r="M1005" t="str">
        <f>_xlfn.CONCAT(A1004," ",B1004)</f>
        <v>45797 COMP008</v>
      </c>
    </row>
    <row r="1006" spans="1:13" x14ac:dyDescent="0.3">
      <c r="A1006" s="17">
        <v>45799</v>
      </c>
      <c r="B1006" s="18" t="s">
        <v>33</v>
      </c>
      <c r="C1006" s="18">
        <v>1405.5</v>
      </c>
      <c r="D1006" s="18">
        <v>1422.57</v>
      </c>
      <c r="E1006" s="18">
        <v>1388.43</v>
      </c>
      <c r="F1006" s="18">
        <v>1413.03</v>
      </c>
      <c r="G1006" s="18">
        <v>29310</v>
      </c>
      <c r="H1006" s="18">
        <f t="shared" si="17"/>
        <v>2.7812572981465813E-3</v>
      </c>
      <c r="I1006" s="18">
        <f>PRODUCT(fact_daily_prices!$F1006,fact_daily_prices!$G1006)</f>
        <v>41415909.299999997</v>
      </c>
      <c r="J1006" s="18" t="str">
        <f>_xlfn.XLOOKUP(fact_daily_prices!$B1006,dim_company[company_id],dim_company[sector_id])</f>
        <v>SEC03</v>
      </c>
      <c r="K1006" s="19" t="str">
        <f>_xlfn.XLOOKUP(fact_daily_prices!$J1006,dim_sector[sector_id],dim_sector[sector_name])</f>
        <v>Healthcare</v>
      </c>
      <c r="L1006" t="str">
        <v>COMP008-22-05-2025</v>
      </c>
      <c r="M1006" t="str">
        <f>_xlfn.CONCAT(A1005," ",B1005)</f>
        <v>45798 COMP008</v>
      </c>
    </row>
    <row r="1007" spans="1:13" x14ac:dyDescent="0.3">
      <c r="A1007" s="20">
        <v>45800</v>
      </c>
      <c r="B1007" s="7" t="s">
        <v>33</v>
      </c>
      <c r="C1007" s="7">
        <v>1409.53</v>
      </c>
      <c r="D1007" s="7">
        <v>1423.19</v>
      </c>
      <c r="E1007" s="7">
        <v>1395.87</v>
      </c>
      <c r="F1007" s="7">
        <v>1417.2</v>
      </c>
      <c r="G1007" s="7">
        <v>39892</v>
      </c>
      <c r="H1007" s="7">
        <f t="shared" si="17"/>
        <v>2.942421676545352E-3</v>
      </c>
      <c r="I1007" s="7">
        <f>PRODUCT(fact_daily_prices!$F1007,fact_daily_prices!$G1007)</f>
        <v>56534942.399999999</v>
      </c>
      <c r="J1007" s="7" t="str">
        <f>_xlfn.XLOOKUP(fact_daily_prices!$B1007,dim_company[company_id],dim_company[sector_id])</f>
        <v>SEC03</v>
      </c>
      <c r="K1007" s="21" t="str">
        <f>_xlfn.XLOOKUP(fact_daily_prices!$J1007,dim_sector[sector_id],dim_sector[sector_name])</f>
        <v>Healthcare</v>
      </c>
      <c r="L1007" t="str">
        <v>COMP008-23-05-2025</v>
      </c>
      <c r="M1007" t="str">
        <f>_xlfn.CONCAT(A1006," ",B1006)</f>
        <v>45799 COMP008</v>
      </c>
    </row>
    <row r="1008" spans="1:13" x14ac:dyDescent="0.3">
      <c r="A1008" s="17">
        <v>45803</v>
      </c>
      <c r="B1008" s="18" t="s">
        <v>33</v>
      </c>
      <c r="C1008" s="18">
        <v>1415.57</v>
      </c>
      <c r="D1008" s="18">
        <v>1438.62</v>
      </c>
      <c r="E1008" s="18">
        <v>1392.53</v>
      </c>
      <c r="F1008" s="18">
        <v>1414</v>
      </c>
      <c r="G1008" s="18">
        <v>24324</v>
      </c>
      <c r="H1008" s="18">
        <f t="shared" si="17"/>
        <v>-2.2630834512022951E-3</v>
      </c>
      <c r="I1008" s="18">
        <f>PRODUCT(fact_daily_prices!$F1008,fact_daily_prices!$G1008)</f>
        <v>34394136</v>
      </c>
      <c r="J1008" s="18" t="str">
        <f>_xlfn.XLOOKUP(fact_daily_prices!$B1008,dim_company[company_id],dim_company[sector_id])</f>
        <v>SEC03</v>
      </c>
      <c r="K1008" s="19" t="str">
        <f>_xlfn.XLOOKUP(fact_daily_prices!$J1008,dim_sector[sector_id],dim_sector[sector_name])</f>
        <v>Healthcare</v>
      </c>
      <c r="L1008" t="str">
        <v>COMP008-26-05-2025</v>
      </c>
      <c r="M1008" t="str">
        <f>_xlfn.CONCAT(A1007," ",B1007)</f>
        <v>45800 COMP008</v>
      </c>
    </row>
    <row r="1009" spans="1:13" x14ac:dyDescent="0.3">
      <c r="A1009" s="20">
        <v>45804</v>
      </c>
      <c r="B1009" s="7" t="s">
        <v>33</v>
      </c>
      <c r="C1009" s="7">
        <v>1424.8</v>
      </c>
      <c r="D1009" s="7">
        <v>1435.19</v>
      </c>
      <c r="E1009" s="7">
        <v>1414.41</v>
      </c>
      <c r="F1009" s="7">
        <v>1425.66</v>
      </c>
      <c r="G1009" s="7">
        <v>13205</v>
      </c>
      <c r="H1009" s="7">
        <f t="shared" si="17"/>
        <v>8.1786681256401112E-3</v>
      </c>
      <c r="I1009" s="7">
        <f>PRODUCT(fact_daily_prices!$F1009,fact_daily_prices!$G1009)</f>
        <v>18825840.300000001</v>
      </c>
      <c r="J1009" s="7" t="str">
        <f>_xlfn.XLOOKUP(fact_daily_prices!$B1009,dim_company[company_id],dim_company[sector_id])</f>
        <v>SEC03</v>
      </c>
      <c r="K1009" s="21" t="str">
        <f>_xlfn.XLOOKUP(fact_daily_prices!$J1009,dim_sector[sector_id],dim_sector[sector_name])</f>
        <v>Healthcare</v>
      </c>
      <c r="L1009" t="str">
        <v>COMP008-27-05-2025</v>
      </c>
      <c r="M1009" t="str">
        <f>_xlfn.CONCAT(A1008," ",B1008)</f>
        <v>45803 COMP008</v>
      </c>
    </row>
    <row r="1010" spans="1:13" x14ac:dyDescent="0.3">
      <c r="A1010" s="17">
        <v>45805</v>
      </c>
      <c r="B1010" s="18" t="s">
        <v>33</v>
      </c>
      <c r="C1010" s="18">
        <v>1451.16</v>
      </c>
      <c r="D1010" s="18">
        <v>1462.28</v>
      </c>
      <c r="E1010" s="18">
        <v>1440.04</v>
      </c>
      <c r="F1010" s="18">
        <v>1446.29</v>
      </c>
      <c r="G1010" s="18">
        <v>4092</v>
      </c>
      <c r="H1010" s="18">
        <f t="shared" si="17"/>
        <v>1.4264082583714111E-2</v>
      </c>
      <c r="I1010" s="18">
        <f>PRODUCT(fact_daily_prices!$F1010,fact_daily_prices!$G1010)</f>
        <v>5918218.6799999997</v>
      </c>
      <c r="J1010" s="18" t="str">
        <f>_xlfn.XLOOKUP(fact_daily_prices!$B1010,dim_company[company_id],dim_company[sector_id])</f>
        <v>SEC03</v>
      </c>
      <c r="K1010" s="19" t="str">
        <f>_xlfn.XLOOKUP(fact_daily_prices!$J1010,dim_sector[sector_id],dim_sector[sector_name])</f>
        <v>Healthcare</v>
      </c>
      <c r="L1010" t="str">
        <v>COMP008-28-05-2025</v>
      </c>
      <c r="M1010" t="str">
        <f>_xlfn.CONCAT(A1009," ",B1009)</f>
        <v>45804 COMP008</v>
      </c>
    </row>
    <row r="1011" spans="1:13" x14ac:dyDescent="0.3">
      <c r="A1011" s="20">
        <v>45806</v>
      </c>
      <c r="B1011" s="7" t="s">
        <v>33</v>
      </c>
      <c r="C1011" s="7">
        <v>1432.45</v>
      </c>
      <c r="D1011" s="7">
        <v>1454.86</v>
      </c>
      <c r="E1011" s="7">
        <v>1410.03</v>
      </c>
      <c r="F1011" s="7">
        <v>1431.8</v>
      </c>
      <c r="G1011" s="7">
        <v>25860</v>
      </c>
      <c r="H1011" s="7">
        <f t="shared" si="17"/>
        <v>-1.0120128509568381E-2</v>
      </c>
      <c r="I1011" s="7">
        <f>PRODUCT(fact_daily_prices!$F1011,fact_daily_prices!$G1011)</f>
        <v>37026348</v>
      </c>
      <c r="J1011" s="7" t="str">
        <f>_xlfn.XLOOKUP(fact_daily_prices!$B1011,dim_company[company_id],dim_company[sector_id])</f>
        <v>SEC03</v>
      </c>
      <c r="K1011" s="21" t="str">
        <f>_xlfn.XLOOKUP(fact_daily_prices!$J1011,dim_sector[sector_id],dim_sector[sector_name])</f>
        <v>Healthcare</v>
      </c>
      <c r="L1011" t="str">
        <v>COMP008-29-05-2025</v>
      </c>
      <c r="M1011" t="str">
        <f>_xlfn.CONCAT(A1010," ",B1010)</f>
        <v>45805 COMP008</v>
      </c>
    </row>
    <row r="1012" spans="1:13" x14ac:dyDescent="0.3">
      <c r="A1012" s="17">
        <v>45807</v>
      </c>
      <c r="B1012" s="18" t="s">
        <v>33</v>
      </c>
      <c r="C1012" s="18">
        <v>1415.49</v>
      </c>
      <c r="D1012" s="18">
        <v>1421.4</v>
      </c>
      <c r="E1012" s="18">
        <v>1409.57</v>
      </c>
      <c r="F1012" s="18">
        <v>1417.17</v>
      </c>
      <c r="G1012" s="18">
        <v>26763</v>
      </c>
      <c r="H1012" s="18">
        <f t="shared" si="17"/>
        <v>-1.0323390983438742E-2</v>
      </c>
      <c r="I1012" s="18">
        <f>PRODUCT(fact_daily_prices!$F1012,fact_daily_prices!$G1012)</f>
        <v>37927720.710000001</v>
      </c>
      <c r="J1012" s="18" t="str">
        <f>_xlfn.XLOOKUP(fact_daily_prices!$B1012,dim_company[company_id],dim_company[sector_id])</f>
        <v>SEC03</v>
      </c>
      <c r="K1012" s="19" t="str">
        <f>_xlfn.XLOOKUP(fact_daily_prices!$J1012,dim_sector[sector_id],dim_sector[sector_name])</f>
        <v>Healthcare</v>
      </c>
      <c r="L1012" t="str">
        <v>COMP008-30-05-2025</v>
      </c>
      <c r="M1012" t="str">
        <f>_xlfn.CONCAT(A1011," ",B1011)</f>
        <v>45806 COMP008</v>
      </c>
    </row>
    <row r="1013" spans="1:13" x14ac:dyDescent="0.3">
      <c r="A1013" s="20">
        <v>45810</v>
      </c>
      <c r="B1013" s="7" t="s">
        <v>33</v>
      </c>
      <c r="C1013" s="7">
        <v>1419.02</v>
      </c>
      <c r="D1013" s="7">
        <v>1426.56</v>
      </c>
      <c r="E1013" s="7">
        <v>1411.47</v>
      </c>
      <c r="F1013" s="7">
        <v>1415.02</v>
      </c>
      <c r="G1013" s="7">
        <v>40876</v>
      </c>
      <c r="H1013" s="7">
        <f t="shared" si="17"/>
        <v>-1.5194131531710443E-3</v>
      </c>
      <c r="I1013" s="7">
        <f>PRODUCT(fact_daily_prices!$F1013,fact_daily_prices!$G1013)</f>
        <v>57840357.519999996</v>
      </c>
      <c r="J1013" s="7" t="str">
        <f>_xlfn.XLOOKUP(fact_daily_prices!$B1013,dim_company[company_id],dim_company[sector_id])</f>
        <v>SEC03</v>
      </c>
      <c r="K1013" s="21" t="str">
        <f>_xlfn.XLOOKUP(fact_daily_prices!$J1013,dim_sector[sector_id],dim_sector[sector_name])</f>
        <v>Healthcare</v>
      </c>
      <c r="L1013" t="str">
        <v>COMP008-02-06-2025</v>
      </c>
      <c r="M1013" t="str">
        <f>_xlfn.CONCAT(A1012," ",B1012)</f>
        <v>45807 COMP008</v>
      </c>
    </row>
    <row r="1014" spans="1:13" x14ac:dyDescent="0.3">
      <c r="A1014" s="17">
        <v>45811</v>
      </c>
      <c r="B1014" s="18" t="s">
        <v>33</v>
      </c>
      <c r="C1014" s="18">
        <v>1407.84</v>
      </c>
      <c r="D1014" s="18">
        <v>1427.67</v>
      </c>
      <c r="E1014" s="18">
        <v>1388</v>
      </c>
      <c r="F1014" s="18">
        <v>1404.43</v>
      </c>
      <c r="G1014" s="18">
        <v>35578</v>
      </c>
      <c r="H1014" s="18">
        <f t="shared" si="17"/>
        <v>-7.5404256531118805E-3</v>
      </c>
      <c r="I1014" s="18">
        <f>PRODUCT(fact_daily_prices!$F1014,fact_daily_prices!$G1014)</f>
        <v>49966810.539999999</v>
      </c>
      <c r="J1014" s="18" t="str">
        <f>_xlfn.XLOOKUP(fact_daily_prices!$B1014,dim_company[company_id],dim_company[sector_id])</f>
        <v>SEC03</v>
      </c>
      <c r="K1014" s="19" t="str">
        <f>_xlfn.XLOOKUP(fact_daily_prices!$J1014,dim_sector[sector_id],dim_sector[sector_name])</f>
        <v>Healthcare</v>
      </c>
      <c r="L1014" t="str">
        <v>COMP008-03-06-2025</v>
      </c>
      <c r="M1014" t="str">
        <f>_xlfn.CONCAT(A1013," ",B1013)</f>
        <v>45810 COMP008</v>
      </c>
    </row>
    <row r="1015" spans="1:13" x14ac:dyDescent="0.3">
      <c r="A1015" s="20">
        <v>45812</v>
      </c>
      <c r="B1015" s="7" t="s">
        <v>33</v>
      </c>
      <c r="C1015" s="7">
        <v>1382.95</v>
      </c>
      <c r="D1015" s="7">
        <v>1395.2</v>
      </c>
      <c r="E1015" s="7">
        <v>1370.69</v>
      </c>
      <c r="F1015" s="7">
        <v>1376.02</v>
      </c>
      <c r="G1015" s="7">
        <v>42789</v>
      </c>
      <c r="H1015" s="7">
        <f t="shared" si="17"/>
        <v>-2.0646502231072283E-2</v>
      </c>
      <c r="I1015" s="7">
        <f>PRODUCT(fact_daily_prices!$F1015,fact_daily_prices!$G1015)</f>
        <v>58878519.780000001</v>
      </c>
      <c r="J1015" s="7" t="str">
        <f>_xlfn.XLOOKUP(fact_daily_prices!$B1015,dim_company[company_id],dim_company[sector_id])</f>
        <v>SEC03</v>
      </c>
      <c r="K1015" s="21" t="str">
        <f>_xlfn.XLOOKUP(fact_daily_prices!$J1015,dim_sector[sector_id],dim_sector[sector_name])</f>
        <v>Healthcare</v>
      </c>
      <c r="L1015" t="str">
        <v>COMP008-04-06-2025</v>
      </c>
      <c r="M1015" t="str">
        <f>_xlfn.CONCAT(A1014," ",B1014)</f>
        <v>45811 COMP008</v>
      </c>
    </row>
    <row r="1016" spans="1:13" x14ac:dyDescent="0.3">
      <c r="A1016" s="17">
        <v>45813</v>
      </c>
      <c r="B1016" s="18" t="s">
        <v>33</v>
      </c>
      <c r="C1016" s="18">
        <v>1367.75</v>
      </c>
      <c r="D1016" s="18">
        <v>1385.7</v>
      </c>
      <c r="E1016" s="18">
        <v>1349.8</v>
      </c>
      <c r="F1016" s="18">
        <v>1359.17</v>
      </c>
      <c r="G1016" s="18">
        <v>1691</v>
      </c>
      <c r="H1016" s="18">
        <f t="shared" si="17"/>
        <v>-1.2397271864446616E-2</v>
      </c>
      <c r="I1016" s="18">
        <f>PRODUCT(fact_daily_prices!$F1016,fact_daily_prices!$G1016)</f>
        <v>2298356.4700000002</v>
      </c>
      <c r="J1016" s="18" t="str">
        <f>_xlfn.XLOOKUP(fact_daily_prices!$B1016,dim_company[company_id],dim_company[sector_id])</f>
        <v>SEC03</v>
      </c>
      <c r="K1016" s="19" t="str">
        <f>_xlfn.XLOOKUP(fact_daily_prices!$J1016,dim_sector[sector_id],dim_sector[sector_name])</f>
        <v>Healthcare</v>
      </c>
      <c r="L1016" t="str">
        <v>COMP008-05-06-2025</v>
      </c>
      <c r="M1016" t="str">
        <f>_xlfn.CONCAT(A1015," ",B1015)</f>
        <v>45812 COMP008</v>
      </c>
    </row>
    <row r="1017" spans="1:13" x14ac:dyDescent="0.3">
      <c r="A1017" s="20">
        <v>45814</v>
      </c>
      <c r="B1017" s="7" t="s">
        <v>33</v>
      </c>
      <c r="C1017" s="7">
        <v>1346.56</v>
      </c>
      <c r="D1017" s="7">
        <v>1362.53</v>
      </c>
      <c r="E1017" s="7">
        <v>1330.59</v>
      </c>
      <c r="F1017" s="7">
        <v>1338.55</v>
      </c>
      <c r="G1017" s="7">
        <v>32730</v>
      </c>
      <c r="H1017" s="7">
        <f t="shared" si="17"/>
        <v>-1.5404728997796211E-2</v>
      </c>
      <c r="I1017" s="7">
        <f>PRODUCT(fact_daily_prices!$F1017,fact_daily_prices!$G1017)</f>
        <v>43810741.5</v>
      </c>
      <c r="J1017" s="7" t="str">
        <f>_xlfn.XLOOKUP(fact_daily_prices!$B1017,dim_company[company_id],dim_company[sector_id])</f>
        <v>SEC03</v>
      </c>
      <c r="K1017" s="21" t="str">
        <f>_xlfn.XLOOKUP(fact_daily_prices!$J1017,dim_sector[sector_id],dim_sector[sector_name])</f>
        <v>Healthcare</v>
      </c>
      <c r="L1017" t="str">
        <v>COMP008-06-06-2025</v>
      </c>
      <c r="M1017" t="str">
        <f>_xlfn.CONCAT(A1016," ",B1016)</f>
        <v>45813 COMP008</v>
      </c>
    </row>
    <row r="1018" spans="1:13" x14ac:dyDescent="0.3">
      <c r="A1018" s="17">
        <v>45817</v>
      </c>
      <c r="B1018" s="18" t="s">
        <v>33</v>
      </c>
      <c r="C1018" s="18">
        <v>1361.73</v>
      </c>
      <c r="D1018" s="18">
        <v>1370.59</v>
      </c>
      <c r="E1018" s="18">
        <v>1352.87</v>
      </c>
      <c r="F1018" s="18">
        <v>1359.41</v>
      </c>
      <c r="G1018" s="18">
        <v>23766</v>
      </c>
      <c r="H1018" s="18">
        <f t="shared" si="17"/>
        <v>1.5344892269440512E-2</v>
      </c>
      <c r="I1018" s="18">
        <f>PRODUCT(fact_daily_prices!$F1018,fact_daily_prices!$G1018)</f>
        <v>32307738.060000002</v>
      </c>
      <c r="J1018" s="18" t="str">
        <f>_xlfn.XLOOKUP(fact_daily_prices!$B1018,dim_company[company_id],dim_company[sector_id])</f>
        <v>SEC03</v>
      </c>
      <c r="K1018" s="19" t="str">
        <f>_xlfn.XLOOKUP(fact_daily_prices!$J1018,dim_sector[sector_id],dim_sector[sector_name])</f>
        <v>Healthcare</v>
      </c>
      <c r="L1018" t="str">
        <v>COMP008-09-06-2025</v>
      </c>
      <c r="M1018" t="str">
        <f>_xlfn.CONCAT(A1017," ",B1017)</f>
        <v>45814 COMP008</v>
      </c>
    </row>
    <row r="1019" spans="1:13" x14ac:dyDescent="0.3">
      <c r="A1019" s="20">
        <v>45818</v>
      </c>
      <c r="B1019" s="7" t="s">
        <v>33</v>
      </c>
      <c r="C1019" s="7">
        <v>1398.24</v>
      </c>
      <c r="D1019" s="7">
        <v>1411.18</v>
      </c>
      <c r="E1019" s="7">
        <v>1385.3</v>
      </c>
      <c r="F1019" s="7">
        <v>1389.22</v>
      </c>
      <c r="G1019" s="7">
        <v>18695</v>
      </c>
      <c r="H1019" s="7">
        <f t="shared" si="17"/>
        <v>2.1458084392680744E-2</v>
      </c>
      <c r="I1019" s="7">
        <f>PRODUCT(fact_daily_prices!$F1019,fact_daily_prices!$G1019)</f>
        <v>25971467.900000002</v>
      </c>
      <c r="J1019" s="7" t="str">
        <f>_xlfn.XLOOKUP(fact_daily_prices!$B1019,dim_company[company_id],dim_company[sector_id])</f>
        <v>SEC03</v>
      </c>
      <c r="K1019" s="21" t="str">
        <f>_xlfn.XLOOKUP(fact_daily_prices!$J1019,dim_sector[sector_id],dim_sector[sector_name])</f>
        <v>Healthcare</v>
      </c>
      <c r="L1019" t="str">
        <v>COMP008-10-06-2025</v>
      </c>
      <c r="M1019" t="str">
        <f>_xlfn.CONCAT(A1018," ",B1018)</f>
        <v>45817 COMP008</v>
      </c>
    </row>
    <row r="1020" spans="1:13" x14ac:dyDescent="0.3">
      <c r="A1020" s="17">
        <v>45819</v>
      </c>
      <c r="B1020" s="18" t="s">
        <v>33</v>
      </c>
      <c r="C1020" s="18">
        <v>1376.36</v>
      </c>
      <c r="D1020" s="18">
        <v>1393.1</v>
      </c>
      <c r="E1020" s="18">
        <v>1359.62</v>
      </c>
      <c r="F1020" s="18">
        <v>1370.51</v>
      </c>
      <c r="G1020" s="18">
        <v>26491</v>
      </c>
      <c r="H1020" s="18">
        <f t="shared" si="17"/>
        <v>-1.3651852230191707E-2</v>
      </c>
      <c r="I1020" s="18">
        <f>PRODUCT(fact_daily_prices!$F1020,fact_daily_prices!$G1020)</f>
        <v>36306180.409999996</v>
      </c>
      <c r="J1020" s="18" t="str">
        <f>_xlfn.XLOOKUP(fact_daily_prices!$B1020,dim_company[company_id],dim_company[sector_id])</f>
        <v>SEC03</v>
      </c>
      <c r="K1020" s="19" t="str">
        <f>_xlfn.XLOOKUP(fact_daily_prices!$J1020,dim_sector[sector_id],dim_sector[sector_name])</f>
        <v>Healthcare</v>
      </c>
      <c r="L1020" t="str">
        <v>COMP008-11-06-2025</v>
      </c>
      <c r="M1020" t="str">
        <f>_xlfn.CONCAT(A1019," ",B1019)</f>
        <v>45818 COMP008</v>
      </c>
    </row>
    <row r="1021" spans="1:13" x14ac:dyDescent="0.3">
      <c r="A1021" s="20">
        <v>45820</v>
      </c>
      <c r="B1021" s="7" t="s">
        <v>33</v>
      </c>
      <c r="C1021" s="7">
        <v>1381.97</v>
      </c>
      <c r="D1021" s="7">
        <v>1398.42</v>
      </c>
      <c r="E1021" s="7">
        <v>1365.52</v>
      </c>
      <c r="F1021" s="7">
        <v>1380.3</v>
      </c>
      <c r="G1021" s="7">
        <v>34045</v>
      </c>
      <c r="H1021" s="7">
        <f t="shared" si="17"/>
        <v>7.0926610157211935E-3</v>
      </c>
      <c r="I1021" s="7">
        <f>PRODUCT(fact_daily_prices!$F1021,fact_daily_prices!$G1021)</f>
        <v>46992313.5</v>
      </c>
      <c r="J1021" s="7" t="str">
        <f>_xlfn.XLOOKUP(fact_daily_prices!$B1021,dim_company[company_id],dim_company[sector_id])</f>
        <v>SEC03</v>
      </c>
      <c r="K1021" s="21" t="str">
        <f>_xlfn.XLOOKUP(fact_daily_prices!$J1021,dim_sector[sector_id],dim_sector[sector_name])</f>
        <v>Healthcare</v>
      </c>
      <c r="L1021" t="str">
        <v>COMP008-12-06-2025</v>
      </c>
      <c r="M1021" t="str">
        <f>_xlfn.CONCAT(A1020," ",B1020)</f>
        <v>45819 COMP008</v>
      </c>
    </row>
    <row r="1022" spans="1:13" x14ac:dyDescent="0.3">
      <c r="A1022" s="17">
        <v>45821</v>
      </c>
      <c r="B1022" s="18" t="s">
        <v>33</v>
      </c>
      <c r="C1022" s="18">
        <v>1401.49</v>
      </c>
      <c r="D1022" s="18">
        <v>1414.64</v>
      </c>
      <c r="E1022" s="18">
        <v>1388.35</v>
      </c>
      <c r="F1022" s="18">
        <v>1395.9</v>
      </c>
      <c r="G1022" s="18">
        <v>31497</v>
      </c>
      <c r="H1022" s="18">
        <f t="shared" si="17"/>
        <v>1.1175585643670848E-2</v>
      </c>
      <c r="I1022" s="18">
        <f>PRODUCT(fact_daily_prices!$F1022,fact_daily_prices!$G1022)</f>
        <v>43966662.300000004</v>
      </c>
      <c r="J1022" s="18" t="str">
        <f>_xlfn.XLOOKUP(fact_daily_prices!$B1022,dim_company[company_id],dim_company[sector_id])</f>
        <v>SEC03</v>
      </c>
      <c r="K1022" s="19" t="str">
        <f>_xlfn.XLOOKUP(fact_daily_prices!$J1022,dim_sector[sector_id],dim_sector[sector_name])</f>
        <v>Healthcare</v>
      </c>
      <c r="L1022" t="str">
        <v>COMP008-13-06-2025</v>
      </c>
      <c r="M1022" t="str">
        <f>_xlfn.CONCAT(A1021," ",B1021)</f>
        <v>45820 COMP008</v>
      </c>
    </row>
    <row r="1023" spans="1:13" x14ac:dyDescent="0.3">
      <c r="A1023" s="20">
        <v>45824</v>
      </c>
      <c r="B1023" s="7" t="s">
        <v>33</v>
      </c>
      <c r="C1023" s="7">
        <v>1364.55</v>
      </c>
      <c r="D1023" s="7">
        <v>1371.05</v>
      </c>
      <c r="E1023" s="7">
        <v>1358.05</v>
      </c>
      <c r="F1023" s="7">
        <v>1370.23</v>
      </c>
      <c r="G1023" s="7">
        <v>47686</v>
      </c>
      <c r="H1023" s="7">
        <f t="shared" si="17"/>
        <v>-1.8734081139662736E-2</v>
      </c>
      <c r="I1023" s="7">
        <f>PRODUCT(fact_daily_prices!$F1023,fact_daily_prices!$G1023)</f>
        <v>65340787.780000001</v>
      </c>
      <c r="J1023" s="7" t="str">
        <f>_xlfn.XLOOKUP(fact_daily_prices!$B1023,dim_company[company_id],dim_company[sector_id])</f>
        <v>SEC03</v>
      </c>
      <c r="K1023" s="21" t="str">
        <f>_xlfn.XLOOKUP(fact_daily_prices!$J1023,dim_sector[sector_id],dim_sector[sector_name])</f>
        <v>Healthcare</v>
      </c>
      <c r="L1023" t="str">
        <v>COMP008-16-06-2025</v>
      </c>
      <c r="M1023" t="str">
        <f>_xlfn.CONCAT(A1022," ",B1022)</f>
        <v>45821 COMP008</v>
      </c>
    </row>
    <row r="1024" spans="1:13" x14ac:dyDescent="0.3">
      <c r="A1024" s="17">
        <v>45825</v>
      </c>
      <c r="B1024" s="18" t="s">
        <v>33</v>
      </c>
      <c r="C1024" s="18">
        <v>1373.49</v>
      </c>
      <c r="D1024" s="18">
        <v>1400.49</v>
      </c>
      <c r="E1024" s="18">
        <v>1346.5</v>
      </c>
      <c r="F1024" s="18">
        <v>1373.34</v>
      </c>
      <c r="G1024" s="18">
        <v>44485</v>
      </c>
      <c r="H1024" s="18">
        <f t="shared" si="17"/>
        <v>2.2645521138246177E-3</v>
      </c>
      <c r="I1024" s="18">
        <f>PRODUCT(fact_daily_prices!$F1024,fact_daily_prices!$G1024)</f>
        <v>61093029.899999999</v>
      </c>
      <c r="J1024" s="18" t="str">
        <f>_xlfn.XLOOKUP(fact_daily_prices!$B1024,dim_company[company_id],dim_company[sector_id])</f>
        <v>SEC03</v>
      </c>
      <c r="K1024" s="19" t="str">
        <f>_xlfn.XLOOKUP(fact_daily_prices!$J1024,dim_sector[sector_id],dim_sector[sector_name])</f>
        <v>Healthcare</v>
      </c>
      <c r="L1024" t="str">
        <v>COMP008-17-06-2025</v>
      </c>
      <c r="M1024" t="str">
        <f>_xlfn.CONCAT(A1023," ",B1023)</f>
        <v>45824 COMP008</v>
      </c>
    </row>
    <row r="1025" spans="1:13" x14ac:dyDescent="0.3">
      <c r="A1025" s="20">
        <v>45826</v>
      </c>
      <c r="B1025" s="7" t="s">
        <v>33</v>
      </c>
      <c r="C1025" s="7">
        <v>1412.41</v>
      </c>
      <c r="D1025" s="7">
        <v>1428.2</v>
      </c>
      <c r="E1025" s="7">
        <v>1396.61</v>
      </c>
      <c r="F1025" s="7">
        <v>1418.22</v>
      </c>
      <c r="G1025" s="7">
        <v>11068</v>
      </c>
      <c r="H1025" s="7">
        <f t="shared" si="17"/>
        <v>3.1645301857257765E-2</v>
      </c>
      <c r="I1025" s="7">
        <f>PRODUCT(fact_daily_prices!$F1025,fact_daily_prices!$G1025)</f>
        <v>15696858.960000001</v>
      </c>
      <c r="J1025" s="7" t="str">
        <f>_xlfn.XLOOKUP(fact_daily_prices!$B1025,dim_company[company_id],dim_company[sector_id])</f>
        <v>SEC03</v>
      </c>
      <c r="K1025" s="21" t="str">
        <f>_xlfn.XLOOKUP(fact_daily_prices!$J1025,dim_sector[sector_id],dim_sector[sector_name])</f>
        <v>Healthcare</v>
      </c>
      <c r="L1025" t="str">
        <v>COMP008-18-06-2025</v>
      </c>
      <c r="M1025" t="str">
        <f>_xlfn.CONCAT(A1024," ",B1024)</f>
        <v>45825 COMP008</v>
      </c>
    </row>
    <row r="1026" spans="1:13" x14ac:dyDescent="0.3">
      <c r="A1026" s="17">
        <v>45827</v>
      </c>
      <c r="B1026" s="18" t="s">
        <v>33</v>
      </c>
      <c r="C1026" s="18">
        <v>1438.96</v>
      </c>
      <c r="D1026" s="18">
        <v>1455.49</v>
      </c>
      <c r="E1026" s="18">
        <v>1422.43</v>
      </c>
      <c r="F1026" s="18">
        <v>1430.71</v>
      </c>
      <c r="G1026" s="18">
        <v>1287</v>
      </c>
      <c r="H1026" s="18">
        <f t="shared" si="17"/>
        <v>8.7299312928546032E-3</v>
      </c>
      <c r="I1026" s="18">
        <f>PRODUCT(fact_daily_prices!$F1026,fact_daily_prices!$G1026)</f>
        <v>1841323.77</v>
      </c>
      <c r="J1026" s="18" t="str">
        <f>_xlfn.XLOOKUP(fact_daily_prices!$B1026,dim_company[company_id],dim_company[sector_id])</f>
        <v>SEC03</v>
      </c>
      <c r="K1026" s="19" t="str">
        <f>_xlfn.XLOOKUP(fact_daily_prices!$J1026,dim_sector[sector_id],dim_sector[sector_name])</f>
        <v>Healthcare</v>
      </c>
      <c r="L1026" t="str">
        <v>COMP008-19-06-2025</v>
      </c>
      <c r="M1026" t="str">
        <f>_xlfn.CONCAT(A1025," ",B1025)</f>
        <v>45826 COMP008</v>
      </c>
    </row>
    <row r="1027" spans="1:13" x14ac:dyDescent="0.3">
      <c r="A1027" s="20">
        <v>45828</v>
      </c>
      <c r="B1027" s="7" t="s">
        <v>33</v>
      </c>
      <c r="C1027" s="7">
        <v>1429.61</v>
      </c>
      <c r="D1027" s="7">
        <v>1444.31</v>
      </c>
      <c r="E1027" s="7">
        <v>1414.9</v>
      </c>
      <c r="F1027" s="7">
        <v>1426.64</v>
      </c>
      <c r="G1027" s="7">
        <v>36131</v>
      </c>
      <c r="H1027" s="7">
        <f t="shared" si="17"/>
        <v>-2.8528570627487917E-3</v>
      </c>
      <c r="I1027" s="7">
        <f>PRODUCT(fact_daily_prices!$F1027,fact_daily_prices!$G1027)</f>
        <v>51545929.840000004</v>
      </c>
      <c r="J1027" s="7" t="str">
        <f>_xlfn.XLOOKUP(fact_daily_prices!$B1027,dim_company[company_id],dim_company[sector_id])</f>
        <v>SEC03</v>
      </c>
      <c r="K1027" s="21" t="str">
        <f>_xlfn.XLOOKUP(fact_daily_prices!$J1027,dim_sector[sector_id],dim_sector[sector_name])</f>
        <v>Healthcare</v>
      </c>
      <c r="L1027" t="str">
        <v>COMP008-20-06-2025</v>
      </c>
      <c r="M1027" t="str">
        <f>_xlfn.CONCAT(A1026," ",B1026)</f>
        <v>45827 COMP008</v>
      </c>
    </row>
    <row r="1028" spans="1:13" x14ac:dyDescent="0.3">
      <c r="A1028" s="17">
        <v>45831</v>
      </c>
      <c r="B1028" s="18" t="s">
        <v>33</v>
      </c>
      <c r="C1028" s="18">
        <v>1419.27</v>
      </c>
      <c r="D1028" s="18">
        <v>1435.79</v>
      </c>
      <c r="E1028" s="18">
        <v>1402.75</v>
      </c>
      <c r="F1028" s="18">
        <v>1416.94</v>
      </c>
      <c r="G1028" s="18">
        <v>41975</v>
      </c>
      <c r="H1028" s="18">
        <f t="shared" ref="H1028:H1033" si="18">(F1028-F1027)/F1028</f>
        <v>-6.8457379987861486E-3</v>
      </c>
      <c r="I1028" s="18">
        <f>PRODUCT(fact_daily_prices!$F1028,fact_daily_prices!$G1028)</f>
        <v>59476056.5</v>
      </c>
      <c r="J1028" s="18" t="str">
        <f>_xlfn.XLOOKUP(fact_daily_prices!$B1028,dim_company[company_id],dim_company[sector_id])</f>
        <v>SEC03</v>
      </c>
      <c r="K1028" s="19" t="str">
        <f>_xlfn.XLOOKUP(fact_daily_prices!$J1028,dim_sector[sector_id],dim_sector[sector_name])</f>
        <v>Healthcare</v>
      </c>
      <c r="L1028" t="str">
        <v>COMP008-23-06-2025</v>
      </c>
      <c r="M1028" t="str">
        <f>_xlfn.CONCAT(A1027," ",B1027)</f>
        <v>45828 COMP008</v>
      </c>
    </row>
    <row r="1029" spans="1:13" x14ac:dyDescent="0.3">
      <c r="A1029" s="20">
        <v>45832</v>
      </c>
      <c r="B1029" s="7" t="s">
        <v>33</v>
      </c>
      <c r="C1029" s="7">
        <v>1371.49</v>
      </c>
      <c r="D1029" s="7">
        <v>1387.19</v>
      </c>
      <c r="E1029" s="7">
        <v>1355.8</v>
      </c>
      <c r="F1029" s="7">
        <v>1381.62</v>
      </c>
      <c r="G1029" s="7">
        <v>4178</v>
      </c>
      <c r="H1029" s="7">
        <f t="shared" si="18"/>
        <v>-2.5564192759224797E-2</v>
      </c>
      <c r="I1029" s="7">
        <f>PRODUCT(fact_daily_prices!$F1029,fact_daily_prices!$G1029)</f>
        <v>5772408.3599999994</v>
      </c>
      <c r="J1029" s="7" t="str">
        <f>_xlfn.XLOOKUP(fact_daily_prices!$B1029,dim_company[company_id],dim_company[sector_id])</f>
        <v>SEC03</v>
      </c>
      <c r="K1029" s="21" t="str">
        <f>_xlfn.XLOOKUP(fact_daily_prices!$J1029,dim_sector[sector_id],dim_sector[sector_name])</f>
        <v>Healthcare</v>
      </c>
      <c r="L1029" t="str">
        <v>COMP008-24-06-2025</v>
      </c>
      <c r="M1029" t="str">
        <f>_xlfn.CONCAT(A1028," ",B1028)</f>
        <v>45831 COMP008</v>
      </c>
    </row>
    <row r="1030" spans="1:13" x14ac:dyDescent="0.3">
      <c r="A1030" s="17">
        <v>45833</v>
      </c>
      <c r="B1030" s="18" t="s">
        <v>33</v>
      </c>
      <c r="C1030" s="18">
        <v>1392.25</v>
      </c>
      <c r="D1030" s="18">
        <v>1397.92</v>
      </c>
      <c r="E1030" s="18">
        <v>1386.57</v>
      </c>
      <c r="F1030" s="18">
        <v>1390.16</v>
      </c>
      <c r="G1030" s="18">
        <v>27627</v>
      </c>
      <c r="H1030" s="18">
        <f t="shared" si="18"/>
        <v>6.1431777637107887E-3</v>
      </c>
      <c r="I1030" s="18">
        <f>PRODUCT(fact_daily_prices!$F1030,fact_daily_prices!$G1030)</f>
        <v>38405950.32</v>
      </c>
      <c r="J1030" s="18" t="str">
        <f>_xlfn.XLOOKUP(fact_daily_prices!$B1030,dim_company[company_id],dim_company[sector_id])</f>
        <v>SEC03</v>
      </c>
      <c r="K1030" s="19" t="str">
        <f>_xlfn.XLOOKUP(fact_daily_prices!$J1030,dim_sector[sector_id],dim_sector[sector_name])</f>
        <v>Healthcare</v>
      </c>
      <c r="L1030" t="str">
        <v>COMP008-25-06-2025</v>
      </c>
      <c r="M1030" t="str">
        <f>_xlfn.CONCAT(A1029," ",B1029)</f>
        <v>45832 COMP008</v>
      </c>
    </row>
    <row r="1031" spans="1:13" x14ac:dyDescent="0.3">
      <c r="A1031" s="20">
        <v>45834</v>
      </c>
      <c r="B1031" s="7" t="s">
        <v>33</v>
      </c>
      <c r="C1031" s="7">
        <v>1426.17</v>
      </c>
      <c r="D1031" s="7">
        <v>1442.23</v>
      </c>
      <c r="E1031" s="7">
        <v>1410.12</v>
      </c>
      <c r="F1031" s="7">
        <v>1425.04</v>
      </c>
      <c r="G1031" s="7">
        <v>36422</v>
      </c>
      <c r="H1031" s="7">
        <f t="shared" si="18"/>
        <v>2.4476505922640685E-2</v>
      </c>
      <c r="I1031" s="7">
        <f>PRODUCT(fact_daily_prices!$F1031,fact_daily_prices!$G1031)</f>
        <v>51902806.879999995</v>
      </c>
      <c r="J1031" s="7" t="str">
        <f>_xlfn.XLOOKUP(fact_daily_prices!$B1031,dim_company[company_id],dim_company[sector_id])</f>
        <v>SEC03</v>
      </c>
      <c r="K1031" s="21" t="str">
        <f>_xlfn.XLOOKUP(fact_daily_prices!$J1031,dim_sector[sector_id],dim_sector[sector_name])</f>
        <v>Healthcare</v>
      </c>
      <c r="L1031" t="str">
        <v>COMP008-26-06-2025</v>
      </c>
      <c r="M1031" t="str">
        <f>_xlfn.CONCAT(A1030," ",B1030)</f>
        <v>45833 COMP008</v>
      </c>
    </row>
    <row r="1032" spans="1:13" x14ac:dyDescent="0.3">
      <c r="A1032" s="17">
        <v>45835</v>
      </c>
      <c r="B1032" s="18" t="s">
        <v>33</v>
      </c>
      <c r="C1032" s="18">
        <v>1410.54</v>
      </c>
      <c r="D1032" s="18">
        <v>1424.13</v>
      </c>
      <c r="E1032" s="18">
        <v>1396.96</v>
      </c>
      <c r="F1032" s="18">
        <v>1410.84</v>
      </c>
      <c r="G1032" s="18">
        <v>8135</v>
      </c>
      <c r="H1032" s="18">
        <f t="shared" si="18"/>
        <v>-1.0064925859771517E-2</v>
      </c>
      <c r="I1032" s="18">
        <f>PRODUCT(fact_daily_prices!$F1032,fact_daily_prices!$G1032)</f>
        <v>11477183.399999999</v>
      </c>
      <c r="J1032" s="18" t="str">
        <f>_xlfn.XLOOKUP(fact_daily_prices!$B1032,dim_company[company_id],dim_company[sector_id])</f>
        <v>SEC03</v>
      </c>
      <c r="K1032" s="19" t="str">
        <f>_xlfn.XLOOKUP(fact_daily_prices!$J1032,dim_sector[sector_id],dim_sector[sector_name])</f>
        <v>Healthcare</v>
      </c>
      <c r="L1032" t="str">
        <v>COMP008-27-06-2025</v>
      </c>
      <c r="M1032" t="str">
        <f>_xlfn.CONCAT(A1031," ",B1031)</f>
        <v>45834 COMP008</v>
      </c>
    </row>
    <row r="1033" spans="1:13" x14ac:dyDescent="0.3">
      <c r="A1033" s="22">
        <v>45838</v>
      </c>
      <c r="B1033" s="5" t="s">
        <v>33</v>
      </c>
      <c r="C1033" s="5">
        <v>1378.34</v>
      </c>
      <c r="D1033" s="5">
        <v>1385.28</v>
      </c>
      <c r="E1033" s="5">
        <v>1371.39</v>
      </c>
      <c r="F1033" s="5">
        <v>1377.18</v>
      </c>
      <c r="G1033" s="5">
        <v>24238</v>
      </c>
      <c r="H1033" s="5">
        <f t="shared" si="18"/>
        <v>-2.4441249509867886E-2</v>
      </c>
      <c r="I1033" s="5">
        <f>PRODUCT(fact_daily_prices!$F1033,fact_daily_prices!$G1033)</f>
        <v>33380088.84</v>
      </c>
      <c r="J1033" s="5" t="str">
        <f>_xlfn.XLOOKUP(fact_daily_prices!$B1033,dim_company[company_id],dim_company[sector_id])</f>
        <v>SEC03</v>
      </c>
      <c r="K1033" s="13" t="str">
        <f>_xlfn.XLOOKUP(fact_daily_prices!$J1033,dim_sector[sector_id],dim_sector[sector_name])</f>
        <v>Healthcare</v>
      </c>
      <c r="L1033" t="str">
        <v>COMP008-30-06-2025</v>
      </c>
      <c r="M1033" t="str">
        <f>_xlfn.CONCAT(A1032," ",B1032)</f>
        <v>45835 COMP008</v>
      </c>
    </row>
    <row r="1034" spans="1:13" x14ac:dyDescent="0.3">
      <c r="M1034" t="str">
        <f>_xlfn.CONCAT(A1033," ",B1033)</f>
        <v>45838 COMP008</v>
      </c>
    </row>
  </sheetData>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0CFF-B37D-44E8-8AF6-DAAE63D684F1}">
  <dimension ref="A1:C9"/>
  <sheetViews>
    <sheetView workbookViewId="0"/>
  </sheetViews>
  <sheetFormatPr defaultRowHeight="14.4" x14ac:dyDescent="0.3"/>
  <cols>
    <col min="1" max="1" width="15.44140625" bestFit="1" customWidth="1"/>
    <col min="2" max="2" width="13.6640625" bestFit="1" customWidth="1"/>
    <col min="3" max="3" width="20.109375" bestFit="1" customWidth="1"/>
  </cols>
  <sheetData>
    <row r="1" spans="1:3" x14ac:dyDescent="0.3">
      <c r="A1" t="s">
        <v>0</v>
      </c>
      <c r="B1" t="s">
        <v>1</v>
      </c>
      <c r="C1" t="s">
        <v>152</v>
      </c>
    </row>
    <row r="2" spans="1:3" x14ac:dyDescent="0.3">
      <c r="A2" s="1">
        <v>45838</v>
      </c>
      <c r="B2" t="s">
        <v>6</v>
      </c>
      <c r="C2">
        <v>17.05</v>
      </c>
    </row>
    <row r="3" spans="1:3" x14ac:dyDescent="0.3">
      <c r="A3" s="1">
        <v>45838</v>
      </c>
      <c r="B3" t="s">
        <v>11</v>
      </c>
      <c r="C3">
        <v>17.600000000000001</v>
      </c>
    </row>
    <row r="4" spans="1:3" x14ac:dyDescent="0.3">
      <c r="A4" s="1">
        <v>45747</v>
      </c>
      <c r="B4" t="s">
        <v>14</v>
      </c>
      <c r="C4">
        <v>12.5</v>
      </c>
    </row>
    <row r="5" spans="1:3" x14ac:dyDescent="0.3">
      <c r="A5" s="1">
        <v>45747</v>
      </c>
      <c r="B5" t="s">
        <v>26</v>
      </c>
      <c r="C5">
        <v>4.37</v>
      </c>
    </row>
    <row r="6" spans="1:3" x14ac:dyDescent="0.3">
      <c r="A6" s="1">
        <v>45838</v>
      </c>
      <c r="B6" t="s">
        <v>26</v>
      </c>
      <c r="C6">
        <v>22.35</v>
      </c>
    </row>
    <row r="7" spans="1:3" x14ac:dyDescent="0.3">
      <c r="A7" s="1">
        <v>45747</v>
      </c>
      <c r="B7" t="s">
        <v>29</v>
      </c>
      <c r="C7">
        <v>20.39</v>
      </c>
    </row>
    <row r="8" spans="1:3" x14ac:dyDescent="0.3">
      <c r="A8" s="1">
        <v>45838</v>
      </c>
      <c r="B8" t="s">
        <v>29</v>
      </c>
      <c r="C8">
        <v>13.49</v>
      </c>
    </row>
    <row r="9" spans="1:3" x14ac:dyDescent="0.3">
      <c r="A9" s="1">
        <v>45838</v>
      </c>
      <c r="B9" t="s">
        <v>33</v>
      </c>
      <c r="C9">
        <v>12.25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51E6C-F5F7-438C-8B67-E0A4D6A50F3C}">
  <dimension ref="A1:C31"/>
  <sheetViews>
    <sheetView workbookViewId="0"/>
  </sheetViews>
  <sheetFormatPr defaultRowHeight="14.4" x14ac:dyDescent="0.3"/>
  <cols>
    <col min="1" max="1" width="10.88671875" bestFit="1" customWidth="1"/>
    <col min="2" max="2" width="14.77734375" bestFit="1" customWidth="1"/>
    <col min="3" max="3" width="11.77734375" bestFit="1" customWidth="1"/>
  </cols>
  <sheetData>
    <row r="1" spans="1:3" x14ac:dyDescent="0.3">
      <c r="A1" t="s">
        <v>85</v>
      </c>
      <c r="B1" t="s">
        <v>86</v>
      </c>
      <c r="C1" t="s">
        <v>87</v>
      </c>
    </row>
    <row r="2" spans="1:3" x14ac:dyDescent="0.3">
      <c r="A2" t="s">
        <v>88</v>
      </c>
      <c r="B2" t="s">
        <v>89</v>
      </c>
      <c r="C2" t="s">
        <v>90</v>
      </c>
    </row>
    <row r="3" spans="1:3" x14ac:dyDescent="0.3">
      <c r="A3" t="s">
        <v>91</v>
      </c>
      <c r="B3" t="s">
        <v>92</v>
      </c>
      <c r="C3" t="s">
        <v>93</v>
      </c>
    </row>
    <row r="4" spans="1:3" x14ac:dyDescent="0.3">
      <c r="A4" t="s">
        <v>94</v>
      </c>
      <c r="B4" t="s">
        <v>95</v>
      </c>
      <c r="C4" t="s">
        <v>96</v>
      </c>
    </row>
    <row r="5" spans="1:3" x14ac:dyDescent="0.3">
      <c r="A5" t="s">
        <v>97</v>
      </c>
      <c r="B5" t="s">
        <v>98</v>
      </c>
      <c r="C5" t="s">
        <v>99</v>
      </c>
    </row>
    <row r="6" spans="1:3" x14ac:dyDescent="0.3">
      <c r="A6" t="s">
        <v>100</v>
      </c>
      <c r="B6" t="s">
        <v>101</v>
      </c>
      <c r="C6" t="s">
        <v>96</v>
      </c>
    </row>
    <row r="7" spans="1:3" x14ac:dyDescent="0.3">
      <c r="A7" t="s">
        <v>102</v>
      </c>
      <c r="B7" t="s">
        <v>103</v>
      </c>
      <c r="C7" t="s">
        <v>99</v>
      </c>
    </row>
    <row r="8" spans="1:3" x14ac:dyDescent="0.3">
      <c r="A8" t="s">
        <v>104</v>
      </c>
      <c r="B8" t="s">
        <v>105</v>
      </c>
      <c r="C8" t="s">
        <v>90</v>
      </c>
    </row>
    <row r="9" spans="1:3" x14ac:dyDescent="0.3">
      <c r="A9" t="s">
        <v>106</v>
      </c>
      <c r="B9" t="s">
        <v>107</v>
      </c>
      <c r="C9" t="s">
        <v>99</v>
      </c>
    </row>
    <row r="10" spans="1:3" x14ac:dyDescent="0.3">
      <c r="A10" t="s">
        <v>108</v>
      </c>
      <c r="B10" t="s">
        <v>109</v>
      </c>
      <c r="C10" t="s">
        <v>99</v>
      </c>
    </row>
    <row r="11" spans="1:3" x14ac:dyDescent="0.3">
      <c r="A11" t="s">
        <v>110</v>
      </c>
      <c r="B11" t="s">
        <v>111</v>
      </c>
      <c r="C11" t="s">
        <v>90</v>
      </c>
    </row>
    <row r="12" spans="1:3" x14ac:dyDescent="0.3">
      <c r="A12" t="s">
        <v>112</v>
      </c>
      <c r="B12" t="s">
        <v>113</v>
      </c>
      <c r="C12" t="s">
        <v>99</v>
      </c>
    </row>
    <row r="13" spans="1:3" x14ac:dyDescent="0.3">
      <c r="A13" t="s">
        <v>114</v>
      </c>
      <c r="B13" t="s">
        <v>115</v>
      </c>
      <c r="C13" t="s">
        <v>93</v>
      </c>
    </row>
    <row r="14" spans="1:3" x14ac:dyDescent="0.3">
      <c r="A14" t="s">
        <v>116</v>
      </c>
      <c r="B14" t="s">
        <v>117</v>
      </c>
      <c r="C14" t="s">
        <v>90</v>
      </c>
    </row>
    <row r="15" spans="1:3" x14ac:dyDescent="0.3">
      <c r="A15" t="s">
        <v>118</v>
      </c>
      <c r="B15" t="s">
        <v>119</v>
      </c>
      <c r="C15" t="s">
        <v>90</v>
      </c>
    </row>
    <row r="16" spans="1:3" x14ac:dyDescent="0.3">
      <c r="A16" t="s">
        <v>120</v>
      </c>
      <c r="B16" t="s">
        <v>121</v>
      </c>
      <c r="C16" t="s">
        <v>90</v>
      </c>
    </row>
    <row r="17" spans="1:3" x14ac:dyDescent="0.3">
      <c r="A17" t="s">
        <v>122</v>
      </c>
      <c r="B17" t="s">
        <v>123</v>
      </c>
      <c r="C17" t="s">
        <v>96</v>
      </c>
    </row>
    <row r="18" spans="1:3" x14ac:dyDescent="0.3">
      <c r="A18" t="s">
        <v>124</v>
      </c>
      <c r="B18" t="s">
        <v>125</v>
      </c>
      <c r="C18" t="s">
        <v>96</v>
      </c>
    </row>
    <row r="19" spans="1:3" x14ac:dyDescent="0.3">
      <c r="A19" t="s">
        <v>126</v>
      </c>
      <c r="B19" t="s">
        <v>127</v>
      </c>
      <c r="C19" t="s">
        <v>99</v>
      </c>
    </row>
    <row r="20" spans="1:3" x14ac:dyDescent="0.3">
      <c r="A20" t="s">
        <v>128</v>
      </c>
      <c r="B20" t="s">
        <v>129</v>
      </c>
      <c r="C20" t="s">
        <v>90</v>
      </c>
    </row>
    <row r="21" spans="1:3" x14ac:dyDescent="0.3">
      <c r="A21" t="s">
        <v>130</v>
      </c>
      <c r="B21" t="s">
        <v>131</v>
      </c>
      <c r="C21" t="s">
        <v>99</v>
      </c>
    </row>
    <row r="22" spans="1:3" x14ac:dyDescent="0.3">
      <c r="A22" t="s">
        <v>132</v>
      </c>
      <c r="B22" t="s">
        <v>133</v>
      </c>
      <c r="C22" t="s">
        <v>93</v>
      </c>
    </row>
    <row r="23" spans="1:3" x14ac:dyDescent="0.3">
      <c r="A23" t="s">
        <v>134</v>
      </c>
      <c r="B23" t="s">
        <v>135</v>
      </c>
      <c r="C23" t="s">
        <v>90</v>
      </c>
    </row>
    <row r="24" spans="1:3" x14ac:dyDescent="0.3">
      <c r="A24" t="s">
        <v>136</v>
      </c>
      <c r="B24" t="s">
        <v>137</v>
      </c>
      <c r="C24" t="s">
        <v>93</v>
      </c>
    </row>
    <row r="25" spans="1:3" x14ac:dyDescent="0.3">
      <c r="A25" t="s">
        <v>138</v>
      </c>
      <c r="B25" t="s">
        <v>139</v>
      </c>
      <c r="C25" t="s">
        <v>99</v>
      </c>
    </row>
    <row r="26" spans="1:3" x14ac:dyDescent="0.3">
      <c r="A26" t="s">
        <v>140</v>
      </c>
      <c r="B26" t="s">
        <v>141</v>
      </c>
      <c r="C26" t="s">
        <v>96</v>
      </c>
    </row>
    <row r="27" spans="1:3" x14ac:dyDescent="0.3">
      <c r="A27" t="s">
        <v>142</v>
      </c>
      <c r="B27" t="s">
        <v>143</v>
      </c>
      <c r="C27" t="s">
        <v>99</v>
      </c>
    </row>
    <row r="28" spans="1:3" x14ac:dyDescent="0.3">
      <c r="A28" t="s">
        <v>144</v>
      </c>
      <c r="B28" t="s">
        <v>145</v>
      </c>
      <c r="C28" t="s">
        <v>93</v>
      </c>
    </row>
    <row r="29" spans="1:3" x14ac:dyDescent="0.3">
      <c r="A29" t="s">
        <v>146</v>
      </c>
      <c r="B29" t="s">
        <v>147</v>
      </c>
      <c r="C29" t="s">
        <v>90</v>
      </c>
    </row>
    <row r="30" spans="1:3" x14ac:dyDescent="0.3">
      <c r="A30" t="s">
        <v>148</v>
      </c>
      <c r="B30" t="s">
        <v>149</v>
      </c>
      <c r="C30" t="s">
        <v>99</v>
      </c>
    </row>
    <row r="31" spans="1:3" x14ac:dyDescent="0.3">
      <c r="A31" t="s">
        <v>150</v>
      </c>
      <c r="B31" t="s">
        <v>151</v>
      </c>
      <c r="C31" t="s">
        <v>90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2CBD2-1A48-4280-B2B9-BCD91BFEAD2A}">
  <dimension ref="A1:B6"/>
  <sheetViews>
    <sheetView workbookViewId="0"/>
  </sheetViews>
  <sheetFormatPr defaultRowHeight="14.4" x14ac:dyDescent="0.3"/>
  <cols>
    <col min="1" max="1" width="10.88671875" bestFit="1" customWidth="1"/>
    <col min="2" max="2" width="20.77734375" bestFit="1" customWidth="1"/>
  </cols>
  <sheetData>
    <row r="1" spans="1:2" x14ac:dyDescent="0.3">
      <c r="A1" t="s">
        <v>4</v>
      </c>
      <c r="B1" t="s">
        <v>79</v>
      </c>
    </row>
    <row r="2" spans="1:2" x14ac:dyDescent="0.3">
      <c r="A2" t="s">
        <v>9</v>
      </c>
      <c r="B2" t="s">
        <v>80</v>
      </c>
    </row>
    <row r="3" spans="1:2" x14ac:dyDescent="0.3">
      <c r="A3" t="s">
        <v>17</v>
      </c>
      <c r="B3" t="s">
        <v>81</v>
      </c>
    </row>
    <row r="4" spans="1:2" x14ac:dyDescent="0.3">
      <c r="A4" t="s">
        <v>36</v>
      </c>
      <c r="B4" t="s">
        <v>82</v>
      </c>
    </row>
    <row r="5" spans="1:2" x14ac:dyDescent="0.3">
      <c r="A5" t="s">
        <v>21</v>
      </c>
      <c r="B5" t="s">
        <v>83</v>
      </c>
    </row>
    <row r="6" spans="1:2" x14ac:dyDescent="0.3">
      <c r="A6" t="s">
        <v>32</v>
      </c>
      <c r="B6" t="s">
        <v>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28CD-6F74-445B-877F-FC94F6174149}">
  <dimension ref="A1:C11"/>
  <sheetViews>
    <sheetView workbookViewId="0">
      <selection activeCell="B15" sqref="B15"/>
    </sheetView>
  </sheetViews>
  <sheetFormatPr defaultRowHeight="14.4" x14ac:dyDescent="0.3"/>
  <cols>
    <col min="1" max="1" width="13.109375" bestFit="1" customWidth="1"/>
    <col min="2" max="2" width="16.44140625" bestFit="1" customWidth="1"/>
    <col min="3" max="3" width="15.109375" bestFit="1" customWidth="1"/>
  </cols>
  <sheetData>
    <row r="1" spans="1:3" x14ac:dyDescent="0.3">
      <c r="A1" t="s">
        <v>46</v>
      </c>
      <c r="B1" t="s">
        <v>47</v>
      </c>
      <c r="C1" t="s">
        <v>48</v>
      </c>
    </row>
    <row r="2" spans="1:3" x14ac:dyDescent="0.3">
      <c r="A2" t="s">
        <v>49</v>
      </c>
      <c r="B2" t="s">
        <v>50</v>
      </c>
      <c r="C2" t="s">
        <v>51</v>
      </c>
    </row>
    <row r="3" spans="1:3" x14ac:dyDescent="0.3">
      <c r="A3" t="s">
        <v>52</v>
      </c>
      <c r="B3" t="s">
        <v>53</v>
      </c>
      <c r="C3" t="s">
        <v>54</v>
      </c>
    </row>
    <row r="4" spans="1:3" x14ac:dyDescent="0.3">
      <c r="A4" t="s">
        <v>55</v>
      </c>
      <c r="B4" t="s">
        <v>56</v>
      </c>
      <c r="C4" t="s">
        <v>57</v>
      </c>
    </row>
    <row r="5" spans="1:3" x14ac:dyDescent="0.3">
      <c r="A5" t="s">
        <v>58</v>
      </c>
      <c r="B5" t="s">
        <v>59</v>
      </c>
      <c r="C5" t="s">
        <v>60</v>
      </c>
    </row>
    <row r="6" spans="1:3" x14ac:dyDescent="0.3">
      <c r="A6" t="s">
        <v>61</v>
      </c>
      <c r="B6" t="s">
        <v>62</v>
      </c>
      <c r="C6" t="s">
        <v>63</v>
      </c>
    </row>
    <row r="7" spans="1:3" x14ac:dyDescent="0.3">
      <c r="A7" t="s">
        <v>64</v>
      </c>
      <c r="B7" t="s">
        <v>65</v>
      </c>
      <c r="C7" t="s">
        <v>66</v>
      </c>
    </row>
    <row r="8" spans="1:3" x14ac:dyDescent="0.3">
      <c r="A8" t="s">
        <v>67</v>
      </c>
      <c r="B8" t="s">
        <v>68</v>
      </c>
      <c r="C8" t="s">
        <v>69</v>
      </c>
    </row>
    <row r="9" spans="1:3" x14ac:dyDescent="0.3">
      <c r="A9" t="s">
        <v>70</v>
      </c>
      <c r="B9" t="s">
        <v>71</v>
      </c>
      <c r="C9" t="s">
        <v>72</v>
      </c>
    </row>
    <row r="10" spans="1:3" x14ac:dyDescent="0.3">
      <c r="A10" t="s">
        <v>73</v>
      </c>
      <c r="B10" t="s">
        <v>74</v>
      </c>
      <c r="C10" t="s">
        <v>75</v>
      </c>
    </row>
    <row r="11" spans="1:3" x14ac:dyDescent="0.3">
      <c r="A11" t="s">
        <v>76</v>
      </c>
      <c r="B11" t="s">
        <v>77</v>
      </c>
      <c r="C11" t="s">
        <v>78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0C5B7-74F3-4C7B-BB19-50499D3B6462}">
  <dimension ref="A1:D3"/>
  <sheetViews>
    <sheetView workbookViewId="0"/>
  </sheetViews>
  <sheetFormatPr defaultRowHeight="14.4" x14ac:dyDescent="0.3"/>
  <cols>
    <col min="1" max="1" width="13.77734375" bestFit="1" customWidth="1"/>
    <col min="2" max="2" width="17.109375" bestFit="1" customWidth="1"/>
    <col min="3" max="3" width="9.77734375" bestFit="1" customWidth="1"/>
    <col min="4" max="4" width="10.5546875" bestFit="1" customWidth="1"/>
  </cols>
  <sheetData>
    <row r="1" spans="1:4" x14ac:dyDescent="0.3">
      <c r="A1" t="s">
        <v>5</v>
      </c>
      <c r="B1" t="s">
        <v>37</v>
      </c>
      <c r="C1" t="s">
        <v>38</v>
      </c>
      <c r="D1" t="s">
        <v>39</v>
      </c>
    </row>
    <row r="2" spans="1:4" x14ac:dyDescent="0.3">
      <c r="A2" t="s">
        <v>10</v>
      </c>
      <c r="B2" t="s">
        <v>40</v>
      </c>
      <c r="C2" t="s">
        <v>41</v>
      </c>
      <c r="D2" t="s">
        <v>42</v>
      </c>
    </row>
    <row r="3" spans="1:4" x14ac:dyDescent="0.3">
      <c r="A3" t="s">
        <v>25</v>
      </c>
      <c r="B3" t="s">
        <v>43</v>
      </c>
      <c r="C3" t="s">
        <v>44</v>
      </c>
      <c r="D3" t="s">
        <v>45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9713B-6FFD-4697-982F-B20080E3695E}">
  <dimension ref="A1:E9"/>
  <sheetViews>
    <sheetView workbookViewId="0"/>
  </sheetViews>
  <sheetFormatPr defaultRowHeight="14.4" x14ac:dyDescent="0.3"/>
  <cols>
    <col min="1" max="1" width="13.6640625" bestFit="1" customWidth="1"/>
    <col min="2" max="2" width="10" bestFit="1" customWidth="1"/>
    <col min="3" max="3" width="22.33203125" bestFit="1" customWidth="1"/>
    <col min="4" max="4" width="10.88671875" bestFit="1" customWidth="1"/>
    <col min="5" max="5" width="13.77734375" bestFit="1" customWidth="1"/>
  </cols>
  <sheetData>
    <row r="1" spans="1:5" x14ac:dyDescent="0.3">
      <c r="A1" t="s">
        <v>1</v>
      </c>
      <c r="B1" t="s">
        <v>2</v>
      </c>
      <c r="C1" t="s">
        <v>3</v>
      </c>
      <c r="D1" t="s">
        <v>4</v>
      </c>
      <c r="E1" t="s">
        <v>5</v>
      </c>
    </row>
    <row r="2" spans="1:5" x14ac:dyDescent="0.3">
      <c r="A2" t="s">
        <v>6</v>
      </c>
      <c r="B2" t="s">
        <v>7</v>
      </c>
      <c r="C2" t="s">
        <v>8</v>
      </c>
      <c r="D2" t="s">
        <v>9</v>
      </c>
      <c r="E2" t="s">
        <v>10</v>
      </c>
    </row>
    <row r="3" spans="1:5" x14ac:dyDescent="0.3">
      <c r="A3" t="s">
        <v>11</v>
      </c>
      <c r="B3" t="s">
        <v>12</v>
      </c>
      <c r="C3" t="s">
        <v>13</v>
      </c>
      <c r="D3" t="s">
        <v>9</v>
      </c>
      <c r="E3" t="s">
        <v>10</v>
      </c>
    </row>
    <row r="4" spans="1:5" x14ac:dyDescent="0.3">
      <c r="A4" t="s">
        <v>14</v>
      </c>
      <c r="B4" t="s">
        <v>15</v>
      </c>
      <c r="C4" t="s">
        <v>16</v>
      </c>
      <c r="D4" t="s">
        <v>17</v>
      </c>
      <c r="E4" t="s">
        <v>10</v>
      </c>
    </row>
    <row r="5" spans="1:5" x14ac:dyDescent="0.3">
      <c r="A5" t="s">
        <v>18</v>
      </c>
      <c r="B5" t="s">
        <v>19</v>
      </c>
      <c r="C5" t="s">
        <v>20</v>
      </c>
      <c r="D5" t="s">
        <v>21</v>
      </c>
      <c r="E5" t="s">
        <v>10</v>
      </c>
    </row>
    <row r="6" spans="1:5" x14ac:dyDescent="0.3">
      <c r="A6" t="s">
        <v>22</v>
      </c>
      <c r="B6" t="s">
        <v>23</v>
      </c>
      <c r="C6" t="s">
        <v>24</v>
      </c>
      <c r="D6" t="s">
        <v>9</v>
      </c>
      <c r="E6" t="s">
        <v>25</v>
      </c>
    </row>
    <row r="7" spans="1:5" x14ac:dyDescent="0.3">
      <c r="A7" t="s">
        <v>26</v>
      </c>
      <c r="B7" t="s">
        <v>27</v>
      </c>
      <c r="C7" t="s">
        <v>28</v>
      </c>
      <c r="D7" t="s">
        <v>9</v>
      </c>
      <c r="E7" t="s">
        <v>25</v>
      </c>
    </row>
    <row r="8" spans="1:5" x14ac:dyDescent="0.3">
      <c r="A8" t="s">
        <v>29</v>
      </c>
      <c r="B8" t="s">
        <v>30</v>
      </c>
      <c r="C8" t="s">
        <v>31</v>
      </c>
      <c r="D8" t="s">
        <v>32</v>
      </c>
      <c r="E8" t="s">
        <v>25</v>
      </c>
    </row>
    <row r="9" spans="1:5" x14ac:dyDescent="0.3">
      <c r="A9" t="s">
        <v>33</v>
      </c>
      <c r="B9" t="s">
        <v>34</v>
      </c>
      <c r="C9" t="s">
        <v>35</v>
      </c>
      <c r="D9" t="s">
        <v>36</v>
      </c>
      <c r="E9" t="s">
        <v>25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3E26-5172-425A-A0DB-D343D90447F5}">
  <dimension ref="A1:A130"/>
  <sheetViews>
    <sheetView workbookViewId="0"/>
  </sheetViews>
  <sheetFormatPr defaultRowHeight="14.4" x14ac:dyDescent="0.3"/>
  <cols>
    <col min="1" max="1" width="15.44140625" bestFit="1" customWidth="1"/>
  </cols>
  <sheetData>
    <row r="1" spans="1:1" x14ac:dyDescent="0.3">
      <c r="A1" t="s">
        <v>0</v>
      </c>
    </row>
    <row r="2" spans="1:1" x14ac:dyDescent="0.3">
      <c r="A2" s="1">
        <v>45658</v>
      </c>
    </row>
    <row r="3" spans="1:1" x14ac:dyDescent="0.3">
      <c r="A3" s="1">
        <v>45659</v>
      </c>
    </row>
    <row r="4" spans="1:1" x14ac:dyDescent="0.3">
      <c r="A4" s="1">
        <v>45660</v>
      </c>
    </row>
    <row r="5" spans="1:1" x14ac:dyDescent="0.3">
      <c r="A5" s="1">
        <v>45663</v>
      </c>
    </row>
    <row r="6" spans="1:1" x14ac:dyDescent="0.3">
      <c r="A6" s="1">
        <v>45664</v>
      </c>
    </row>
    <row r="7" spans="1:1" x14ac:dyDescent="0.3">
      <c r="A7" s="1">
        <v>45665</v>
      </c>
    </row>
    <row r="8" spans="1:1" x14ac:dyDescent="0.3">
      <c r="A8" s="1">
        <v>45666</v>
      </c>
    </row>
    <row r="9" spans="1:1" x14ac:dyDescent="0.3">
      <c r="A9" s="1">
        <v>45667</v>
      </c>
    </row>
    <row r="10" spans="1:1" x14ac:dyDescent="0.3">
      <c r="A10" s="1">
        <v>45670</v>
      </c>
    </row>
    <row r="11" spans="1:1" x14ac:dyDescent="0.3">
      <c r="A11" s="1">
        <v>45671</v>
      </c>
    </row>
    <row r="12" spans="1:1" x14ac:dyDescent="0.3">
      <c r="A12" s="1">
        <v>45672</v>
      </c>
    </row>
    <row r="13" spans="1:1" x14ac:dyDescent="0.3">
      <c r="A13" s="1">
        <v>45673</v>
      </c>
    </row>
    <row r="14" spans="1:1" x14ac:dyDescent="0.3">
      <c r="A14" s="1">
        <v>45674</v>
      </c>
    </row>
    <row r="15" spans="1:1" x14ac:dyDescent="0.3">
      <c r="A15" s="1">
        <v>45677</v>
      </c>
    </row>
    <row r="16" spans="1:1" x14ac:dyDescent="0.3">
      <c r="A16" s="1">
        <v>45678</v>
      </c>
    </row>
    <row r="17" spans="1:1" x14ac:dyDescent="0.3">
      <c r="A17" s="1">
        <v>45679</v>
      </c>
    </row>
    <row r="18" spans="1:1" x14ac:dyDescent="0.3">
      <c r="A18" s="1">
        <v>45680</v>
      </c>
    </row>
    <row r="19" spans="1:1" x14ac:dyDescent="0.3">
      <c r="A19" s="1">
        <v>45681</v>
      </c>
    </row>
    <row r="20" spans="1:1" x14ac:dyDescent="0.3">
      <c r="A20" s="1">
        <v>45684</v>
      </c>
    </row>
    <row r="21" spans="1:1" x14ac:dyDescent="0.3">
      <c r="A21" s="1">
        <v>45685</v>
      </c>
    </row>
    <row r="22" spans="1:1" x14ac:dyDescent="0.3">
      <c r="A22" s="1">
        <v>45686</v>
      </c>
    </row>
    <row r="23" spans="1:1" x14ac:dyDescent="0.3">
      <c r="A23" s="1">
        <v>45687</v>
      </c>
    </row>
    <row r="24" spans="1:1" x14ac:dyDescent="0.3">
      <c r="A24" s="1">
        <v>45688</v>
      </c>
    </row>
    <row r="25" spans="1:1" x14ac:dyDescent="0.3">
      <c r="A25" s="1">
        <v>45691</v>
      </c>
    </row>
    <row r="26" spans="1:1" x14ac:dyDescent="0.3">
      <c r="A26" s="1">
        <v>45692</v>
      </c>
    </row>
    <row r="27" spans="1:1" x14ac:dyDescent="0.3">
      <c r="A27" s="1">
        <v>45693</v>
      </c>
    </row>
    <row r="28" spans="1:1" x14ac:dyDescent="0.3">
      <c r="A28" s="1">
        <v>45694</v>
      </c>
    </row>
    <row r="29" spans="1:1" x14ac:dyDescent="0.3">
      <c r="A29" s="1">
        <v>45695</v>
      </c>
    </row>
    <row r="30" spans="1:1" x14ac:dyDescent="0.3">
      <c r="A30" s="1">
        <v>45698</v>
      </c>
    </row>
    <row r="31" spans="1:1" x14ac:dyDescent="0.3">
      <c r="A31" s="1">
        <v>45699</v>
      </c>
    </row>
    <row r="32" spans="1:1" x14ac:dyDescent="0.3">
      <c r="A32" s="1">
        <v>45700</v>
      </c>
    </row>
    <row r="33" spans="1:1" x14ac:dyDescent="0.3">
      <c r="A33" s="1">
        <v>45701</v>
      </c>
    </row>
    <row r="34" spans="1:1" x14ac:dyDescent="0.3">
      <c r="A34" s="1">
        <v>45702</v>
      </c>
    </row>
    <row r="35" spans="1:1" x14ac:dyDescent="0.3">
      <c r="A35" s="1">
        <v>45705</v>
      </c>
    </row>
    <row r="36" spans="1:1" x14ac:dyDescent="0.3">
      <c r="A36" s="1">
        <v>45706</v>
      </c>
    </row>
    <row r="37" spans="1:1" x14ac:dyDescent="0.3">
      <c r="A37" s="1">
        <v>45707</v>
      </c>
    </row>
    <row r="38" spans="1:1" x14ac:dyDescent="0.3">
      <c r="A38" s="1">
        <v>45708</v>
      </c>
    </row>
    <row r="39" spans="1:1" x14ac:dyDescent="0.3">
      <c r="A39" s="1">
        <v>45709</v>
      </c>
    </row>
    <row r="40" spans="1:1" x14ac:dyDescent="0.3">
      <c r="A40" s="1">
        <v>45712</v>
      </c>
    </row>
    <row r="41" spans="1:1" x14ac:dyDescent="0.3">
      <c r="A41" s="1">
        <v>45713</v>
      </c>
    </row>
    <row r="42" spans="1:1" x14ac:dyDescent="0.3">
      <c r="A42" s="1">
        <v>45714</v>
      </c>
    </row>
    <row r="43" spans="1:1" x14ac:dyDescent="0.3">
      <c r="A43" s="1">
        <v>45715</v>
      </c>
    </row>
    <row r="44" spans="1:1" x14ac:dyDescent="0.3">
      <c r="A44" s="1">
        <v>45716</v>
      </c>
    </row>
    <row r="45" spans="1:1" x14ac:dyDescent="0.3">
      <c r="A45" s="1">
        <v>45719</v>
      </c>
    </row>
    <row r="46" spans="1:1" x14ac:dyDescent="0.3">
      <c r="A46" s="1">
        <v>45720</v>
      </c>
    </row>
    <row r="47" spans="1:1" x14ac:dyDescent="0.3">
      <c r="A47" s="1">
        <v>45721</v>
      </c>
    </row>
    <row r="48" spans="1:1" x14ac:dyDescent="0.3">
      <c r="A48" s="1">
        <v>45722</v>
      </c>
    </row>
    <row r="49" spans="1:1" x14ac:dyDescent="0.3">
      <c r="A49" s="1">
        <v>45723</v>
      </c>
    </row>
    <row r="50" spans="1:1" x14ac:dyDescent="0.3">
      <c r="A50" s="1">
        <v>45726</v>
      </c>
    </row>
    <row r="51" spans="1:1" x14ac:dyDescent="0.3">
      <c r="A51" s="1">
        <v>45727</v>
      </c>
    </row>
    <row r="52" spans="1:1" x14ac:dyDescent="0.3">
      <c r="A52" s="1">
        <v>45728</v>
      </c>
    </row>
    <row r="53" spans="1:1" x14ac:dyDescent="0.3">
      <c r="A53" s="1">
        <v>45729</v>
      </c>
    </row>
    <row r="54" spans="1:1" x14ac:dyDescent="0.3">
      <c r="A54" s="1">
        <v>45730</v>
      </c>
    </row>
    <row r="55" spans="1:1" x14ac:dyDescent="0.3">
      <c r="A55" s="1">
        <v>45733</v>
      </c>
    </row>
    <row r="56" spans="1:1" x14ac:dyDescent="0.3">
      <c r="A56" s="1">
        <v>45734</v>
      </c>
    </row>
    <row r="57" spans="1:1" x14ac:dyDescent="0.3">
      <c r="A57" s="1">
        <v>45735</v>
      </c>
    </row>
    <row r="58" spans="1:1" x14ac:dyDescent="0.3">
      <c r="A58" s="1">
        <v>45736</v>
      </c>
    </row>
    <row r="59" spans="1:1" x14ac:dyDescent="0.3">
      <c r="A59" s="1">
        <v>45737</v>
      </c>
    </row>
    <row r="60" spans="1:1" x14ac:dyDescent="0.3">
      <c r="A60" s="1">
        <v>45740</v>
      </c>
    </row>
    <row r="61" spans="1:1" x14ac:dyDescent="0.3">
      <c r="A61" s="1">
        <v>45741</v>
      </c>
    </row>
    <row r="62" spans="1:1" x14ac:dyDescent="0.3">
      <c r="A62" s="1">
        <v>45742</v>
      </c>
    </row>
    <row r="63" spans="1:1" x14ac:dyDescent="0.3">
      <c r="A63" s="1">
        <v>45743</v>
      </c>
    </row>
    <row r="64" spans="1:1" x14ac:dyDescent="0.3">
      <c r="A64" s="1">
        <v>45744</v>
      </c>
    </row>
    <row r="65" spans="1:1" x14ac:dyDescent="0.3">
      <c r="A65" s="1">
        <v>45747</v>
      </c>
    </row>
    <row r="66" spans="1:1" x14ac:dyDescent="0.3">
      <c r="A66" s="1">
        <v>45748</v>
      </c>
    </row>
    <row r="67" spans="1:1" x14ac:dyDescent="0.3">
      <c r="A67" s="1">
        <v>45749</v>
      </c>
    </row>
    <row r="68" spans="1:1" x14ac:dyDescent="0.3">
      <c r="A68" s="1">
        <v>45750</v>
      </c>
    </row>
    <row r="69" spans="1:1" x14ac:dyDescent="0.3">
      <c r="A69" s="1">
        <v>45751</v>
      </c>
    </row>
    <row r="70" spans="1:1" x14ac:dyDescent="0.3">
      <c r="A70" s="1">
        <v>45754</v>
      </c>
    </row>
    <row r="71" spans="1:1" x14ac:dyDescent="0.3">
      <c r="A71" s="1">
        <v>45755</v>
      </c>
    </row>
    <row r="72" spans="1:1" x14ac:dyDescent="0.3">
      <c r="A72" s="1">
        <v>45756</v>
      </c>
    </row>
    <row r="73" spans="1:1" x14ac:dyDescent="0.3">
      <c r="A73" s="1">
        <v>45757</v>
      </c>
    </row>
    <row r="74" spans="1:1" x14ac:dyDescent="0.3">
      <c r="A74" s="1">
        <v>45758</v>
      </c>
    </row>
    <row r="75" spans="1:1" x14ac:dyDescent="0.3">
      <c r="A75" s="1">
        <v>45761</v>
      </c>
    </row>
    <row r="76" spans="1:1" x14ac:dyDescent="0.3">
      <c r="A76" s="1">
        <v>45762</v>
      </c>
    </row>
    <row r="77" spans="1:1" x14ac:dyDescent="0.3">
      <c r="A77" s="1">
        <v>45763</v>
      </c>
    </row>
    <row r="78" spans="1:1" x14ac:dyDescent="0.3">
      <c r="A78" s="1">
        <v>45764</v>
      </c>
    </row>
    <row r="79" spans="1:1" x14ac:dyDescent="0.3">
      <c r="A79" s="1">
        <v>45765</v>
      </c>
    </row>
    <row r="80" spans="1:1" x14ac:dyDescent="0.3">
      <c r="A80" s="1">
        <v>45768</v>
      </c>
    </row>
    <row r="81" spans="1:1" x14ac:dyDescent="0.3">
      <c r="A81" s="1">
        <v>45769</v>
      </c>
    </row>
    <row r="82" spans="1:1" x14ac:dyDescent="0.3">
      <c r="A82" s="1">
        <v>45770</v>
      </c>
    </row>
    <row r="83" spans="1:1" x14ac:dyDescent="0.3">
      <c r="A83" s="1">
        <v>45771</v>
      </c>
    </row>
    <row r="84" spans="1:1" x14ac:dyDescent="0.3">
      <c r="A84" s="1">
        <v>45772</v>
      </c>
    </row>
    <row r="85" spans="1:1" x14ac:dyDescent="0.3">
      <c r="A85" s="1">
        <v>45775</v>
      </c>
    </row>
    <row r="86" spans="1:1" x14ac:dyDescent="0.3">
      <c r="A86" s="1">
        <v>45776</v>
      </c>
    </row>
    <row r="87" spans="1:1" x14ac:dyDescent="0.3">
      <c r="A87" s="1">
        <v>45777</v>
      </c>
    </row>
    <row r="88" spans="1:1" x14ac:dyDescent="0.3">
      <c r="A88" s="1">
        <v>45778</v>
      </c>
    </row>
    <row r="89" spans="1:1" x14ac:dyDescent="0.3">
      <c r="A89" s="1">
        <v>45779</v>
      </c>
    </row>
    <row r="90" spans="1:1" x14ac:dyDescent="0.3">
      <c r="A90" s="1">
        <v>45782</v>
      </c>
    </row>
    <row r="91" spans="1:1" x14ac:dyDescent="0.3">
      <c r="A91" s="1">
        <v>45783</v>
      </c>
    </row>
    <row r="92" spans="1:1" x14ac:dyDescent="0.3">
      <c r="A92" s="1">
        <v>45784</v>
      </c>
    </row>
    <row r="93" spans="1:1" x14ac:dyDescent="0.3">
      <c r="A93" s="1">
        <v>45785</v>
      </c>
    </row>
    <row r="94" spans="1:1" x14ac:dyDescent="0.3">
      <c r="A94" s="1">
        <v>45786</v>
      </c>
    </row>
    <row r="95" spans="1:1" x14ac:dyDescent="0.3">
      <c r="A95" s="1">
        <v>45789</v>
      </c>
    </row>
    <row r="96" spans="1:1" x14ac:dyDescent="0.3">
      <c r="A96" s="1">
        <v>45790</v>
      </c>
    </row>
    <row r="97" spans="1:1" x14ac:dyDescent="0.3">
      <c r="A97" s="1">
        <v>45791</v>
      </c>
    </row>
    <row r="98" spans="1:1" x14ac:dyDescent="0.3">
      <c r="A98" s="1">
        <v>45792</v>
      </c>
    </row>
    <row r="99" spans="1:1" x14ac:dyDescent="0.3">
      <c r="A99" s="1">
        <v>45793</v>
      </c>
    </row>
    <row r="100" spans="1:1" x14ac:dyDescent="0.3">
      <c r="A100" s="1">
        <v>45796</v>
      </c>
    </row>
    <row r="101" spans="1:1" x14ac:dyDescent="0.3">
      <c r="A101" s="1">
        <v>45797</v>
      </c>
    </row>
    <row r="102" spans="1:1" x14ac:dyDescent="0.3">
      <c r="A102" s="1">
        <v>45798</v>
      </c>
    </row>
    <row r="103" spans="1:1" x14ac:dyDescent="0.3">
      <c r="A103" s="1">
        <v>45799</v>
      </c>
    </row>
    <row r="104" spans="1:1" x14ac:dyDescent="0.3">
      <c r="A104" s="1">
        <v>45800</v>
      </c>
    </row>
    <row r="105" spans="1:1" x14ac:dyDescent="0.3">
      <c r="A105" s="1">
        <v>45803</v>
      </c>
    </row>
    <row r="106" spans="1:1" x14ac:dyDescent="0.3">
      <c r="A106" s="1">
        <v>45804</v>
      </c>
    </row>
    <row r="107" spans="1:1" x14ac:dyDescent="0.3">
      <c r="A107" s="1">
        <v>45805</v>
      </c>
    </row>
    <row r="108" spans="1:1" x14ac:dyDescent="0.3">
      <c r="A108" s="1">
        <v>45806</v>
      </c>
    </row>
    <row r="109" spans="1:1" x14ac:dyDescent="0.3">
      <c r="A109" s="1">
        <v>45807</v>
      </c>
    </row>
    <row r="110" spans="1:1" x14ac:dyDescent="0.3">
      <c r="A110" s="1">
        <v>45810</v>
      </c>
    </row>
    <row r="111" spans="1:1" x14ac:dyDescent="0.3">
      <c r="A111" s="1">
        <v>45811</v>
      </c>
    </row>
    <row r="112" spans="1:1" x14ac:dyDescent="0.3">
      <c r="A112" s="1">
        <v>45812</v>
      </c>
    </row>
    <row r="113" spans="1:1" x14ac:dyDescent="0.3">
      <c r="A113" s="1">
        <v>45813</v>
      </c>
    </row>
    <row r="114" spans="1:1" x14ac:dyDescent="0.3">
      <c r="A114" s="1">
        <v>45814</v>
      </c>
    </row>
    <row r="115" spans="1:1" x14ac:dyDescent="0.3">
      <c r="A115" s="1">
        <v>45817</v>
      </c>
    </row>
    <row r="116" spans="1:1" x14ac:dyDescent="0.3">
      <c r="A116" s="1">
        <v>45818</v>
      </c>
    </row>
    <row r="117" spans="1:1" x14ac:dyDescent="0.3">
      <c r="A117" s="1">
        <v>45819</v>
      </c>
    </row>
    <row r="118" spans="1:1" x14ac:dyDescent="0.3">
      <c r="A118" s="1">
        <v>45820</v>
      </c>
    </row>
    <row r="119" spans="1:1" x14ac:dyDescent="0.3">
      <c r="A119" s="1">
        <v>45821</v>
      </c>
    </row>
    <row r="120" spans="1:1" x14ac:dyDescent="0.3">
      <c r="A120" s="1">
        <v>45824</v>
      </c>
    </row>
    <row r="121" spans="1:1" x14ac:dyDescent="0.3">
      <c r="A121" s="1">
        <v>45825</v>
      </c>
    </row>
    <row r="122" spans="1:1" x14ac:dyDescent="0.3">
      <c r="A122" s="1">
        <v>45826</v>
      </c>
    </row>
    <row r="123" spans="1:1" x14ac:dyDescent="0.3">
      <c r="A123" s="1">
        <v>45827</v>
      </c>
    </row>
    <row r="124" spans="1:1" x14ac:dyDescent="0.3">
      <c r="A124" s="1">
        <v>45828</v>
      </c>
    </row>
    <row r="125" spans="1:1" x14ac:dyDescent="0.3">
      <c r="A125" s="1">
        <v>45831</v>
      </c>
    </row>
    <row r="126" spans="1:1" x14ac:dyDescent="0.3">
      <c r="A126" s="1">
        <v>45832</v>
      </c>
    </row>
    <row r="127" spans="1:1" x14ac:dyDescent="0.3">
      <c r="A127" s="1">
        <v>45833</v>
      </c>
    </row>
    <row r="128" spans="1:1" x14ac:dyDescent="0.3">
      <c r="A128" s="1">
        <v>45834</v>
      </c>
    </row>
    <row r="129" spans="1:1" x14ac:dyDescent="0.3">
      <c r="A129" s="1">
        <v>45835</v>
      </c>
    </row>
    <row r="130" spans="1:1" x14ac:dyDescent="0.3">
      <c r="A130" s="1">
        <v>45838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3D385-4A8B-4295-8DC6-DCF95F1A2EEC}">
  <dimension ref="A2:E85"/>
  <sheetViews>
    <sheetView workbookViewId="0">
      <selection activeCell="B10" sqref="B10"/>
    </sheetView>
  </sheetViews>
  <sheetFormatPr defaultRowHeight="14.4" x14ac:dyDescent="0.3"/>
  <cols>
    <col min="1" max="1" width="18.44140625" bestFit="1" customWidth="1"/>
    <col min="2" max="2" width="14" bestFit="1" customWidth="1"/>
    <col min="3" max="3" width="13.88671875" bestFit="1" customWidth="1"/>
    <col min="4" max="4" width="16.77734375" customWidth="1"/>
    <col min="5" max="5" width="12.109375" bestFit="1" customWidth="1"/>
    <col min="6" max="6" width="12.21875" bestFit="1" customWidth="1"/>
    <col min="7" max="7" width="6.77734375" bestFit="1" customWidth="1"/>
    <col min="8" max="8" width="15.5546875" bestFit="1" customWidth="1"/>
    <col min="9" max="9" width="12.5546875" bestFit="1" customWidth="1"/>
    <col min="10" max="10" width="12.21875" bestFit="1" customWidth="1"/>
    <col min="12" max="12" width="12.109375" bestFit="1" customWidth="1"/>
    <col min="13" max="13" width="14.5546875" bestFit="1" customWidth="1"/>
  </cols>
  <sheetData>
    <row r="2" spans="1:3" x14ac:dyDescent="0.3">
      <c r="A2">
        <v>2</v>
      </c>
      <c r="C2">
        <v>2</v>
      </c>
    </row>
    <row r="3" spans="1:3" x14ac:dyDescent="0.3">
      <c r="A3" t="s">
        <v>1174</v>
      </c>
    </row>
    <row r="4" spans="1:3" x14ac:dyDescent="0.3">
      <c r="A4" s="23">
        <v>25414.796511627908</v>
      </c>
      <c r="C4" s="28">
        <f>GETPIVOTDATA("volume",$A$3)</f>
        <v>25414.796511627908</v>
      </c>
    </row>
    <row r="7" spans="1:3" x14ac:dyDescent="0.3">
      <c r="A7">
        <v>3</v>
      </c>
    </row>
    <row r="8" spans="1:3" x14ac:dyDescent="0.3">
      <c r="A8" s="2" t="s">
        <v>1176</v>
      </c>
      <c r="B8" t="s">
        <v>1183</v>
      </c>
    </row>
    <row r="9" spans="1:3" x14ac:dyDescent="0.3">
      <c r="A9" s="3" t="s">
        <v>6</v>
      </c>
      <c r="B9" s="23">
        <v>1.2584348247847994E-2</v>
      </c>
    </row>
    <row r="10" spans="1:3" x14ac:dyDescent="0.3">
      <c r="A10" s="3" t="s">
        <v>11</v>
      </c>
      <c r="B10" s="23">
        <v>1.2974504290131021E-2</v>
      </c>
    </row>
    <row r="11" spans="1:3" x14ac:dyDescent="0.3">
      <c r="A11" s="3" t="s">
        <v>14</v>
      </c>
      <c r="B11" s="23">
        <v>1.3630771301661172E-2</v>
      </c>
    </row>
    <row r="12" spans="1:3" x14ac:dyDescent="0.3">
      <c r="A12" s="3" t="s">
        <v>18</v>
      </c>
      <c r="B12" s="23">
        <v>1.177767179584311E-2</v>
      </c>
    </row>
    <row r="13" spans="1:3" x14ac:dyDescent="0.3">
      <c r="A13" s="3" t="s">
        <v>22</v>
      </c>
      <c r="B13" s="23">
        <v>1.1642207547324059E-2</v>
      </c>
    </row>
    <row r="14" spans="1:3" x14ac:dyDescent="0.3">
      <c r="A14" s="3" t="s">
        <v>26</v>
      </c>
      <c r="B14" s="23">
        <v>1.2321016114012772E-2</v>
      </c>
    </row>
    <row r="15" spans="1:3" x14ac:dyDescent="0.3">
      <c r="A15" s="3" t="s">
        <v>29</v>
      </c>
      <c r="B15" s="23">
        <v>1.4045542248921366E-2</v>
      </c>
    </row>
    <row r="16" spans="1:3" x14ac:dyDescent="0.3">
      <c r="A16" s="3" t="s">
        <v>33</v>
      </c>
      <c r="B16" s="23">
        <v>1.4141310666860807E-2</v>
      </c>
    </row>
    <row r="17" spans="1:5" x14ac:dyDescent="0.3">
      <c r="A17" s="3" t="s">
        <v>1175</v>
      </c>
      <c r="B17" s="23">
        <v>1.291873385220829E-2</v>
      </c>
    </row>
    <row r="20" spans="1:5" x14ac:dyDescent="0.3">
      <c r="A20">
        <v>1</v>
      </c>
      <c r="C20">
        <v>1</v>
      </c>
    </row>
    <row r="21" spans="1:5" x14ac:dyDescent="0.3">
      <c r="A21" t="s">
        <v>1178</v>
      </c>
    </row>
    <row r="22" spans="1:5" x14ac:dyDescent="0.3">
      <c r="A22" s="23">
        <v>23269306342.360043</v>
      </c>
      <c r="C22" s="28">
        <f>GETPIVOTDATA("Total Market",$A$21)</f>
        <v>23269306342.360043</v>
      </c>
    </row>
    <row r="25" spans="1:5" x14ac:dyDescent="0.3">
      <c r="A25">
        <v>4</v>
      </c>
    </row>
    <row r="26" spans="1:5" x14ac:dyDescent="0.3">
      <c r="A26" s="2" t="s">
        <v>1176</v>
      </c>
      <c r="B26" t="s">
        <v>1182</v>
      </c>
      <c r="C26" t="s">
        <v>1184</v>
      </c>
      <c r="D26" t="s">
        <v>1185</v>
      </c>
    </row>
    <row r="27" spans="1:5" x14ac:dyDescent="0.3">
      <c r="A27" s="3" t="s">
        <v>84</v>
      </c>
      <c r="B27" s="23">
        <v>0.24116037921430414</v>
      </c>
      <c r="C27">
        <f>MAX(B27:B31)</f>
        <v>0.32059304038682951</v>
      </c>
      <c r="D27" t="str">
        <f>_xlfn.XLOOKUP(C27,B27:B31,A27:A31)</f>
        <v>Healthcare</v>
      </c>
      <c r="E27" t="str">
        <f ca="1">_xlfn.FORMULATEXT(D27)</f>
        <v>=XLOOKUP(C27,B27:B31,A27:A31)</v>
      </c>
    </row>
    <row r="28" spans="1:5" x14ac:dyDescent="0.3">
      <c r="A28" s="3" t="s">
        <v>83</v>
      </c>
      <c r="B28" s="23">
        <v>0.11691620688476309</v>
      </c>
    </row>
    <row r="29" spans="1:5" x14ac:dyDescent="0.3">
      <c r="A29" s="3" t="s">
        <v>81</v>
      </c>
      <c r="B29" s="23">
        <v>0.13149505270315814</v>
      </c>
      <c r="D29" t="str">
        <f>D27</f>
        <v>Healthcare</v>
      </c>
    </row>
    <row r="30" spans="1:5" x14ac:dyDescent="0.3">
      <c r="A30" s="3" t="s">
        <v>82</v>
      </c>
      <c r="B30" s="23">
        <v>0.32059304038682951</v>
      </c>
    </row>
    <row r="31" spans="1:5" x14ac:dyDescent="0.3">
      <c r="A31" s="3" t="s">
        <v>80</v>
      </c>
      <c r="B31" s="23">
        <v>-2.9849625357318731E-2</v>
      </c>
    </row>
    <row r="32" spans="1:5" x14ac:dyDescent="0.3">
      <c r="A32" s="3" t="s">
        <v>1175</v>
      </c>
      <c r="B32" s="23">
        <v>0.78031505383173616</v>
      </c>
    </row>
    <row r="34" spans="1:4" x14ac:dyDescent="0.3">
      <c r="B34">
        <v>10</v>
      </c>
      <c r="C34" t="s">
        <v>1191</v>
      </c>
      <c r="D34" t="s">
        <v>1201</v>
      </c>
    </row>
    <row r="35" spans="1:4" x14ac:dyDescent="0.3">
      <c r="C35" s="23">
        <v>123</v>
      </c>
      <c r="D35" s="23">
        <v>333</v>
      </c>
    </row>
    <row r="38" spans="1:4" x14ac:dyDescent="0.3">
      <c r="C38">
        <f>(GETPIVOTDATA("Sum of is Profit",$C$34)/GETPIVOTDATA("Count of is Profit2",$C$34))*100</f>
        <v>36.936936936936938</v>
      </c>
      <c r="D38" s="23">
        <f>C38</f>
        <v>36.936936936936938</v>
      </c>
    </row>
    <row r="46" spans="1:4" x14ac:dyDescent="0.3">
      <c r="A46">
        <v>11</v>
      </c>
    </row>
    <row r="47" spans="1:4" x14ac:dyDescent="0.3">
      <c r="A47" s="2" t="s">
        <v>1176</v>
      </c>
      <c r="B47" t="s">
        <v>1202</v>
      </c>
    </row>
    <row r="48" spans="1:4" x14ac:dyDescent="0.3">
      <c r="A48" s="3" t="s">
        <v>1203</v>
      </c>
      <c r="B48" s="23">
        <v>210</v>
      </c>
    </row>
    <row r="49" spans="1:2" x14ac:dyDescent="0.3">
      <c r="A49" s="3" t="s">
        <v>1187</v>
      </c>
      <c r="B49" s="23">
        <v>123</v>
      </c>
    </row>
    <row r="50" spans="1:2" x14ac:dyDescent="0.3">
      <c r="A50" s="3" t="s">
        <v>1175</v>
      </c>
      <c r="B50" s="23">
        <v>333</v>
      </c>
    </row>
    <row r="53" spans="1:2" x14ac:dyDescent="0.3">
      <c r="A53">
        <v>5</v>
      </c>
    </row>
    <row r="54" spans="1:2" x14ac:dyDescent="0.3">
      <c r="A54" t="s">
        <v>1212</v>
      </c>
    </row>
    <row r="55" spans="1:2" x14ac:dyDescent="0.3">
      <c r="A55" s="23">
        <v>48360019.279999971</v>
      </c>
      <c r="B55" s="28">
        <f>GETPIVOTDATA("Quantity_Heild",$A$54)</f>
        <v>48360019.279999971</v>
      </c>
    </row>
    <row r="57" spans="1:2" x14ac:dyDescent="0.3">
      <c r="A57">
        <v>6</v>
      </c>
    </row>
    <row r="58" spans="1:2" x14ac:dyDescent="0.3">
      <c r="A58" s="2" t="s">
        <v>1176</v>
      </c>
      <c r="B58" t="s">
        <v>1219</v>
      </c>
    </row>
    <row r="59" spans="1:2" x14ac:dyDescent="0.3">
      <c r="A59" s="3" t="s">
        <v>6</v>
      </c>
      <c r="B59" s="27">
        <v>-8.2445379935790583E-2</v>
      </c>
    </row>
    <row r="60" spans="1:2" x14ac:dyDescent="0.3">
      <c r="A60" s="3" t="s">
        <v>11</v>
      </c>
      <c r="B60" s="27">
        <v>5.581395348837213</v>
      </c>
    </row>
    <row r="61" spans="1:2" x14ac:dyDescent="0.3">
      <c r="A61" s="3" t="s">
        <v>14</v>
      </c>
      <c r="B61" s="27">
        <v>15.433591804794769</v>
      </c>
    </row>
    <row r="62" spans="1:2" x14ac:dyDescent="0.3">
      <c r="A62" s="3" t="s">
        <v>18</v>
      </c>
      <c r="B62" s="27">
        <v>13.415040298408051</v>
      </c>
    </row>
    <row r="63" spans="1:2" x14ac:dyDescent="0.3">
      <c r="A63" s="3" t="s">
        <v>22</v>
      </c>
      <c r="B63" s="27">
        <v>8.0358697544837163</v>
      </c>
    </row>
    <row r="64" spans="1:2" x14ac:dyDescent="0.3">
      <c r="A64" s="3" t="s">
        <v>26</v>
      </c>
      <c r="B64" s="27">
        <v>-11.42003584943239</v>
      </c>
    </row>
    <row r="65" spans="1:2" x14ac:dyDescent="0.3">
      <c r="A65" s="3" t="s">
        <v>29</v>
      </c>
      <c r="B65" s="27">
        <v>28.922098849915006</v>
      </c>
    </row>
    <row r="66" spans="1:2" x14ac:dyDescent="0.3">
      <c r="A66" s="3" t="s">
        <v>33</v>
      </c>
      <c r="B66" s="27">
        <v>39.630943931866582</v>
      </c>
    </row>
    <row r="67" spans="1:2" x14ac:dyDescent="0.3">
      <c r="A67" s="3" t="s">
        <v>1175</v>
      </c>
      <c r="B67" s="27">
        <v>99.516458758937162</v>
      </c>
    </row>
    <row r="70" spans="1:2" x14ac:dyDescent="0.3">
      <c r="A70">
        <v>8</v>
      </c>
    </row>
    <row r="71" spans="1:2" x14ac:dyDescent="0.3">
      <c r="A71" t="s">
        <v>1225</v>
      </c>
    </row>
    <row r="72" spans="1:2" x14ac:dyDescent="0.3">
      <c r="A72" s="23">
        <v>0.3149424892237761</v>
      </c>
      <c r="B72">
        <f>GETPIVOTDATA("Sharp_ratio",$A$71)</f>
        <v>0.3149424892237761</v>
      </c>
    </row>
    <row r="75" spans="1:2" x14ac:dyDescent="0.3">
      <c r="A75">
        <v>7</v>
      </c>
    </row>
    <row r="76" spans="1:2" x14ac:dyDescent="0.3">
      <c r="A76" s="2" t="s">
        <v>1176</v>
      </c>
      <c r="B76" t="s">
        <v>1227</v>
      </c>
    </row>
    <row r="77" spans="1:2" x14ac:dyDescent="0.3">
      <c r="A77" s="3" t="s">
        <v>6</v>
      </c>
      <c r="B77" s="26">
        <v>2.1315963844124668</v>
      </c>
    </row>
    <row r="78" spans="1:2" x14ac:dyDescent="0.3">
      <c r="A78" s="3" t="s">
        <v>11</v>
      </c>
      <c r="B78" s="26">
        <v>1.4357970305106871</v>
      </c>
    </row>
    <row r="79" spans="1:2" x14ac:dyDescent="0.3">
      <c r="A79" s="3" t="s">
        <v>14</v>
      </c>
      <c r="B79" s="26">
        <v>0.55024629023951122</v>
      </c>
    </row>
    <row r="80" spans="1:2" x14ac:dyDescent="0.3">
      <c r="A80" s="3" t="s">
        <v>18</v>
      </c>
      <c r="B80" s="26">
        <v>0</v>
      </c>
    </row>
    <row r="81" spans="1:2" x14ac:dyDescent="0.3">
      <c r="A81" s="3" t="s">
        <v>22</v>
      </c>
      <c r="B81" s="26">
        <v>0</v>
      </c>
    </row>
    <row r="82" spans="1:2" x14ac:dyDescent="0.3">
      <c r="A82" s="3" t="s">
        <v>26</v>
      </c>
      <c r="B82" s="26">
        <v>12.015469016997931</v>
      </c>
    </row>
    <row r="83" spans="1:2" x14ac:dyDescent="0.3">
      <c r="A83" s="3" t="s">
        <v>29</v>
      </c>
      <c r="B83" s="26">
        <v>5.8010718627467774</v>
      </c>
    </row>
    <row r="84" spans="1:2" x14ac:dyDescent="0.3">
      <c r="A84" s="3" t="s">
        <v>33</v>
      </c>
      <c r="B84" s="26">
        <v>0.88949883094439353</v>
      </c>
    </row>
    <row r="85" spans="1:2" x14ac:dyDescent="0.3">
      <c r="A85" s="3" t="s">
        <v>1175</v>
      </c>
      <c r="B85" s="26">
        <v>22.823679415851768</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F059-C4BC-4F92-A27F-2DE23FC00683}">
  <dimension ref="A1:F5"/>
  <sheetViews>
    <sheetView workbookViewId="0">
      <selection activeCell="F5" sqref="F5"/>
    </sheetView>
  </sheetViews>
  <sheetFormatPr defaultRowHeight="14.4" x14ac:dyDescent="0.3"/>
  <cols>
    <col min="1" max="1" width="16" bestFit="1" customWidth="1"/>
    <col min="2" max="2" width="6.88671875" bestFit="1" customWidth="1"/>
    <col min="3" max="3" width="12.33203125" bestFit="1" customWidth="1"/>
    <col min="4" max="4" width="16" bestFit="1" customWidth="1"/>
    <col min="6" max="6" width="16" bestFit="1" customWidth="1"/>
    <col min="7" max="7" width="16.88671875" customWidth="1"/>
  </cols>
  <sheetData>
    <row r="1" spans="1:6" x14ac:dyDescent="0.3">
      <c r="A1" s="2" t="s">
        <v>160</v>
      </c>
      <c r="B1" t="s" vm="1">
        <v>171</v>
      </c>
    </row>
    <row r="3" spans="1:6" x14ac:dyDescent="0.3">
      <c r="A3" t="s">
        <v>1186</v>
      </c>
      <c r="D3" t="s">
        <v>1186</v>
      </c>
      <c r="F3">
        <f>(GETPIVOTDATA("[Measures].[Count of order_id]",$A$3)/GETPIVOTDATA("[Measures].[Count of order_id]",$D$3))*100</f>
        <v>47.8</v>
      </c>
    </row>
    <row r="4" spans="1:6" x14ac:dyDescent="0.3">
      <c r="A4" s="23">
        <v>239</v>
      </c>
      <c r="D4" s="23">
        <v>500</v>
      </c>
    </row>
    <row r="5" spans="1:6" x14ac:dyDescent="0.3">
      <c r="F5">
        <f>F3</f>
        <v>47.8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E604-5458-44F3-8CDE-BD7C2D8D3816}">
  <dimension ref="A1"/>
  <sheetViews>
    <sheetView showGridLines="0" tabSelected="1" zoomScale="90" zoomScaleNormal="90" workbookViewId="0">
      <selection activeCell="A3" sqref="A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619E4C-922A-4648-9EF0-6D7ECAF61D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fact_trades</vt:lpstr>
      <vt:lpstr>fact_splits</vt:lpstr>
      <vt:lpstr>fact_positions_snapshot</vt:lpstr>
      <vt:lpstr>fact_orders</vt:lpstr>
      <vt:lpstr>Merge1</vt:lpstr>
      <vt:lpstr>fact_daily_prices</vt:lpstr>
      <vt:lpstr>fact_dividends</vt:lpstr>
      <vt:lpstr>dim_trader</vt:lpstr>
      <vt:lpstr>dim_sector</vt:lpstr>
      <vt:lpstr>dim_portfolio</vt:lpstr>
      <vt:lpstr>dim_exchange</vt:lpstr>
      <vt:lpstr>dim_company</vt:lpstr>
      <vt:lpstr>dim_calendar</vt:lpstr>
      <vt:lpstr>pivot table</vt:lpstr>
      <vt:lpstr>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prasanna</dc:creator>
  <cp:lastModifiedBy>Lakshmi prasanna</cp:lastModifiedBy>
  <dcterms:created xsi:type="dcterms:W3CDTF">2025-08-20T08:55:31Z</dcterms:created>
  <dcterms:modified xsi:type="dcterms:W3CDTF">2025-08-22T17:42:44Z</dcterms:modified>
</cp:coreProperties>
</file>