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60" windowWidth="15480" windowHeight="7440" tabRatio="667"/>
  </bookViews>
  <sheets>
    <sheet name="Theory" sheetId="12" r:id="rId1"/>
    <sheet name="Quiz1" sheetId="13" r:id="rId2"/>
    <sheet name="Quiz2" sheetId="15" r:id="rId3"/>
    <sheet name="Lab" sheetId="14" r:id="rId4"/>
    <sheet name="CO_PO_PSO_MAPPING" sheetId="17" r:id="rId5"/>
    <sheet name="CO_PO_ASESSEMENT" sheetId="16" r:id="rId6"/>
  </sheets>
  <externalReferences>
    <externalReference r:id="rId7"/>
  </externalReferences>
  <calcPr calcId="124519"/>
</workbook>
</file>

<file path=xl/calcChain.xml><?xml version="1.0" encoding="utf-8"?>
<calcChain xmlns="http://schemas.openxmlformats.org/spreadsheetml/2006/main">
  <c r="E12" i="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D12"/>
  <c r="O89" i="14"/>
  <c r="N89"/>
  <c r="M89"/>
  <c r="L89"/>
  <c r="K89"/>
  <c r="J89"/>
  <c r="I89"/>
  <c r="H89"/>
  <c r="G89"/>
  <c r="F89"/>
  <c r="E89"/>
  <c r="D89"/>
  <c r="M81"/>
  <c r="L81"/>
  <c r="K81"/>
  <c r="J81"/>
  <c r="I81"/>
  <c r="F81"/>
  <c r="E81"/>
  <c r="D81"/>
  <c r="J75"/>
  <c r="G75"/>
  <c r="D75"/>
  <c r="J74"/>
  <c r="K76" s="1"/>
  <c r="G74"/>
  <c r="I76" s="1"/>
  <c r="D74"/>
  <c r="E76" s="1"/>
  <c r="J7"/>
  <c r="G7"/>
  <c r="D7"/>
  <c r="AU81" i="12"/>
  <c r="AT80"/>
  <c r="AS80"/>
  <c r="B80"/>
  <c r="AT79"/>
  <c r="AT81" s="1"/>
  <c r="AS79"/>
  <c r="AS81" s="1"/>
  <c r="AR79"/>
  <c r="AQ79"/>
  <c r="AP79"/>
  <c r="AO79"/>
  <c r="AO81" s="1"/>
  <c r="AN79"/>
  <c r="AM79"/>
  <c r="AM81" s="1"/>
  <c r="AL79"/>
  <c r="AK79"/>
  <c r="AJ79"/>
  <c r="AI79"/>
  <c r="AI81" s="1"/>
  <c r="AH79"/>
  <c r="AG79"/>
  <c r="AF79"/>
  <c r="AE79"/>
  <c r="AE81" s="1"/>
  <c r="AD79"/>
  <c r="AC79"/>
  <c r="AB79"/>
  <c r="AA79"/>
  <c r="AA81" s="1"/>
  <c r="Z79"/>
  <c r="Y79"/>
  <c r="X79"/>
  <c r="W79"/>
  <c r="W81" s="1"/>
  <c r="V79"/>
  <c r="U79"/>
  <c r="T79"/>
  <c r="S79"/>
  <c r="S81" s="1"/>
  <c r="R79"/>
  <c r="Q79"/>
  <c r="P79"/>
  <c r="O79"/>
  <c r="O81" s="1"/>
  <c r="N79"/>
  <c r="M79"/>
  <c r="L79"/>
  <c r="K79"/>
  <c r="K81" s="1"/>
  <c r="J79"/>
  <c r="I79"/>
  <c r="H79"/>
  <c r="G79"/>
  <c r="G81" s="1"/>
  <c r="F79"/>
  <c r="E79"/>
  <c r="D79"/>
  <c r="AW3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D76" i="14" l="1"/>
  <c r="F76"/>
  <c r="H76"/>
  <c r="J76"/>
  <c r="H81" s="1"/>
  <c r="L76"/>
  <c r="G76"/>
  <c r="D81" i="12"/>
  <c r="F81"/>
  <c r="H81"/>
  <c r="J81"/>
  <c r="L81"/>
  <c r="N81"/>
  <c r="P81"/>
  <c r="R81"/>
  <c r="T81"/>
  <c r="V81"/>
  <c r="X81"/>
  <c r="Z81"/>
  <c r="AB81"/>
  <c r="AD81"/>
  <c r="AF81"/>
  <c r="AH81"/>
  <c r="AJ81"/>
  <c r="AL81"/>
  <c r="AN81"/>
  <c r="AP81"/>
  <c r="AR81"/>
  <c r="E81"/>
  <c r="I81"/>
  <c r="M81"/>
  <c r="Q81"/>
  <c r="U81"/>
  <c r="Y81"/>
  <c r="AC81"/>
  <c r="AG81"/>
  <c r="AK81"/>
  <c r="AQ81"/>
  <c r="G81" i="14" l="1"/>
  <c r="M121" i="16"/>
  <c r="N121"/>
  <c r="O121"/>
  <c r="P121"/>
  <c r="Q121"/>
  <c r="Q104" l="1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M77"/>
  <c r="M78"/>
  <c r="M79"/>
  <c r="M80"/>
  <c r="M81"/>
  <c r="M82"/>
  <c r="M83"/>
  <c r="M84"/>
  <c r="M85"/>
  <c r="M86"/>
  <c r="M87"/>
  <c r="M88"/>
  <c r="M89"/>
  <c r="R89" s="1"/>
  <c r="M90"/>
  <c r="M91"/>
  <c r="M92"/>
  <c r="M93"/>
  <c r="R93" s="1"/>
  <c r="M94"/>
  <c r="M95"/>
  <c r="M96"/>
  <c r="M97"/>
  <c r="R97" s="1"/>
  <c r="M98"/>
  <c r="M99"/>
  <c r="M100"/>
  <c r="M101"/>
  <c r="R101" s="1"/>
  <c r="M102"/>
  <c r="M103"/>
  <c r="P76"/>
  <c r="O76"/>
  <c r="N76"/>
  <c r="M76"/>
  <c r="G114"/>
  <c r="G115"/>
  <c r="G11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G76"/>
  <c r="F76"/>
  <c r="E76"/>
  <c r="D77"/>
  <c r="D78"/>
  <c r="D79"/>
  <c r="D80"/>
  <c r="D81"/>
  <c r="I81" s="1"/>
  <c r="D82"/>
  <c r="D83"/>
  <c r="D84"/>
  <c r="D85"/>
  <c r="I85" s="1"/>
  <c r="D86"/>
  <c r="D87"/>
  <c r="D88"/>
  <c r="D89"/>
  <c r="I89" s="1"/>
  <c r="D90"/>
  <c r="D91"/>
  <c r="D92"/>
  <c r="D93"/>
  <c r="I93" s="1"/>
  <c r="D94"/>
  <c r="D95"/>
  <c r="D96"/>
  <c r="D97"/>
  <c r="I97" s="1"/>
  <c r="D98"/>
  <c r="D99"/>
  <c r="D100"/>
  <c r="D101"/>
  <c r="I101" s="1"/>
  <c r="D102"/>
  <c r="D103"/>
  <c r="D104"/>
  <c r="D105"/>
  <c r="I105" s="1"/>
  <c r="D106"/>
  <c r="D107"/>
  <c r="D108"/>
  <c r="D109"/>
  <c r="I109" s="1"/>
  <c r="D110"/>
  <c r="D111"/>
  <c r="D112"/>
  <c r="D113"/>
  <c r="I113" s="1"/>
  <c r="D114"/>
  <c r="D115"/>
  <c r="D116"/>
  <c r="D76"/>
  <c r="I76" s="1"/>
  <c r="O104" l="1"/>
  <c r="I77"/>
  <c r="R102"/>
  <c r="R98"/>
  <c r="R94"/>
  <c r="I116"/>
  <c r="I100"/>
  <c r="I108"/>
  <c r="I96"/>
  <c r="I112"/>
  <c r="I104"/>
  <c r="I115"/>
  <c r="I107"/>
  <c r="I99"/>
  <c r="I111"/>
  <c r="I103"/>
  <c r="I114"/>
  <c r="R103"/>
  <c r="R99"/>
  <c r="R95"/>
  <c r="R91"/>
  <c r="R87"/>
  <c r="R83"/>
  <c r="R79"/>
  <c r="N104"/>
  <c r="R90"/>
  <c r="R86"/>
  <c r="I95"/>
  <c r="I110"/>
  <c r="I106"/>
  <c r="I102"/>
  <c r="I98"/>
  <c r="I94"/>
  <c r="I90"/>
  <c r="I86"/>
  <c r="I82"/>
  <c r="I78"/>
  <c r="G117"/>
  <c r="P104"/>
  <c r="R100"/>
  <c r="R96"/>
  <c r="R92"/>
  <c r="R88"/>
  <c r="I91"/>
  <c r="M104"/>
  <c r="I87"/>
  <c r="I83"/>
  <c r="I79"/>
  <c r="R85"/>
  <c r="R81"/>
  <c r="R77"/>
  <c r="E117"/>
  <c r="R84"/>
  <c r="R80"/>
  <c r="I92"/>
  <c r="I88"/>
  <c r="I84"/>
  <c r="I80"/>
  <c r="R82"/>
  <c r="R78"/>
  <c r="F117"/>
  <c r="R76"/>
  <c r="D117"/>
  <c r="CE75" i="1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E74"/>
  <c r="CE76" s="1"/>
  <c r="CD74"/>
  <c r="CD76" s="1"/>
  <c r="CC74"/>
  <c r="CC76" s="1"/>
  <c r="CB74"/>
  <c r="CB76" s="1"/>
  <c r="CA74"/>
  <c r="CA76" s="1"/>
  <c r="BZ74"/>
  <c r="BZ76" s="1"/>
  <c r="BY74"/>
  <c r="BY76" s="1"/>
  <c r="BX74"/>
  <c r="BX76" s="1"/>
  <c r="BW74"/>
  <c r="BW76" s="1"/>
  <c r="BV74"/>
  <c r="BV76" s="1"/>
  <c r="BU74"/>
  <c r="BU76" s="1"/>
  <c r="BT74"/>
  <c r="BT76" s="1"/>
  <c r="BS74"/>
  <c r="BS76" s="1"/>
  <c r="BR74"/>
  <c r="BR76" s="1"/>
  <c r="BQ74"/>
  <c r="BQ76" s="1"/>
  <c r="BP74"/>
  <c r="BP76" s="1"/>
  <c r="BO74"/>
  <c r="BO76" s="1"/>
  <c r="BN74"/>
  <c r="BN76" s="1"/>
  <c r="BM74"/>
  <c r="BM76" s="1"/>
  <c r="BL74"/>
  <c r="BL76" s="1"/>
  <c r="BK74"/>
  <c r="BK76" s="1"/>
  <c r="BJ74"/>
  <c r="BJ76" s="1"/>
  <c r="BI74"/>
  <c r="BI76" s="1"/>
  <c r="BH74"/>
  <c r="BH76" s="1"/>
  <c r="BG74"/>
  <c r="BG76" s="1"/>
  <c r="BF74"/>
  <c r="BF76" s="1"/>
  <c r="BE74"/>
  <c r="BE76" s="1"/>
  <c r="BD74"/>
  <c r="BD76" s="1"/>
  <c r="BC74"/>
  <c r="BC76" s="1"/>
  <c r="BB74"/>
  <c r="BB76" s="1"/>
  <c r="BA74"/>
  <c r="BA76" s="1"/>
  <c r="AZ74"/>
  <c r="AZ76" s="1"/>
  <c r="AY74"/>
  <c r="AY76" s="1"/>
  <c r="AX74"/>
  <c r="AX76" s="1"/>
  <c r="AW74"/>
  <c r="AW76" s="1"/>
  <c r="AV74"/>
  <c r="AV76" s="1"/>
  <c r="AU74"/>
  <c r="AU76" s="1"/>
  <c r="AT74"/>
  <c r="AT76" s="1"/>
  <c r="AS74"/>
  <c r="AS76" s="1"/>
  <c r="AR74"/>
  <c r="AR76" s="1"/>
  <c r="AQ74"/>
  <c r="AQ76" s="1"/>
  <c r="AP74"/>
  <c r="AP76" s="1"/>
  <c r="AO74"/>
  <c r="AO76" s="1"/>
  <c r="AN74"/>
  <c r="AN76" s="1"/>
  <c r="AM74"/>
  <c r="AM76" s="1"/>
  <c r="AL74"/>
  <c r="AL76" s="1"/>
  <c r="AK74"/>
  <c r="AK76" s="1"/>
  <c r="AJ74"/>
  <c r="AJ76" s="1"/>
  <c r="AI74"/>
  <c r="AI76" s="1"/>
  <c r="AH74"/>
  <c r="AH76" s="1"/>
  <c r="AG74"/>
  <c r="AG76" s="1"/>
  <c r="AF74"/>
  <c r="AF76" s="1"/>
  <c r="AE74"/>
  <c r="AE76" s="1"/>
  <c r="AD74"/>
  <c r="AD76" s="1"/>
  <c r="AC74"/>
  <c r="AC76" s="1"/>
  <c r="AB74"/>
  <c r="AB76" s="1"/>
  <c r="AA74"/>
  <c r="AA76" s="1"/>
  <c r="Z74"/>
  <c r="Z76" s="1"/>
  <c r="Y74"/>
  <c r="Y76" s="1"/>
  <c r="X74"/>
  <c r="X76" s="1"/>
  <c r="W74"/>
  <c r="W76" s="1"/>
  <c r="V74"/>
  <c r="V76" s="1"/>
  <c r="U74"/>
  <c r="U76" s="1"/>
  <c r="T74"/>
  <c r="T76" s="1"/>
  <c r="S74"/>
  <c r="S76" s="1"/>
  <c r="R74"/>
  <c r="R76" s="1"/>
  <c r="Q74"/>
  <c r="Q76" s="1"/>
  <c r="P74"/>
  <c r="P76" s="1"/>
  <c r="O74"/>
  <c r="O76" s="1"/>
  <c r="N74"/>
  <c r="N76" s="1"/>
  <c r="M74"/>
  <c r="M76" s="1"/>
  <c r="L74"/>
  <c r="L76" s="1"/>
  <c r="K74"/>
  <c r="K76" s="1"/>
  <c r="J74"/>
  <c r="J76" s="1"/>
  <c r="I74"/>
  <c r="I76" s="1"/>
  <c r="H74"/>
  <c r="H76" s="1"/>
  <c r="G74"/>
  <c r="G76" s="1"/>
  <c r="F74"/>
  <c r="F76" s="1"/>
  <c r="E74"/>
  <c r="E76" s="1"/>
  <c r="D74"/>
  <c r="D76" s="1"/>
  <c r="CE75" i="13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E74"/>
  <c r="CE76" s="1"/>
  <c r="CD74"/>
  <c r="CD76" s="1"/>
  <c r="CC74"/>
  <c r="CC76" s="1"/>
  <c r="CB74"/>
  <c r="CB76" s="1"/>
  <c r="CA74"/>
  <c r="CA76" s="1"/>
  <c r="BZ74"/>
  <c r="BZ76" s="1"/>
  <c r="BY74"/>
  <c r="BY76" s="1"/>
  <c r="BX74"/>
  <c r="BX76" s="1"/>
  <c r="BW74"/>
  <c r="BW76" s="1"/>
  <c r="BV74"/>
  <c r="BV76" s="1"/>
  <c r="BU74"/>
  <c r="BU76" s="1"/>
  <c r="BT74"/>
  <c r="BT76" s="1"/>
  <c r="BS74"/>
  <c r="BS76" s="1"/>
  <c r="BR74"/>
  <c r="BR76" s="1"/>
  <c r="BQ74"/>
  <c r="BQ76" s="1"/>
  <c r="BP74"/>
  <c r="BP76" s="1"/>
  <c r="BO74"/>
  <c r="BO76" s="1"/>
  <c r="BN74"/>
  <c r="BN76" s="1"/>
  <c r="BM74"/>
  <c r="BM76" s="1"/>
  <c r="BL74"/>
  <c r="BL76" s="1"/>
  <c r="BK74"/>
  <c r="BK76" s="1"/>
  <c r="BJ74"/>
  <c r="BJ76" s="1"/>
  <c r="BI74"/>
  <c r="BI76" s="1"/>
  <c r="BH74"/>
  <c r="BH76" s="1"/>
  <c r="BG74"/>
  <c r="BG76" s="1"/>
  <c r="BF74"/>
  <c r="BF76" s="1"/>
  <c r="BE74"/>
  <c r="BE76" s="1"/>
  <c r="BD74"/>
  <c r="BD76" s="1"/>
  <c r="BC74"/>
  <c r="BC76" s="1"/>
  <c r="BB74"/>
  <c r="BB76" s="1"/>
  <c r="BA74"/>
  <c r="BA76" s="1"/>
  <c r="AZ74"/>
  <c r="AZ76" s="1"/>
  <c r="AY74"/>
  <c r="AY76" s="1"/>
  <c r="AX74"/>
  <c r="AX76" s="1"/>
  <c r="AW74"/>
  <c r="AW76" s="1"/>
  <c r="AV74"/>
  <c r="AV76" s="1"/>
  <c r="AU74"/>
  <c r="AU76" s="1"/>
  <c r="AT74"/>
  <c r="AT76" s="1"/>
  <c r="AS74"/>
  <c r="AS76" s="1"/>
  <c r="AR74"/>
  <c r="AR76" s="1"/>
  <c r="AQ74"/>
  <c r="AQ76" s="1"/>
  <c r="AP74"/>
  <c r="AP76" s="1"/>
  <c r="AO74"/>
  <c r="AO76" s="1"/>
  <c r="AN74"/>
  <c r="AN76" s="1"/>
  <c r="AM74"/>
  <c r="AM76" s="1"/>
  <c r="AL74"/>
  <c r="AL76" s="1"/>
  <c r="AK74"/>
  <c r="AK76" s="1"/>
  <c r="AJ74"/>
  <c r="AJ76" s="1"/>
  <c r="AI74"/>
  <c r="AI76" s="1"/>
  <c r="AH74"/>
  <c r="AH76" s="1"/>
  <c r="AG74"/>
  <c r="AG76" s="1"/>
  <c r="AF74"/>
  <c r="AF76" s="1"/>
  <c r="AE74"/>
  <c r="AE76" s="1"/>
  <c r="AD74"/>
  <c r="AD76" s="1"/>
  <c r="AC74"/>
  <c r="AC76" s="1"/>
  <c r="AB74"/>
  <c r="AB76" s="1"/>
  <c r="AA74"/>
  <c r="AA76" s="1"/>
  <c r="Z74"/>
  <c r="Z76" s="1"/>
  <c r="Y74"/>
  <c r="Y76" s="1"/>
  <c r="X74"/>
  <c r="X76" s="1"/>
  <c r="W74"/>
  <c r="W76" s="1"/>
  <c r="V74"/>
  <c r="V76" s="1"/>
  <c r="U74"/>
  <c r="U76" s="1"/>
  <c r="T74"/>
  <c r="T76" s="1"/>
  <c r="S74"/>
  <c r="S76" s="1"/>
  <c r="R74"/>
  <c r="R76" s="1"/>
  <c r="Q74"/>
  <c r="Q76" s="1"/>
  <c r="P74"/>
  <c r="P76" s="1"/>
  <c r="O74"/>
  <c r="O76" s="1"/>
  <c r="N74"/>
  <c r="N76" s="1"/>
  <c r="M74"/>
  <c r="M76" s="1"/>
  <c r="L74"/>
  <c r="L76" s="1"/>
  <c r="K74"/>
  <c r="K76" s="1"/>
  <c r="J74"/>
  <c r="J76" s="1"/>
  <c r="I74"/>
  <c r="I76" s="1"/>
  <c r="H74"/>
  <c r="H76" s="1"/>
  <c r="G74"/>
  <c r="G76" s="1"/>
  <c r="F74"/>
  <c r="F76" s="1"/>
  <c r="E74"/>
  <c r="E76" s="1"/>
  <c r="D74"/>
  <c r="D76" s="1"/>
  <c r="R104" i="16" l="1"/>
  <c r="I117"/>
  <c r="Q68" l="1"/>
  <c r="Q67"/>
  <c r="Q66"/>
  <c r="Q65"/>
  <c r="Q64"/>
  <c r="Q62"/>
  <c r="Q60"/>
  <c r="Q59"/>
  <c r="P68"/>
  <c r="P67"/>
  <c r="P66"/>
  <c r="P65"/>
  <c r="P64"/>
  <c r="O68"/>
  <c r="O67"/>
  <c r="O66"/>
  <c r="O65"/>
  <c r="O64"/>
  <c r="O62"/>
  <c r="O61"/>
  <c r="O60"/>
  <c r="O59"/>
  <c r="N68"/>
  <c r="N67"/>
  <c r="N66"/>
  <c r="N65"/>
  <c r="N64"/>
  <c r="N62"/>
  <c r="N61"/>
  <c r="N60"/>
  <c r="N59"/>
  <c r="M68"/>
  <c r="M67"/>
  <c r="M66"/>
  <c r="M65"/>
  <c r="M64"/>
  <c r="M63"/>
  <c r="M62"/>
  <c r="M61"/>
  <c r="M60"/>
  <c r="M59"/>
  <c r="L68"/>
  <c r="L67"/>
  <c r="L66"/>
  <c r="L65"/>
  <c r="L64"/>
  <c r="L62"/>
  <c r="L61"/>
  <c r="L60"/>
  <c r="L59"/>
  <c r="K68"/>
  <c r="K67"/>
  <c r="K66"/>
  <c r="K65"/>
  <c r="K64"/>
  <c r="K62"/>
  <c r="K61"/>
  <c r="K60"/>
  <c r="K59"/>
  <c r="J68"/>
  <c r="J67"/>
  <c r="J66"/>
  <c r="J65"/>
  <c r="J64"/>
  <c r="J63"/>
  <c r="J62"/>
  <c r="J61"/>
  <c r="J60"/>
  <c r="J59"/>
  <c r="I68"/>
  <c r="I67"/>
  <c r="I66"/>
  <c r="I65"/>
  <c r="I64"/>
  <c r="I63"/>
  <c r="I62"/>
  <c r="I61"/>
  <c r="I60"/>
  <c r="I59"/>
  <c r="H68"/>
  <c r="H67"/>
  <c r="H66"/>
  <c r="H65"/>
  <c r="H64"/>
  <c r="H62"/>
  <c r="H61"/>
  <c r="H60"/>
  <c r="H59"/>
  <c r="G68"/>
  <c r="G67"/>
  <c r="G66"/>
  <c r="G65"/>
  <c r="G64"/>
  <c r="G61"/>
  <c r="G60"/>
  <c r="G59"/>
  <c r="F68"/>
  <c r="F67"/>
  <c r="F66"/>
  <c r="F65"/>
  <c r="F64"/>
  <c r="F62"/>
  <c r="F61"/>
  <c r="F60"/>
  <c r="F59"/>
  <c r="E68"/>
  <c r="E67"/>
  <c r="E66"/>
  <c r="E65"/>
  <c r="E64"/>
  <c r="E60"/>
  <c r="E59"/>
  <c r="D68"/>
  <c r="D67"/>
  <c r="D66"/>
  <c r="D65"/>
  <c r="D64"/>
  <c r="D62"/>
  <c r="D61"/>
  <c r="D59"/>
  <c r="C68"/>
  <c r="C67"/>
  <c r="C66"/>
  <c r="C65"/>
  <c r="C64"/>
  <c r="C62"/>
  <c r="C61"/>
  <c r="C60"/>
  <c r="K42"/>
  <c r="I69" l="1"/>
  <c r="AC32" i="17" l="1"/>
  <c r="B60" i="16"/>
  <c r="B61"/>
  <c r="B62"/>
  <c r="B63"/>
  <c r="B64"/>
  <c r="B65"/>
  <c r="B66"/>
  <c r="B67"/>
  <c r="B68"/>
  <c r="B59"/>
  <c r="L48" l="1"/>
  <c r="K48"/>
  <c r="J48"/>
  <c r="I48"/>
  <c r="H48"/>
  <c r="G48"/>
  <c r="E48"/>
  <c r="D48"/>
  <c r="C48"/>
  <c r="F48"/>
  <c r="L53" l="1"/>
  <c r="K53"/>
  <c r="J53"/>
  <c r="I53"/>
  <c r="H53"/>
  <c r="G53"/>
  <c r="F53"/>
  <c r="E53"/>
  <c r="D53"/>
  <c r="C53"/>
  <c r="L52"/>
  <c r="K52"/>
  <c r="J52"/>
  <c r="I52"/>
  <c r="H52"/>
  <c r="G52"/>
  <c r="F52"/>
  <c r="E52"/>
  <c r="D52"/>
  <c r="C52"/>
  <c r="L51"/>
  <c r="K51"/>
  <c r="J51"/>
  <c r="I51"/>
  <c r="H51"/>
  <c r="G51"/>
  <c r="F51"/>
  <c r="E51"/>
  <c r="D51"/>
  <c r="C51"/>
  <c r="L50"/>
  <c r="K50"/>
  <c r="J50"/>
  <c r="I50"/>
  <c r="H50"/>
  <c r="G50"/>
  <c r="F50"/>
  <c r="L49"/>
  <c r="K49"/>
  <c r="J49"/>
  <c r="I49"/>
  <c r="H49"/>
  <c r="G49"/>
  <c r="F49"/>
  <c r="E49"/>
  <c r="D49"/>
  <c r="C49"/>
  <c r="L47"/>
  <c r="K47"/>
  <c r="J47"/>
  <c r="I47"/>
  <c r="H47"/>
  <c r="G47"/>
  <c r="F47"/>
  <c r="E47"/>
  <c r="D47"/>
  <c r="C47"/>
  <c r="P47"/>
  <c r="Q47" s="1"/>
  <c r="D14" s="1"/>
  <c r="P48"/>
  <c r="Q48" s="1"/>
  <c r="E14" s="1"/>
  <c r="P49"/>
  <c r="Q49" s="1"/>
  <c r="F14" s="1"/>
  <c r="P50"/>
  <c r="Q50" s="1"/>
  <c r="G14" s="1"/>
  <c r="P51"/>
  <c r="Q51" s="1"/>
  <c r="H14" s="1"/>
  <c r="P52"/>
  <c r="Q52" s="1"/>
  <c r="I14" s="1"/>
  <c r="P53"/>
  <c r="Q53" s="1"/>
  <c r="J14" s="1"/>
  <c r="P54"/>
  <c r="Q54" s="1"/>
  <c r="K14" s="1"/>
  <c r="P55"/>
  <c r="Q55" s="1"/>
  <c r="L14" s="1"/>
  <c r="P46"/>
  <c r="Q46" s="1"/>
  <c r="C14" s="1"/>
  <c r="M53" l="1"/>
  <c r="M52"/>
  <c r="M51"/>
  <c r="M50"/>
  <c r="M49"/>
  <c r="M48"/>
  <c r="M47"/>
  <c r="D54"/>
  <c r="E54"/>
  <c r="F54"/>
  <c r="G54"/>
  <c r="H54"/>
  <c r="I54"/>
  <c r="J54"/>
  <c r="K54"/>
  <c r="L54"/>
  <c r="C54"/>
  <c r="M54" l="1"/>
  <c r="D55" l="1"/>
  <c r="H55"/>
  <c r="L55"/>
  <c r="E55"/>
  <c r="I55"/>
  <c r="M55"/>
  <c r="G55"/>
  <c r="K55"/>
  <c r="F55"/>
  <c r="J55"/>
  <c r="C55"/>
  <c r="P59" l="1"/>
  <c r="C59"/>
  <c r="P62"/>
  <c r="G62"/>
  <c r="E62"/>
  <c r="Q63"/>
  <c r="P63"/>
  <c r="O63"/>
  <c r="O69" s="1"/>
  <c r="N63"/>
  <c r="N69" s="1"/>
  <c r="L63"/>
  <c r="L69" s="1"/>
  <c r="K63"/>
  <c r="K69" s="1"/>
  <c r="H63"/>
  <c r="H69" s="1"/>
  <c r="G63"/>
  <c r="F63"/>
  <c r="F69" s="1"/>
  <c r="E63"/>
  <c r="D63"/>
  <c r="C63"/>
  <c r="P60"/>
  <c r="D60"/>
  <c r="Q61"/>
  <c r="P61"/>
  <c r="E61"/>
  <c r="M69"/>
  <c r="J69"/>
  <c r="J27"/>
  <c r="I27"/>
  <c r="H27"/>
  <c r="G27"/>
  <c r="F27"/>
  <c r="E27"/>
  <c r="D27"/>
  <c r="C27"/>
  <c r="L23"/>
  <c r="K23"/>
  <c r="J23"/>
  <c r="I23"/>
  <c r="H23"/>
  <c r="G23"/>
  <c r="F23"/>
  <c r="E23"/>
  <c r="D23"/>
  <c r="C23"/>
  <c r="D69" l="1"/>
  <c r="G69"/>
  <c r="Q69"/>
  <c r="C69"/>
  <c r="P69"/>
  <c r="E69"/>
  <c r="K27"/>
  <c r="D14" i="17"/>
  <c r="E14"/>
  <c r="F14"/>
  <c r="G14"/>
  <c r="H14"/>
  <c r="I14"/>
  <c r="J14"/>
  <c r="K14"/>
  <c r="L14"/>
  <c r="M14"/>
  <c r="N14"/>
  <c r="O14"/>
  <c r="P14"/>
  <c r="Q14"/>
  <c r="C14"/>
  <c r="M80" i="13"/>
  <c r="L80"/>
  <c r="M80" i="15"/>
  <c r="L80"/>
  <c r="L8" i="16"/>
  <c r="J8"/>
  <c r="K8"/>
  <c r="L12" l="1"/>
  <c r="K12"/>
  <c r="K7"/>
  <c r="L7"/>
  <c r="K80" i="15"/>
  <c r="J80"/>
  <c r="K80" i="13"/>
  <c r="J80"/>
  <c r="L13" i="16" l="1"/>
  <c r="L15" s="1"/>
  <c r="K13"/>
  <c r="K15" s="1"/>
  <c r="J12"/>
  <c r="K11"/>
  <c r="L11"/>
  <c r="L17" l="1"/>
  <c r="L16" s="1"/>
  <c r="K17"/>
  <c r="K16" s="1"/>
  <c r="J13"/>
  <c r="J15" s="1"/>
  <c r="J7"/>
  <c r="J11" s="1"/>
  <c r="I7"/>
  <c r="U15" l="1"/>
  <c r="L121"/>
  <c r="K121"/>
  <c r="J17"/>
  <c r="J16" s="1"/>
  <c r="I80" i="15"/>
  <c r="I80" i="13"/>
  <c r="J121" i="16" l="1"/>
  <c r="T13"/>
  <c r="O85" i="15"/>
  <c r="N85"/>
  <c r="M85"/>
  <c r="L85"/>
  <c r="K85"/>
  <c r="J85"/>
  <c r="I85"/>
  <c r="H85"/>
  <c r="G85"/>
  <c r="F85"/>
  <c r="E85"/>
  <c r="D85"/>
  <c r="O85" i="13"/>
  <c r="N85"/>
  <c r="M85"/>
  <c r="L85"/>
  <c r="K85"/>
  <c r="J85"/>
  <c r="I85"/>
  <c r="H85"/>
  <c r="G85"/>
  <c r="E85"/>
  <c r="D85" l="1"/>
  <c r="F85"/>
  <c r="F80"/>
  <c r="E80"/>
  <c r="D80"/>
  <c r="D80" i="15"/>
  <c r="F80"/>
  <c r="H80"/>
  <c r="G80" i="13"/>
  <c r="H80"/>
  <c r="E80" i="15"/>
  <c r="G80"/>
  <c r="I12" i="16" l="1"/>
  <c r="I13" l="1"/>
  <c r="I15" s="1"/>
  <c r="I11"/>
  <c r="H8"/>
  <c r="I17" l="1"/>
  <c r="H12"/>
  <c r="H7"/>
  <c r="F8"/>
  <c r="G8"/>
  <c r="C8"/>
  <c r="E8"/>
  <c r="D8"/>
  <c r="I16" l="1"/>
  <c r="I121"/>
  <c r="H13"/>
  <c r="H15" s="1"/>
  <c r="G12"/>
  <c r="F12"/>
  <c r="E12"/>
  <c r="D12"/>
  <c r="C12"/>
  <c r="G7"/>
  <c r="E7"/>
  <c r="F7"/>
  <c r="D7"/>
  <c r="C7"/>
  <c r="H11"/>
  <c r="H17" l="1"/>
  <c r="H16" s="1"/>
  <c r="C13"/>
  <c r="C15" s="1"/>
  <c r="G13"/>
  <c r="G15" s="1"/>
  <c r="D13"/>
  <c r="D15" s="1"/>
  <c r="E13"/>
  <c r="E15" s="1"/>
  <c r="F13"/>
  <c r="F15" s="1"/>
  <c r="F11"/>
  <c r="E11"/>
  <c r="D11"/>
  <c r="G11"/>
  <c r="C11"/>
  <c r="H121" l="1"/>
  <c r="D17"/>
  <c r="D16" s="1"/>
  <c r="G17"/>
  <c r="G16" s="1"/>
  <c r="F17"/>
  <c r="F16" s="1"/>
  <c r="E17"/>
  <c r="E16" s="1"/>
  <c r="C17"/>
  <c r="C16" s="1"/>
  <c r="D121" l="1"/>
  <c r="F121"/>
  <c r="C121"/>
  <c r="O71"/>
  <c r="O122" s="1"/>
  <c r="G121"/>
  <c r="E121"/>
  <c r="P71"/>
  <c r="P122" s="1"/>
  <c r="N71"/>
  <c r="N122" s="1"/>
  <c r="M71"/>
  <c r="M122" s="1"/>
  <c r="H71"/>
  <c r="H122" s="1"/>
  <c r="G71"/>
  <c r="G122" s="1"/>
  <c r="F71"/>
  <c r="F122" s="1"/>
  <c r="E71"/>
  <c r="E122" s="1"/>
  <c r="L71"/>
  <c r="L122" s="1"/>
  <c r="D71"/>
  <c r="D122" s="1"/>
  <c r="K71"/>
  <c r="K122" s="1"/>
  <c r="J71"/>
  <c r="J122" s="1"/>
  <c r="Q71"/>
  <c r="Q122" s="1"/>
  <c r="I71"/>
  <c r="I122" s="1"/>
  <c r="C71"/>
  <c r="C122" s="1"/>
</calcChain>
</file>

<file path=xl/comments1.xml><?xml version="1.0" encoding="utf-8"?>
<comments xmlns="http://schemas.openxmlformats.org/spreadsheetml/2006/main">
  <authors>
    <author>System</author>
  </authors>
  <commentList>
    <comment ref="I2" authorId="0">
      <text>
        <r>
          <rPr>
            <b/>
            <sz val="8"/>
            <color indexed="81"/>
            <rFont val="Tahoma"/>
            <family val="2"/>
          </rPr>
          <t>System:</t>
        </r>
        <r>
          <rPr>
            <sz val="8"/>
            <color indexed="81"/>
            <rFont val="Tahoma"/>
            <family val="2"/>
          </rPr>
          <t xml:space="preserve">
PS: Column value in all PO, CO attainment and mapping should be same, cannot have diffent value for the calculation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>System:</t>
        </r>
        <r>
          <rPr>
            <sz val="8"/>
            <color indexed="81"/>
            <rFont val="Tahoma"/>
            <family val="2"/>
          </rPr>
          <t xml:space="preserve">
PS: Column value in all PO, CO attainment and mapping should be same, cannot have diffent value for the calculation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System:</t>
        </r>
        <r>
          <rPr>
            <sz val="8"/>
            <color indexed="81"/>
            <rFont val="Tahoma"/>
            <family val="2"/>
          </rPr>
          <t xml:space="preserve">
Automatically displyed based on the value mapped in the Theory sheet
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System:</t>
        </r>
        <r>
          <rPr>
            <sz val="8"/>
            <color indexed="81"/>
            <rFont val="Tahoma"/>
            <family val="2"/>
          </rPr>
          <t xml:space="preserve">
CO mapping will be displayed automatically based on the mapping specified in the Theory field
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System:</t>
        </r>
        <r>
          <rPr>
            <sz val="8"/>
            <color indexed="81"/>
            <rFont val="Tahoma"/>
            <family val="2"/>
          </rPr>
          <t xml:space="preserve">
CO mapping will be displayed automatically based on the mapping specified in the Theory field
</t>
        </r>
      </text>
    </comment>
  </commentList>
</comments>
</file>

<file path=xl/sharedStrings.xml><?xml version="1.0" encoding="utf-8"?>
<sst xmlns="http://schemas.openxmlformats.org/spreadsheetml/2006/main" count="2352" uniqueCount="354">
  <si>
    <t>BMS COLLEGE OF ENGINEERING, BANGALORE-560 019</t>
  </si>
  <si>
    <t>DEPARTMENT OF COMPUTER SCIENCE AND ENGINEERING</t>
  </si>
  <si>
    <t>USN</t>
  </si>
  <si>
    <t>Sl No.</t>
  </si>
  <si>
    <t>Names</t>
  </si>
  <si>
    <t>Test 2</t>
  </si>
  <si>
    <t>Test 1</t>
  </si>
  <si>
    <t>Test 3</t>
  </si>
  <si>
    <t xml:space="preserve">COURSE  CODE : </t>
  </si>
  <si>
    <t>Q1 a</t>
  </si>
  <si>
    <t>Q1b</t>
  </si>
  <si>
    <t>Q2a</t>
  </si>
  <si>
    <t>Q2b</t>
  </si>
  <si>
    <t>Q3a</t>
  </si>
  <si>
    <t>Q3b</t>
  </si>
  <si>
    <t>Maximum Marks</t>
  </si>
  <si>
    <t xml:space="preserve">COs mapped </t>
  </si>
  <si>
    <t xml:space="preserve">POs Mapped </t>
  </si>
  <si>
    <t>Quiz1</t>
  </si>
  <si>
    <t>Total Test1</t>
  </si>
  <si>
    <t>Total             Test 2</t>
  </si>
  <si>
    <t>Total Test 3</t>
  </si>
  <si>
    <t>Q1-20</t>
  </si>
  <si>
    <t>Course Outcome Attainment Calculation</t>
  </si>
  <si>
    <t>Q3c</t>
  </si>
  <si>
    <t>Case 1</t>
  </si>
  <si>
    <t>CO Attainment 
Total Percentage
 (Average)</t>
  </si>
  <si>
    <t>CO1</t>
  </si>
  <si>
    <t>CO2</t>
  </si>
  <si>
    <t>CO3</t>
  </si>
  <si>
    <t>CO4</t>
  </si>
  <si>
    <t>CO5</t>
  </si>
  <si>
    <t>COMPONENT1</t>
  </si>
  <si>
    <t>COMPONENT2</t>
  </si>
  <si>
    <t>COMPONENT3</t>
  </si>
  <si>
    <t>CO Attainment of LAB
Total Percentage
 (Average)</t>
  </si>
  <si>
    <t>QUIZ 1</t>
  </si>
  <si>
    <t>QUIZ 2</t>
  </si>
  <si>
    <t>By Marks</t>
  </si>
  <si>
    <t>SET A</t>
  </si>
  <si>
    <t>SET B</t>
  </si>
  <si>
    <t>SET C</t>
  </si>
  <si>
    <t>SET D</t>
  </si>
  <si>
    <t>CIE - CO ASESSEMENT</t>
  </si>
  <si>
    <t>0,1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</si>
  <si>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</si>
  <si>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</si>
  <si>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</si>
  <si>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</si>
  <si>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</si>
  <si>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</si>
  <si>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</si>
  <si>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</si>
  <si>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</si>
  <si>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</si>
  <si>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</si>
  <si>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</si>
  <si>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 xml:space="preserve">PO Attainment (LAB)
</t>
  </si>
  <si>
    <t>Q1c</t>
  </si>
  <si>
    <t>0,3</t>
  </si>
  <si>
    <t>Q2c</t>
  </si>
  <si>
    <t>Final 
CIE</t>
  </si>
  <si>
    <t>0,2</t>
  </si>
  <si>
    <t>CO6</t>
  </si>
  <si>
    <t>AB</t>
  </si>
  <si>
    <t>CO7</t>
  </si>
  <si>
    <t>From:</t>
  </si>
  <si>
    <t>To:</t>
  </si>
  <si>
    <t>CO8</t>
  </si>
  <si>
    <t xml:space="preserve">CO Attainment 
</t>
  </si>
  <si>
    <t xml:space="preserve">CO Attainment of CIE  
</t>
  </si>
  <si>
    <t>(THEORY)</t>
  </si>
  <si>
    <r>
      <t>(</t>
    </r>
    <r>
      <rPr>
        <sz val="11"/>
        <color rgb="FFFF0000"/>
        <rFont val="Calibri"/>
        <family val="2"/>
        <scheme val="minor"/>
      </rPr>
      <t>from Theory Sheet</t>
    </r>
    <r>
      <rPr>
        <sz val="11"/>
        <color theme="1"/>
        <rFont val="Calibri"/>
        <family val="2"/>
        <scheme val="minor"/>
      </rPr>
      <t>)</t>
    </r>
  </si>
  <si>
    <t>CO Attainment</t>
  </si>
  <si>
    <t>Enter the Cell Range of CO Attainment :</t>
  </si>
  <si>
    <t>Enter the Cell Range of CO Mapped :</t>
  </si>
  <si>
    <t>CO9</t>
  </si>
  <si>
    <t>CO10</t>
  </si>
  <si>
    <t>H</t>
  </si>
  <si>
    <t>M</t>
  </si>
  <si>
    <t>L</t>
  </si>
  <si>
    <t>0,4</t>
  </si>
  <si>
    <t>Q3d</t>
  </si>
  <si>
    <t>Q2d</t>
  </si>
  <si>
    <t>Q1d</t>
  </si>
  <si>
    <t>Quiz2</t>
  </si>
  <si>
    <t>CO</t>
  </si>
  <si>
    <t>PO</t>
  </si>
  <si>
    <t>PSO</t>
  </si>
  <si>
    <t>Q1A</t>
  </si>
  <si>
    <t>Q1B</t>
  </si>
  <si>
    <t>Q1C</t>
  </si>
  <si>
    <t>Q1D</t>
  </si>
  <si>
    <t>TEST-1</t>
  </si>
  <si>
    <t>Q2A</t>
  </si>
  <si>
    <t>Q2B</t>
  </si>
  <si>
    <t>Q2C</t>
  </si>
  <si>
    <t>Q2D</t>
  </si>
  <si>
    <t>Q3A</t>
  </si>
  <si>
    <t>Q3B</t>
  </si>
  <si>
    <t>Q3C</t>
  </si>
  <si>
    <t>Q3D</t>
  </si>
  <si>
    <t>QUIZ-1</t>
  </si>
  <si>
    <t>QUIZ-2</t>
  </si>
  <si>
    <t>LAB</t>
  </si>
  <si>
    <t>TEST-3</t>
  </si>
  <si>
    <t>TEST-2</t>
  </si>
  <si>
    <t>PSO1</t>
  </si>
  <si>
    <t>PSO2</t>
  </si>
  <si>
    <t>PSO3</t>
  </si>
  <si>
    <t>AQ9</t>
  </si>
  <si>
    <t>Final SEE</t>
  </si>
  <si>
    <t>A</t>
  </si>
  <si>
    <t>B</t>
  </si>
  <si>
    <t>C</t>
  </si>
  <si>
    <t>S</t>
  </si>
  <si>
    <t>E</t>
  </si>
  <si>
    <t>D</t>
  </si>
  <si>
    <t>F</t>
  </si>
  <si>
    <t>Grade</t>
  </si>
  <si>
    <t>X</t>
  </si>
  <si>
    <t>CIE Marks distribution</t>
  </si>
  <si>
    <t>Total</t>
  </si>
  <si>
    <t>0-5</t>
  </si>
  <si>
    <t>06--10</t>
  </si>
  <si>
    <t>11--15</t>
  </si>
  <si>
    <t>16--20</t>
  </si>
  <si>
    <t>21--25</t>
  </si>
  <si>
    <t>26--30</t>
  </si>
  <si>
    <t>31--35</t>
  </si>
  <si>
    <t>36--40</t>
  </si>
  <si>
    <t>41--45</t>
  </si>
  <si>
    <t>46--50</t>
  </si>
  <si>
    <t>16CS6DCMAD</t>
  </si>
  <si>
    <t>MOBILE APPLICATION DEVELOPMENT</t>
  </si>
  <si>
    <t>Marks</t>
  </si>
  <si>
    <t>Project</t>
  </si>
  <si>
    <t>Percentage of marks distribution to CO's</t>
  </si>
  <si>
    <t>Test-I</t>
  </si>
  <si>
    <t>Test-II</t>
  </si>
  <si>
    <t>Test-III</t>
  </si>
  <si>
    <t>Quiz-1</t>
  </si>
  <si>
    <t>Qui-2</t>
  </si>
  <si>
    <t>Lab</t>
  </si>
  <si>
    <t>Total Marks</t>
  </si>
  <si>
    <t>Percentage</t>
  </si>
  <si>
    <t>Course End Survey</t>
  </si>
  <si>
    <t>Excellent</t>
  </si>
  <si>
    <t>Good</t>
  </si>
  <si>
    <t>Average</t>
  </si>
  <si>
    <t>Poor</t>
  </si>
  <si>
    <t>Effective Attainment</t>
  </si>
  <si>
    <t>Attainment Percentage</t>
  </si>
  <si>
    <t>Target set in %</t>
  </si>
  <si>
    <t>Best Practices through Course</t>
  </si>
  <si>
    <t>Project Based Learning under self study component has been practised</t>
  </si>
  <si>
    <t>Comments by Faculty</t>
  </si>
  <si>
    <t>ICT Tools used</t>
  </si>
  <si>
    <t>Any other</t>
  </si>
  <si>
    <t>PPT and Chalk &amp; Borad; Activity based learning inside the class room</t>
  </si>
  <si>
    <t>BL</t>
  </si>
  <si>
    <t>Course URL if any</t>
  </si>
  <si>
    <t>0,5</t>
  </si>
  <si>
    <t>1,2,3</t>
  </si>
  <si>
    <t>correlation</t>
  </si>
  <si>
    <t>Academic Semester - Jan 2018 to May 2018</t>
  </si>
  <si>
    <t>NA</t>
  </si>
  <si>
    <t>Total No. 
of Students</t>
  </si>
  <si>
    <t>Enter the number of Responses</t>
  </si>
  <si>
    <t xml:space="preserve">CO-PO MAPPING
</t>
  </si>
  <si>
    <t xml:space="preserve">   COURSE TITLE : </t>
  </si>
  <si>
    <t>SEE</t>
  </si>
  <si>
    <t>CIE : CO-PO-PSO 
MAPPING</t>
  </si>
  <si>
    <t>SEE: CO-PO-PSO 
MAPPING</t>
  </si>
  <si>
    <t>Question</t>
  </si>
  <si>
    <t>Q4A</t>
  </si>
  <si>
    <t>Q4B</t>
  </si>
  <si>
    <t>Q4C</t>
  </si>
  <si>
    <t>Q4D</t>
  </si>
  <si>
    <t>Q5A</t>
  </si>
  <si>
    <t>Q5B</t>
  </si>
  <si>
    <t>Q5C</t>
  </si>
  <si>
    <t>Q5D</t>
  </si>
  <si>
    <t>Q6A</t>
  </si>
  <si>
    <t>Q6B</t>
  </si>
  <si>
    <t>Q6C</t>
  </si>
  <si>
    <t>Q6D</t>
  </si>
  <si>
    <t>Q7A</t>
  </si>
  <si>
    <t>Q7B</t>
  </si>
  <si>
    <t>Q7C</t>
  </si>
  <si>
    <t>Q7D</t>
  </si>
  <si>
    <t>PO ASESSEMENT</t>
  </si>
  <si>
    <t>D9</t>
  </si>
  <si>
    <t>Correlation</t>
  </si>
  <si>
    <t>A=No. of Students Attempted the Question</t>
  </si>
  <si>
    <t>CO Attainment = B/A</t>
  </si>
  <si>
    <t>CO ATTAINMENT</t>
  </si>
  <si>
    <t>PO ATTAINMENT</t>
  </si>
  <si>
    <r>
      <t>(</t>
    </r>
    <r>
      <rPr>
        <sz val="11"/>
        <color rgb="FFFF0000"/>
        <rFont val="Calibri"/>
        <family val="2"/>
        <scheme val="minor"/>
      </rPr>
      <t>Example:  D9-AQ9</t>
    </r>
    <r>
      <rPr>
        <sz val="11"/>
        <color theme="1"/>
        <rFont val="Calibri"/>
        <family val="2"/>
        <scheme val="minor"/>
      </rPr>
      <t xml:space="preserve">)  </t>
    </r>
  </si>
  <si>
    <r>
      <t>(</t>
    </r>
    <r>
      <rPr>
        <sz val="11"/>
        <color rgb="FFFF0000"/>
        <rFont val="Calibri"/>
        <family val="2"/>
        <scheme val="minor"/>
      </rPr>
      <t>Example:  D79-AQ79</t>
    </r>
    <r>
      <rPr>
        <sz val="11"/>
        <color theme="1"/>
        <rFont val="Calibri"/>
        <family val="2"/>
        <scheme val="minor"/>
      </rPr>
      <t xml:space="preserve">)  </t>
    </r>
  </si>
  <si>
    <t>D81</t>
  </si>
  <si>
    <t>AQ81</t>
  </si>
  <si>
    <t xml:space="preserve">CO-PO MAPPING (Auto Level calculation)
</t>
  </si>
  <si>
    <t>Micro-level Audit of Assessment Tool(s) used</t>
  </si>
  <si>
    <t>Remember/Understand</t>
  </si>
  <si>
    <t>Apply knowledge</t>
  </si>
  <si>
    <t>Analyze</t>
  </si>
  <si>
    <t>Design</t>
  </si>
  <si>
    <t>Any other
 (specify)</t>
  </si>
  <si>
    <t>Total 
Marks</t>
  </si>
  <si>
    <t>Micro-level Audit of SEE Question Paper</t>
  </si>
  <si>
    <t>Remember/
Understand</t>
  </si>
  <si>
    <t>1/2</t>
  </si>
  <si>
    <t>Apply</t>
  </si>
  <si>
    <t>Total
Marks</t>
  </si>
  <si>
    <t>&lt;----</t>
  </si>
  <si>
    <t>Bloom's Level (BL)</t>
  </si>
  <si>
    <t>Please enter the below CO and PO Attainment details in the shared document: &lt;&lt;URL&gt;&gt;</t>
  </si>
  <si>
    <t>B=Sum of Marks &gt; 60%</t>
  </si>
  <si>
    <t>SEE - 10%</t>
  </si>
  <si>
    <t>CES - 10%</t>
  </si>
  <si>
    <t>CIE + SEE</t>
  </si>
  <si>
    <t>CIE=(Average of Theory + Quiz + Lab) -80%</t>
  </si>
  <si>
    <t>CO Attainment =
CIE-80% + SEE-10% + CES-10%</t>
  </si>
  <si>
    <r>
      <t>CO1:Ability to</t>
    </r>
    <r>
      <rPr>
        <b/>
        <sz val="10"/>
        <color indexed="8"/>
        <rFont val="Times New Roman"/>
        <family val="1"/>
      </rPr>
      <t xml:space="preserve"> apply </t>
    </r>
    <r>
      <rPr>
        <sz val="10"/>
        <color indexed="8"/>
        <rFont val="Times New Roman"/>
        <family val="1"/>
      </rPr>
      <t>knowledge of mobile app development using</t>
    </r>
    <r>
      <rPr>
        <b/>
        <sz val="10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android packages and resources for different applications.</t>
    </r>
  </si>
  <si>
    <t>https://sites.google.com/site/drvumadevi/teaching/mobile-app-dev-jan-may-2018</t>
  </si>
  <si>
    <r>
      <t>CO2:Ability to</t>
    </r>
    <r>
      <rPr>
        <b/>
        <sz val="12"/>
        <color theme="1"/>
        <rFont val="Times New Roman"/>
        <family val="1"/>
      </rPr>
      <t xml:space="preserve"> analyze</t>
    </r>
    <r>
      <rPr>
        <sz val="12"/>
        <color theme="1"/>
        <rFont val="Times New Roman"/>
        <family val="1"/>
      </rPr>
      <t xml:space="preserve"> the given android program to identify bugs and to write correct code.</t>
    </r>
  </si>
  <si>
    <r>
      <t xml:space="preserve">CO3: Ability to </t>
    </r>
    <r>
      <rPr>
        <b/>
        <sz val="12"/>
        <color theme="1"/>
        <rFont val="Times New Roman"/>
        <family val="1"/>
      </rPr>
      <t>design</t>
    </r>
    <r>
      <rPr>
        <sz val="12"/>
        <color theme="1"/>
        <rFont val="Times New Roman"/>
        <family val="1"/>
      </rPr>
      <t xml:space="preserve"> android mobile applications for a given requirement.</t>
    </r>
  </si>
  <si>
    <r>
      <t xml:space="preserve">CO4: Ability to </t>
    </r>
    <r>
      <rPr>
        <b/>
        <sz val="12"/>
        <color theme="1"/>
        <rFont val="Times New Roman"/>
        <family val="1"/>
      </rPr>
      <t xml:space="preserve">conduct practical </t>
    </r>
    <r>
      <rPr>
        <sz val="12"/>
        <color theme="1"/>
        <rFont val="Times New Roman"/>
        <family val="1"/>
      </rPr>
      <t>experiments for demonstrating  features of  mobile applications using android studio platform</t>
    </r>
  </si>
  <si>
    <r>
      <t xml:space="preserve">CO5: Ability to </t>
    </r>
    <r>
      <rPr>
        <b/>
        <sz val="12"/>
        <color theme="1"/>
        <rFont val="Times New Roman"/>
        <family val="1"/>
      </rPr>
      <t>develop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project</t>
    </r>
    <r>
      <rPr>
        <sz val="12"/>
        <color theme="1"/>
        <rFont val="Times New Roman"/>
        <family val="1"/>
      </rPr>
      <t xml:space="preserve"> using android studio platform to solve societal problems.</t>
    </r>
  </si>
  <si>
    <t>Used Inpods to conduct onlize quiz</t>
  </si>
  <si>
    <t>CO3, has not been achieved. Teaching Learning process will be improved in the next coming academic semester to improve the attainment of CO3.</t>
  </si>
  <si>
    <t>0,0</t>
  </si>
  <si>
    <t>Class Room Learning Strategy</t>
  </si>
  <si>
    <t>6th Semester  'A' Section</t>
  </si>
  <si>
    <t>Marks to reach Performance (50% and above of Max. Marks)</t>
  </si>
  <si>
    <t>1BM15CS001</t>
  </si>
  <si>
    <t>A S KARTHIKK</t>
  </si>
  <si>
    <t>1BM15CS002</t>
  </si>
  <si>
    <t>ABHILASH SACHIN KULKARNI</t>
  </si>
  <si>
    <t>1BM15CS003</t>
  </si>
  <si>
    <t>ABHISHEK K V</t>
  </si>
  <si>
    <t>1BM15CS004</t>
  </si>
  <si>
    <t>ABHISHEK M PATIL</t>
  </si>
  <si>
    <t>1BM15CS005</t>
  </si>
  <si>
    <t>ABHISHEK SUNDARESAN R</t>
  </si>
  <si>
    <t>1BM15CS006</t>
  </si>
  <si>
    <t>ADARSH GHORADE</t>
  </si>
  <si>
    <t>1BM15CS008</t>
  </si>
  <si>
    <t>AJAY S</t>
  </si>
  <si>
    <t>1BM15CS009</t>
  </si>
  <si>
    <t>AJIT R</t>
  </si>
  <si>
    <t>1BM15CS010</t>
  </si>
  <si>
    <t>AKANKSHA ADITI</t>
  </si>
  <si>
    <t>1BM15CS011</t>
  </si>
  <si>
    <t>AKARSH MAHADI S</t>
  </si>
  <si>
    <t>1BM15CS012</t>
  </si>
  <si>
    <t>AKSHATH S K</t>
  </si>
  <si>
    <t>1BM15CS013</t>
  </si>
  <si>
    <t>AKSHAY A S</t>
  </si>
  <si>
    <t>1BM15CS014</t>
  </si>
  <si>
    <t>AKSHAY SRIVASTAVA</t>
  </si>
  <si>
    <t>1BM15CS015</t>
  </si>
  <si>
    <t>AMAN SATYA</t>
  </si>
  <si>
    <t>1BM15CS016</t>
  </si>
  <si>
    <t>AMBALI SISODIA</t>
  </si>
  <si>
    <t>1BM15CS017</t>
  </si>
  <si>
    <t>AMOGH M P</t>
  </si>
  <si>
    <t>1BM15CS018</t>
  </si>
  <si>
    <t>AMOGH VIGNESH</t>
  </si>
  <si>
    <t>1BM15CS019</t>
  </si>
  <si>
    <t>ANUSHREE JAIN</t>
  </si>
  <si>
    <t>1BM15CS021</t>
  </si>
  <si>
    <t>ASHISH SHUGANI</t>
  </si>
  <si>
    <t>1BM15CS022</t>
  </si>
  <si>
    <t>ATIF ZIA ABDUL NABI</t>
  </si>
  <si>
    <t>1BM15CS023</t>
  </si>
  <si>
    <t>AYUSHMAN TIWARI</t>
  </si>
  <si>
    <t>1BM15CS024</t>
  </si>
  <si>
    <t>B MOUNIKA</t>
  </si>
  <si>
    <t>1BM15CS025</t>
  </si>
  <si>
    <t>BERI VINEESHA</t>
  </si>
  <si>
    <t>1BM15CS026</t>
  </si>
  <si>
    <t>BHARATRAJ DEVANAND GAONKAR</t>
  </si>
  <si>
    <t>1BM15CS027</t>
  </si>
  <si>
    <t>D J VINEETH</t>
  </si>
  <si>
    <t>1BM15CS028</t>
  </si>
  <si>
    <t>D V NIYATHI SINGH</t>
  </si>
  <si>
    <t>1BM15CS029</t>
  </si>
  <si>
    <t>DAMODAR</t>
  </si>
  <si>
    <t>1BM15CS030</t>
  </si>
  <si>
    <t>DHRUV METHA R</t>
  </si>
  <si>
    <t>1BM15CS031</t>
  </si>
  <si>
    <t>DIPTI ASHOK BELURGIKAR</t>
  </si>
  <si>
    <t>1BM15CS032</t>
  </si>
  <si>
    <t>DIVYASHREE B</t>
  </si>
  <si>
    <t>1BM15CS034</t>
  </si>
  <si>
    <t>GAUTAM R</t>
  </si>
  <si>
    <t>1BM15CS035</t>
  </si>
  <si>
    <t>GOVIND K RAJESH</t>
  </si>
  <si>
    <t>1BM15CS036</t>
  </si>
  <si>
    <t xml:space="preserve">ROHIT H S </t>
  </si>
  <si>
    <t>1BM15CS037</t>
  </si>
  <si>
    <t>HARISH CHANDRA G R</t>
  </si>
  <si>
    <t>1BM15CS038</t>
  </si>
  <si>
    <t>HARSHIT RAJPUT</t>
  </si>
  <si>
    <t>1BM15CS040</t>
  </si>
  <si>
    <t>INDRAJEET KUMAR</t>
  </si>
  <si>
    <t>1BM15CS041</t>
  </si>
  <si>
    <t>J KANAK KSHIRSAGAR</t>
  </si>
  <si>
    <t>1BM15CS043</t>
  </si>
  <si>
    <t>JAHNAVI SINGH</t>
  </si>
  <si>
    <t>1BM15CS044</t>
  </si>
  <si>
    <t>K KANCHAN DHANANJAYA</t>
  </si>
  <si>
    <t>1BM15CS045</t>
  </si>
  <si>
    <t>KATTA VIVEK</t>
  </si>
  <si>
    <t>1BM15CS046</t>
  </si>
  <si>
    <t>KONDAMADUGULA SAI MEGHANA REDDY</t>
  </si>
  <si>
    <t>1BM15CS047</t>
  </si>
  <si>
    <t>KOUSAR MULLA</t>
  </si>
  <si>
    <t>1BM15CS048</t>
  </si>
  <si>
    <t>KRUTHI P R</t>
  </si>
  <si>
    <t>1BM15CS049</t>
  </si>
  <si>
    <t>KUSHAL PANDITA</t>
  </si>
  <si>
    <t>1BM15CS148</t>
  </si>
  <si>
    <t>N M SUHAAS</t>
  </si>
  <si>
    <t>N</t>
  </si>
  <si>
    <t>1BM15CS153</t>
  </si>
  <si>
    <t>A ANURAG RAO</t>
  </si>
  <si>
    <t>1BM16CS400</t>
  </si>
  <si>
    <t>AKSHAY Y S</t>
  </si>
  <si>
    <t>1BM16CS401</t>
  </si>
  <si>
    <t>ANIL SANNAKKI</t>
  </si>
  <si>
    <t>1BM16CS402</t>
  </si>
  <si>
    <t>CHAITRA M</t>
  </si>
  <si>
    <t>1BM16CS403</t>
  </si>
  <si>
    <t>JAYASHREE D</t>
  </si>
  <si>
    <t>1BM16CS404</t>
  </si>
  <si>
    <t>KIRAN KUMAR M</t>
  </si>
  <si>
    <t>1BM16CS405</t>
  </si>
  <si>
    <t>KRISHNA H M</t>
  </si>
  <si>
    <t>1BM16CS406</t>
  </si>
  <si>
    <t>LATHA B R</t>
  </si>
  <si>
    <t>1BM16CS407</t>
  </si>
  <si>
    <t>MANJUNATHAPRASAD S</t>
  </si>
  <si>
    <t>1BM14CS008</t>
  </si>
  <si>
    <t>ABISHEK.MANIKANDAN</t>
  </si>
  <si>
    <t>1BM14CS027</t>
  </si>
  <si>
    <t>BHARATH.B.M</t>
  </si>
  <si>
    <t>1BM14CS049</t>
  </si>
  <si>
    <t>KUMAR GAUTAM PATHAK</t>
  </si>
  <si>
    <t>1BM14CS055</t>
  </si>
  <si>
    <t>MILAN BEKAL</t>
  </si>
  <si>
    <t>B=Sum of Marks &gt; 50%</t>
  </si>
</sst>
</file>

<file path=xl/styles.xml><?xml version="1.0" encoding="utf-8"?>
<styleSheet xmlns="http://schemas.openxmlformats.org/spreadsheetml/2006/main"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Times New Roman"/>
      <family val="1"/>
    </font>
    <font>
      <sz val="20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mbria"/>
      <family val="1"/>
      <scheme val="major"/>
    </font>
    <font>
      <sz val="14"/>
      <color theme="1"/>
      <name val="Calibri"/>
      <family val="2"/>
      <scheme val="minor"/>
    </font>
    <font>
      <sz val="10"/>
      <color rgb="FF0D0D0D"/>
      <name val="Arial"/>
      <family val="2"/>
    </font>
    <font>
      <sz val="10"/>
      <color rgb="FF262626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mbria"/>
      <family val="1"/>
      <scheme val="major"/>
    </font>
    <font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9"/>
      <name val="Cambria"/>
      <family val="1"/>
      <scheme val="maj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theme="5"/>
      </right>
      <top style="medium">
        <color rgb="FFFF0000"/>
      </top>
      <bottom style="medium">
        <color rgb="FFFF0000"/>
      </bottom>
      <diagonal/>
    </border>
    <border>
      <left style="thin">
        <color theme="5"/>
      </left>
      <right style="thin">
        <color theme="5"/>
      </right>
      <top style="medium">
        <color rgb="FFFF0000"/>
      </top>
      <bottom style="medium">
        <color rgb="FFFF0000"/>
      </bottom>
      <diagonal/>
    </border>
    <border>
      <left style="thin">
        <color theme="5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double">
        <color rgb="FFFF0000"/>
      </left>
      <right style="double">
        <color rgb="FFFF0000"/>
      </right>
      <top style="medium">
        <color rgb="FFC00000"/>
      </top>
      <bottom style="double">
        <color rgb="FFFF0000"/>
      </bottom>
      <diagonal/>
    </border>
    <border>
      <left style="double">
        <color rgb="FFFF0000"/>
      </left>
      <right style="medium">
        <color rgb="FFC00000"/>
      </right>
      <top style="medium">
        <color rgb="FFC00000"/>
      </top>
      <bottom style="double">
        <color rgb="FFFF0000"/>
      </bottom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double">
        <color rgb="FFFF0000"/>
      </left>
      <right style="medium">
        <color rgb="FFC00000"/>
      </right>
      <top style="double">
        <color rgb="FFFF0000"/>
      </top>
      <bottom style="double">
        <color rgb="FFFF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thin">
        <color indexed="64"/>
      </left>
      <right style="medium">
        <color theme="5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-0.499984740745262"/>
      </left>
      <right style="thin">
        <color indexed="64"/>
      </right>
      <top style="thin">
        <color indexed="64"/>
      </top>
      <bottom style="medium">
        <color theme="5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1" applyNumberFormat="0" applyFont="0" applyFill="0" applyBorder="0" applyAlignment="0"/>
    <xf numFmtId="0" fontId="1" fillId="0" borderId="1"/>
    <xf numFmtId="0" fontId="46" fillId="0" borderId="0" applyNumberFormat="0" applyFill="0" applyBorder="0" applyAlignment="0" applyProtection="0">
      <alignment vertical="top"/>
      <protection locked="0"/>
    </xf>
  </cellStyleXfs>
  <cellXfs count="389">
    <xf numFmtId="0" fontId="0" fillId="0" borderId="0" xfId="0"/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0" fillId="0" borderId="1" xfId="0" applyBorder="1"/>
    <xf numFmtId="0" fontId="5" fillId="0" borderId="0" xfId="0" applyFont="1" applyFill="1" applyBorder="1"/>
    <xf numFmtId="0" fontId="5" fillId="0" borderId="0" xfId="0" applyFont="1" applyBorder="1"/>
    <xf numFmtId="0" fontId="11" fillId="0" borderId="0" xfId="0" applyFont="1" applyBorder="1" applyAlignment="1"/>
    <xf numFmtId="0" fontId="8" fillId="0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18" fillId="0" borderId="1" xfId="0" applyFont="1" applyBorder="1"/>
    <xf numFmtId="0" fontId="2" fillId="0" borderId="0" xfId="0" applyFont="1"/>
    <xf numFmtId="0" fontId="9" fillId="0" borderId="8" xfId="1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/>
    <xf numFmtId="0" fontId="21" fillId="0" borderId="10" xfId="0" applyFont="1" applyBorder="1" applyAlignment="1"/>
    <xf numFmtId="0" fontId="22" fillId="0" borderId="10" xfId="0" applyFont="1" applyBorder="1" applyAlignment="1"/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1" xfId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wrapText="1"/>
    </xf>
    <xf numFmtId="0" fontId="13" fillId="9" borderId="1" xfId="1" applyFont="1" applyFill="1" applyBorder="1" applyAlignment="1">
      <alignment horizontal="center" vertical="center" wrapText="1"/>
    </xf>
    <xf numFmtId="0" fontId="15" fillId="9" borderId="1" xfId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1" fontId="0" fillId="0" borderId="1" xfId="0" applyNumberFormat="1" applyBorder="1"/>
    <xf numFmtId="1" fontId="26" fillId="2" borderId="1" xfId="0" applyNumberFormat="1" applyFont="1" applyFill="1" applyBorder="1"/>
    <xf numFmtId="1" fontId="26" fillId="2" borderId="1" xfId="0" applyNumberFormat="1" applyFont="1" applyFill="1" applyBorder="1" applyAlignment="1">
      <alignment horizontal="center" vertical="center"/>
    </xf>
    <xf numFmtId="0" fontId="27" fillId="0" borderId="0" xfId="0" applyFont="1"/>
    <xf numFmtId="0" fontId="29" fillId="0" borderId="1" xfId="0" applyFont="1" applyFill="1" applyBorder="1"/>
    <xf numFmtId="0" fontId="30" fillId="0" borderId="1" xfId="5" applyFont="1" applyBorder="1" applyAlignment="1">
      <alignment horizontal="left" vertical="center"/>
    </xf>
    <xf numFmtId="0" fontId="30" fillId="0" borderId="1" xfId="5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33" fillId="13" borderId="1" xfId="1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15" borderId="1" xfId="0" applyFill="1" applyBorder="1"/>
    <xf numFmtId="0" fontId="19" fillId="0" borderId="2" xfId="7" applyFont="1" applyFill="1" applyBorder="1" applyAlignment="1">
      <alignment horizontal="left" wrapText="1"/>
    </xf>
    <xf numFmtId="0" fontId="0" fillId="0" borderId="40" xfId="0" applyBorder="1"/>
    <xf numFmtId="0" fontId="3" fillId="0" borderId="41" xfId="0" applyFont="1" applyBorder="1" applyAlignment="1">
      <alignment horizontal="center"/>
    </xf>
    <xf numFmtId="0" fontId="23" fillId="0" borderId="42" xfId="0" applyFont="1" applyBorder="1" applyAlignment="1"/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0" fillId="1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7" borderId="1" xfId="0" applyFill="1" applyBorder="1"/>
    <xf numFmtId="0" fontId="0" fillId="11" borderId="1" xfId="0" applyFill="1" applyBorder="1"/>
    <xf numFmtId="0" fontId="0" fillId="18" borderId="1" xfId="0" applyFill="1" applyBorder="1"/>
    <xf numFmtId="0" fontId="2" fillId="11" borderId="23" xfId="0" applyFont="1" applyFill="1" applyBorder="1" applyAlignment="1">
      <alignment horizontal="center" vertical="center" wrapText="1"/>
    </xf>
    <xf numFmtId="0" fontId="0" fillId="0" borderId="0" xfId="0" applyProtection="1"/>
    <xf numFmtId="0" fontId="0" fillId="0" borderId="0" xfId="0" applyBorder="1" applyProtection="1"/>
    <xf numFmtId="0" fontId="20" fillId="0" borderId="1" xfId="0" applyFont="1" applyBorder="1" applyAlignment="1" applyProtection="1">
      <alignment horizontal="center"/>
    </xf>
    <xf numFmtId="0" fontId="18" fillId="6" borderId="1" xfId="0" applyFont="1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Protection="1"/>
    <xf numFmtId="0" fontId="0" fillId="0" borderId="18" xfId="0" applyBorder="1" applyProtection="1"/>
    <xf numFmtId="0" fontId="0" fillId="0" borderId="17" xfId="0" applyBorder="1" applyProtection="1"/>
    <xf numFmtId="0" fontId="18" fillId="0" borderId="0" xfId="0" applyFont="1" applyBorder="1" applyProtection="1"/>
    <xf numFmtId="0" fontId="28" fillId="12" borderId="17" xfId="0" applyFont="1" applyFill="1" applyBorder="1" applyProtection="1"/>
    <xf numFmtId="0" fontId="0" fillId="12" borderId="0" xfId="0" applyFill="1" applyBorder="1" applyProtection="1"/>
    <xf numFmtId="0" fontId="0" fillId="0" borderId="20" xfId="0" applyBorder="1" applyProtection="1"/>
    <xf numFmtId="0" fontId="0" fillId="0" borderId="21" xfId="0" applyBorder="1" applyProtection="1"/>
    <xf numFmtId="0" fontId="0" fillId="0" borderId="22" xfId="0" applyBorder="1" applyProtection="1"/>
    <xf numFmtId="0" fontId="2" fillId="0" borderId="19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/>
    </xf>
    <xf numFmtId="0" fontId="0" fillId="0" borderId="35" xfId="0" applyBorder="1" applyProtection="1"/>
    <xf numFmtId="0" fontId="2" fillId="0" borderId="37" xfId="0" applyFont="1" applyBorder="1" applyAlignment="1" applyProtection="1">
      <alignment horizontal="center"/>
    </xf>
    <xf numFmtId="0" fontId="0" fillId="0" borderId="38" xfId="0" applyBorder="1" applyProtection="1"/>
    <xf numFmtId="0" fontId="18" fillId="0" borderId="38" xfId="0" applyFont="1" applyBorder="1" applyProtection="1"/>
    <xf numFmtId="0" fontId="0" fillId="0" borderId="39" xfId="0" applyBorder="1" applyProtection="1"/>
    <xf numFmtId="0" fontId="2" fillId="0" borderId="31" xfId="0" applyFont="1" applyBorder="1" applyProtection="1"/>
    <xf numFmtId="0" fontId="2" fillId="0" borderId="0" xfId="0" applyFont="1" applyBorder="1" applyProtection="1"/>
    <xf numFmtId="0" fontId="0" fillId="12" borderId="31" xfId="0" applyFill="1" applyBorder="1" applyProtection="1"/>
    <xf numFmtId="0" fontId="2" fillId="12" borderId="30" xfId="0" applyFont="1" applyFill="1" applyBorder="1" applyProtection="1"/>
    <xf numFmtId="0" fontId="2" fillId="12" borderId="34" xfId="0" applyFont="1" applyFill="1" applyBorder="1" applyProtection="1"/>
    <xf numFmtId="0" fontId="10" fillId="0" borderId="2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/>
    </xf>
    <xf numFmtId="2" fontId="37" fillId="0" borderId="1" xfId="4" applyNumberFormat="1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8" borderId="32" xfId="0" applyFill="1" applyBorder="1" applyProtection="1"/>
    <xf numFmtId="0" fontId="0" fillId="8" borderId="33" xfId="0" applyFill="1" applyBorder="1" applyProtection="1"/>
    <xf numFmtId="0" fontId="2" fillId="0" borderId="0" xfId="0" applyFont="1" applyBorder="1" applyAlignment="1" applyProtection="1">
      <alignment horizontal="center"/>
    </xf>
    <xf numFmtId="0" fontId="0" fillId="8" borderId="29" xfId="0" applyFill="1" applyBorder="1" applyProtection="1"/>
    <xf numFmtId="0" fontId="0" fillId="8" borderId="36" xfId="0" applyFill="1" applyBorder="1" applyProtection="1"/>
    <xf numFmtId="0" fontId="24" fillId="0" borderId="0" xfId="0" applyFont="1" applyProtection="1"/>
    <xf numFmtId="0" fontId="0" fillId="0" borderId="0" xfId="0" applyFill="1" applyBorder="1" applyAlignment="1"/>
    <xf numFmtId="0" fontId="0" fillId="0" borderId="1" xfId="0" applyBorder="1" applyProtection="1"/>
    <xf numFmtId="0" fontId="0" fillId="2" borderId="1" xfId="0" applyFill="1" applyBorder="1" applyProtection="1"/>
    <xf numFmtId="0" fontId="40" fillId="19" borderId="0" xfId="0" applyFont="1" applyFill="1" applyProtection="1"/>
    <xf numFmtId="0" fontId="42" fillId="19" borderId="0" xfId="0" applyFont="1" applyFill="1" applyProtection="1"/>
    <xf numFmtId="0" fontId="41" fillId="0" borderId="0" xfId="0" applyFont="1" applyFill="1" applyBorder="1" applyAlignment="1">
      <alignment horizontal="center"/>
    </xf>
    <xf numFmtId="1" fontId="0" fillId="0" borderId="0" xfId="0" applyNumberFormat="1" applyProtection="1"/>
    <xf numFmtId="0" fontId="0" fillId="14" borderId="0" xfId="0" applyFill="1" applyProtection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6" xfId="0" applyFont="1" applyBorder="1"/>
    <xf numFmtId="1" fontId="37" fillId="0" borderId="6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31" fillId="5" borderId="19" xfId="0" applyFont="1" applyFill="1" applyBorder="1" applyAlignment="1">
      <alignment horizontal="center" vertical="center" wrapText="1"/>
    </xf>
    <xf numFmtId="0" fontId="0" fillId="20" borderId="1" xfId="0" applyFill="1" applyBorder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2" xfId="0" applyFill="1" applyBorder="1" applyAlignment="1"/>
    <xf numFmtId="0" fontId="0" fillId="16" borderId="7" xfId="0" applyFill="1" applyBorder="1" applyAlignment="1"/>
    <xf numFmtId="0" fontId="0" fillId="16" borderId="8" xfId="0" applyFill="1" applyBorder="1" applyAlignment="1"/>
    <xf numFmtId="0" fontId="0" fillId="16" borderId="2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2" xfId="0" applyFill="1" applyBorder="1" applyAlignment="1"/>
    <xf numFmtId="0" fontId="2" fillId="0" borderId="1" xfId="0" applyFont="1" applyBorder="1" applyProtection="1"/>
    <xf numFmtId="0" fontId="2" fillId="0" borderId="1" xfId="0" applyFont="1" applyBorder="1" applyAlignment="1" applyProtection="1">
      <alignment wrapText="1"/>
    </xf>
    <xf numFmtId="0" fontId="17" fillId="0" borderId="47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/>
    </xf>
    <xf numFmtId="0" fontId="43" fillId="0" borderId="0" xfId="0" applyFont="1" applyProtection="1"/>
    <xf numFmtId="0" fontId="0" fillId="0" borderId="1" xfId="0" applyBorder="1" applyAlignment="1">
      <alignment horizontal="center"/>
    </xf>
    <xf numFmtId="0" fontId="2" fillId="0" borderId="0" xfId="0" applyFont="1" applyProtection="1"/>
    <xf numFmtId="0" fontId="45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2" fillId="10" borderId="1" xfId="0" applyFont="1" applyFill="1" applyBorder="1" applyProtection="1"/>
    <xf numFmtId="0" fontId="0" fillId="10" borderId="1" xfId="0" applyFill="1" applyBorder="1" applyProtection="1"/>
    <xf numFmtId="0" fontId="0" fillId="21" borderId="1" xfId="0" applyFill="1" applyBorder="1" applyProtection="1"/>
    <xf numFmtId="0" fontId="2" fillId="22" borderId="1" xfId="0" applyFont="1" applyFill="1" applyBorder="1" applyProtection="1"/>
    <xf numFmtId="0" fontId="0" fillId="22" borderId="1" xfId="0" applyFill="1" applyBorder="1" applyProtection="1"/>
    <xf numFmtId="0" fontId="11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37" fillId="9" borderId="1" xfId="0" applyFont="1" applyFill="1" applyBorder="1" applyAlignment="1">
      <alignment horizontal="center" vertical="center"/>
    </xf>
    <xf numFmtId="0" fontId="10" fillId="9" borderId="1" xfId="0" quotePrefix="1" applyNumberFormat="1" applyFont="1" applyFill="1" applyBorder="1" applyAlignment="1">
      <alignment horizontal="center" vertical="center"/>
    </xf>
    <xf numFmtId="0" fontId="38" fillId="9" borderId="6" xfId="0" applyFont="1" applyFill="1" applyBorder="1" applyAlignment="1">
      <alignment vertical="center" wrapText="1"/>
    </xf>
    <xf numFmtId="0" fontId="39" fillId="9" borderId="1" xfId="0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31" fillId="9" borderId="1" xfId="0" applyFont="1" applyFill="1" applyBorder="1"/>
    <xf numFmtId="0" fontId="47" fillId="23" borderId="1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center"/>
    </xf>
    <xf numFmtId="1" fontId="0" fillId="0" borderId="0" xfId="0" applyNumberFormat="1"/>
    <xf numFmtId="0" fontId="2" fillId="0" borderId="23" xfId="0" applyFont="1" applyBorder="1" applyAlignment="1" applyProtection="1">
      <alignment horizontal="center" vertical="center" wrapText="1"/>
    </xf>
    <xf numFmtId="0" fontId="0" fillId="6" borderId="24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 wrapText="1"/>
    </xf>
    <xf numFmtId="0" fontId="0" fillId="21" borderId="19" xfId="0" applyFill="1" applyBorder="1" applyAlignment="1" applyProtection="1">
      <alignment horizontal="center" vertical="center" wrapText="1"/>
    </xf>
    <xf numFmtId="0" fontId="42" fillId="6" borderId="1" xfId="0" applyFont="1" applyFill="1" applyBorder="1"/>
    <xf numFmtId="0" fontId="42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/>
    </xf>
    <xf numFmtId="0" fontId="49" fillId="17" borderId="54" xfId="0" applyFont="1" applyFill="1" applyBorder="1" applyAlignment="1">
      <alignment horizontal="center"/>
    </xf>
    <xf numFmtId="0" fontId="32" fillId="24" borderId="0" xfId="0" applyFont="1" applyFill="1" applyAlignment="1">
      <alignment wrapText="1"/>
    </xf>
    <xf numFmtId="0" fontId="39" fillId="6" borderId="1" xfId="0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vertical="center" wrapText="1"/>
    </xf>
    <xf numFmtId="0" fontId="31" fillId="6" borderId="1" xfId="0" applyFont="1" applyFill="1" applyBorder="1" applyAlignment="1">
      <alignment horizontal="center"/>
    </xf>
    <xf numFmtId="0" fontId="31" fillId="6" borderId="1" xfId="0" applyFont="1" applyFill="1" applyBorder="1"/>
    <xf numFmtId="0" fontId="31" fillId="6" borderId="7" xfId="0" applyFont="1" applyFill="1" applyBorder="1"/>
    <xf numFmtId="0" fontId="0" fillId="3" borderId="0" xfId="0" applyFill="1"/>
    <xf numFmtId="0" fontId="0" fillId="4" borderId="43" xfId="0" applyFill="1" applyBorder="1" applyAlignment="1">
      <alignment horizontal="center" vertical="center"/>
    </xf>
    <xf numFmtId="0" fontId="11" fillId="25" borderId="0" xfId="0" applyFont="1" applyFill="1" applyBorder="1" applyAlignment="1">
      <alignment horizontal="left"/>
    </xf>
    <xf numFmtId="0" fontId="11" fillId="25" borderId="0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48" fillId="27" borderId="19" xfId="0" applyFont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1" borderId="7" xfId="0" applyFill="1" applyBorder="1" applyAlignment="1"/>
    <xf numFmtId="0" fontId="0" fillId="11" borderId="1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/>
    </xf>
    <xf numFmtId="0" fontId="0" fillId="11" borderId="8" xfId="0" applyFill="1" applyBorder="1" applyAlignment="1"/>
    <xf numFmtId="0" fontId="0" fillId="11" borderId="2" xfId="0" applyFill="1" applyBorder="1" applyAlignment="1"/>
    <xf numFmtId="0" fontId="0" fillId="24" borderId="0" xfId="0" applyFill="1"/>
    <xf numFmtId="0" fontId="0" fillId="24" borderId="8" xfId="0" applyFill="1" applyBorder="1"/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6" borderId="1" xfId="0" applyFont="1" applyFill="1" applyBorder="1" applyAlignment="1">
      <alignment vertical="center" wrapText="1"/>
    </xf>
    <xf numFmtId="0" fontId="0" fillId="0" borderId="54" xfId="0" applyBorder="1" applyProtection="1"/>
    <xf numFmtId="0" fontId="18" fillId="2" borderId="2" xfId="0" applyFont="1" applyFill="1" applyBorder="1"/>
    <xf numFmtId="0" fontId="2" fillId="0" borderId="6" xfId="0" applyFont="1" applyFill="1" applyBorder="1"/>
    <xf numFmtId="0" fontId="18" fillId="2" borderId="7" xfId="0" applyFont="1" applyFill="1" applyBorder="1"/>
    <xf numFmtId="0" fontId="32" fillId="13" borderId="1" xfId="0" applyFont="1" applyFill="1" applyBorder="1" applyAlignment="1">
      <alignment horizontal="left" vertical="center" wrapText="1"/>
    </xf>
    <xf numFmtId="0" fontId="18" fillId="11" borderId="55" xfId="0" applyFont="1" applyFill="1" applyBorder="1" applyAlignment="1">
      <alignment horizontal="center" vertical="center"/>
    </xf>
    <xf numFmtId="0" fontId="18" fillId="11" borderId="56" xfId="0" applyFont="1" applyFill="1" applyBorder="1" applyAlignment="1">
      <alignment horizontal="center" vertical="center"/>
    </xf>
    <xf numFmtId="0" fontId="18" fillId="11" borderId="57" xfId="0" applyFont="1" applyFill="1" applyBorder="1" applyAlignment="1">
      <alignment horizontal="center" vertical="center"/>
    </xf>
    <xf numFmtId="0" fontId="18" fillId="10" borderId="57" xfId="0" applyFont="1" applyFill="1" applyBorder="1" applyAlignment="1">
      <alignment horizontal="center" vertical="center"/>
    </xf>
    <xf numFmtId="0" fontId="0" fillId="27" borderId="1" xfId="0" applyFill="1" applyBorder="1" applyAlignment="1" applyProtection="1">
      <alignment horizontal="center"/>
    </xf>
    <xf numFmtId="0" fontId="51" fillId="10" borderId="1" xfId="0" applyFont="1" applyFill="1" applyBorder="1" applyProtection="1"/>
    <xf numFmtId="0" fontId="49" fillId="10" borderId="58" xfId="0" applyFont="1" applyFill="1" applyBorder="1" applyProtection="1"/>
    <xf numFmtId="0" fontId="51" fillId="10" borderId="59" xfId="0" applyFont="1" applyFill="1" applyBorder="1" applyProtection="1"/>
    <xf numFmtId="0" fontId="51" fillId="10" borderId="60" xfId="0" applyFont="1" applyFill="1" applyBorder="1" applyProtection="1"/>
    <xf numFmtId="0" fontId="51" fillId="0" borderId="61" xfId="0" applyFont="1" applyBorder="1" applyProtection="1"/>
    <xf numFmtId="0" fontId="51" fillId="10" borderId="62" xfId="0" applyFont="1" applyFill="1" applyBorder="1" applyProtection="1"/>
    <xf numFmtId="0" fontId="49" fillId="10" borderId="63" xfId="0" applyFont="1" applyFill="1" applyBorder="1" applyProtection="1"/>
    <xf numFmtId="0" fontId="49" fillId="10" borderId="64" xfId="0" applyFont="1" applyFill="1" applyBorder="1" applyProtection="1"/>
    <xf numFmtId="0" fontId="49" fillId="28" borderId="65" xfId="0" applyFont="1" applyFill="1" applyBorder="1" applyProtection="1"/>
    <xf numFmtId="0" fontId="49" fillId="19" borderId="1" xfId="0" applyFont="1" applyFill="1" applyBorder="1" applyProtection="1"/>
    <xf numFmtId="0" fontId="0" fillId="4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/>
    </xf>
    <xf numFmtId="16" fontId="0" fillId="0" borderId="1" xfId="0" applyNumberFormat="1" applyBorder="1" applyProtection="1"/>
    <xf numFmtId="0" fontId="0" fillId="17" borderId="0" xfId="0" applyFill="1" applyProtection="1"/>
    <xf numFmtId="0" fontId="0" fillId="0" borderId="1" xfId="0" applyBorder="1" applyAlignment="1" applyProtection="1">
      <alignment wrapText="1"/>
    </xf>
    <xf numFmtId="0" fontId="0" fillId="29" borderId="5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67" xfId="0" applyFill="1" applyBorder="1" applyAlignment="1">
      <alignment horizontal="center" vertical="center" wrapText="1"/>
    </xf>
    <xf numFmtId="0" fontId="0" fillId="29" borderId="1" xfId="0" applyFill="1" applyBorder="1" applyAlignment="1" applyProtection="1">
      <alignment wrapText="1"/>
    </xf>
    <xf numFmtId="0" fontId="18" fillId="17" borderId="0" xfId="0" applyFont="1" applyFill="1" applyProtection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8" borderId="0" xfId="0" applyFill="1" applyAlignment="1">
      <alignment wrapText="1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22" borderId="0" xfId="0" applyFill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16" fontId="26" fillId="0" borderId="54" xfId="0" quotePrefix="1" applyNumberFormat="1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1" xfId="0" applyFill="1" applyBorder="1" applyProtection="1"/>
    <xf numFmtId="0" fontId="54" fillId="0" borderId="1" xfId="0" applyFont="1" applyBorder="1"/>
    <xf numFmtId="1" fontId="0" fillId="2" borderId="1" xfId="0" applyNumberFormat="1" applyFill="1" applyBorder="1" applyAlignment="1">
      <alignment horizontal="center" vertical="center" wrapText="1"/>
    </xf>
    <xf numFmtId="1" fontId="0" fillId="11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left" vertical="center"/>
    </xf>
    <xf numFmtId="1" fontId="0" fillId="16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left" vertical="center"/>
    </xf>
    <xf numFmtId="0" fontId="0" fillId="26" borderId="19" xfId="0" applyFill="1" applyBorder="1" applyProtection="1"/>
    <xf numFmtId="0" fontId="0" fillId="31" borderId="17" xfId="0" applyFill="1" applyBorder="1" applyAlignment="1" applyProtection="1">
      <alignment horizontal="left" vertical="center" wrapText="1"/>
    </xf>
    <xf numFmtId="0" fontId="18" fillId="6" borderId="7" xfId="0" applyFon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 vertical="center"/>
    </xf>
    <xf numFmtId="0" fontId="48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7" fillId="23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/>
    </xf>
    <xf numFmtId="0" fontId="0" fillId="0" borderId="8" xfId="0" applyFill="1" applyBorder="1"/>
    <xf numFmtId="0" fontId="0" fillId="0" borderId="68" xfId="0" applyFill="1" applyBorder="1"/>
    <xf numFmtId="0" fontId="0" fillId="6" borderId="1" xfId="0" applyFont="1" applyFill="1" applyBorder="1"/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8" fillId="10" borderId="12" xfId="1" applyFont="1" applyFill="1" applyBorder="1" applyAlignment="1">
      <alignment horizontal="center" vertical="center"/>
    </xf>
    <xf numFmtId="0" fontId="8" fillId="10" borderId="13" xfId="1" applyFont="1" applyFill="1" applyBorder="1" applyAlignment="1">
      <alignment horizontal="center" vertical="center"/>
    </xf>
    <xf numFmtId="0" fontId="8" fillId="10" borderId="14" xfId="1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11" fillId="10" borderId="12" xfId="0" applyFont="1" applyFill="1" applyBorder="1" applyAlignment="1">
      <alignment horizontal="left"/>
    </xf>
    <xf numFmtId="0" fontId="11" fillId="10" borderId="13" xfId="0" applyFont="1" applyFill="1" applyBorder="1" applyAlignment="1">
      <alignment horizontal="left"/>
    </xf>
    <xf numFmtId="0" fontId="11" fillId="10" borderId="14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4" borderId="6" xfId="0" applyFill="1" applyBorder="1" applyAlignment="1">
      <alignment horizontal="center" vertical="center" wrapText="1"/>
    </xf>
    <xf numFmtId="0" fontId="0" fillId="24" borderId="5" xfId="0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6" fillId="0" borderId="6" xfId="10" applyBorder="1" applyAlignment="1" applyProtection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17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25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44" fillId="0" borderId="7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wrapText="1"/>
    </xf>
    <xf numFmtId="0" fontId="44" fillId="0" borderId="2" xfId="0" applyFont="1" applyBorder="1" applyAlignment="1">
      <alignment horizontal="center" wrapText="1"/>
    </xf>
    <xf numFmtId="0" fontId="57" fillId="0" borderId="25" xfId="0" applyFont="1" applyBorder="1" applyAlignment="1">
      <alignment horizontal="left" vertical="center" wrapText="1"/>
    </xf>
    <xf numFmtId="0" fontId="57" fillId="0" borderId="49" xfId="0" applyFont="1" applyBorder="1" applyAlignment="1">
      <alignment horizontal="left" vertical="center" wrapText="1"/>
    </xf>
    <xf numFmtId="0" fontId="57" fillId="0" borderId="50" xfId="0" applyFont="1" applyBorder="1" applyAlignment="1">
      <alignment horizontal="left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3" xfId="0" applyFont="1" applyBorder="1" applyAlignment="1">
      <alignment horizontal="left" vertical="center" wrapText="1"/>
    </xf>
    <xf numFmtId="0" fontId="57" fillId="0" borderId="40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18" fillId="12" borderId="17" xfId="0" applyFont="1" applyFill="1" applyBorder="1" applyAlignment="1" applyProtection="1">
      <alignment horizontal="left"/>
    </xf>
    <xf numFmtId="0" fontId="18" fillId="12" borderId="0" xfId="0" applyFont="1" applyFill="1" applyBorder="1" applyAlignment="1" applyProtection="1">
      <alignment horizontal="left"/>
    </xf>
    <xf numFmtId="0" fontId="18" fillId="12" borderId="18" xfId="0" applyFont="1" applyFill="1" applyBorder="1" applyAlignment="1" applyProtection="1">
      <alignment horizontal="left"/>
    </xf>
    <xf numFmtId="0" fontId="0" fillId="24" borderId="0" xfId="0" applyFill="1" applyAlignment="1" applyProtection="1">
      <alignment horizontal="center"/>
    </xf>
    <xf numFmtId="0" fontId="0" fillId="29" borderId="6" xfId="0" applyFill="1" applyBorder="1" applyAlignment="1">
      <alignment horizontal="center" vertical="center" wrapText="1"/>
    </xf>
    <xf numFmtId="0" fontId="0" fillId="29" borderId="5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8" xfId="0" applyFill="1" applyBorder="1" applyAlignment="1">
      <alignment horizontal="center" vertical="center"/>
    </xf>
  </cellXfs>
  <cellStyles count="11">
    <cellStyle name="Hyperlink" xfId="10" builtinId="8"/>
    <cellStyle name="Normal" xfId="0" builtinId="0"/>
    <cellStyle name="Normal 16" xfId="2"/>
    <cellStyle name="Normal 17" xfId="3"/>
    <cellStyle name="Normal 2" xfId="4"/>
    <cellStyle name="Normal 3" xfId="1"/>
    <cellStyle name="Normal 3 2" xfId="6"/>
    <cellStyle name="Normal 3 3" xfId="7"/>
    <cellStyle name="Normal 4" xfId="5"/>
    <cellStyle name="Style 1" xfId="8"/>
    <cellStyle name="Style 2" xfId="9"/>
  </cellStyles>
  <dxfs count="10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  <color rgb="FFFFFFCC"/>
      <color rgb="FF0033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>
        <c:manualLayout>
          <c:xMode val="edge"/>
          <c:yMode val="edge"/>
          <c:x val="0.25585159880989389"/>
          <c:y val="4.2392117069002533E-2"/>
        </c:manualLayout>
      </c:layout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Lab!$C$81</c:f>
              <c:strCache>
                <c:ptCount val="1"/>
                <c:pt idx="0">
                  <c:v>CO Attainment</c:v>
                </c:pt>
              </c:strCache>
            </c:strRef>
          </c:tx>
          <c:cat>
            <c:strRef>
              <c:f>Lab!$D$80:$M$80</c:f>
              <c:strCache>
                <c:ptCount val="10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  <c:pt idx="6">
                  <c:v>CO7</c:v>
                </c:pt>
                <c:pt idx="7">
                  <c:v>CO8</c:v>
                </c:pt>
                <c:pt idx="8">
                  <c:v>CO9</c:v>
                </c:pt>
                <c:pt idx="9">
                  <c:v>CO10</c:v>
                </c:pt>
              </c:strCache>
            </c:strRef>
          </c:cat>
          <c:val>
            <c:numRef>
              <c:f>Lab!$D$81:$M$81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96.982758620689651</c:v>
                </c:pt>
                <c:pt idx="4">
                  <c:v>93.793103448275858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01233408"/>
        <c:axId val="101234944"/>
      </c:barChart>
      <c:catAx>
        <c:axId val="1012334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1234944"/>
        <c:crosses val="autoZero"/>
        <c:auto val="1"/>
        <c:lblAlgn val="ctr"/>
        <c:lblOffset val="100"/>
      </c:catAx>
      <c:valAx>
        <c:axId val="1012349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12334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>
        <c:manualLayout>
          <c:xMode val="edge"/>
          <c:yMode val="edge"/>
          <c:x val="0.255851598809894"/>
          <c:y val="4.2392117069002533E-2"/>
        </c:manualLayout>
      </c:layout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[1]Lab!$C$81</c:f>
              <c:strCache>
                <c:ptCount val="1"/>
                <c:pt idx="0">
                  <c:v>CO Attainment</c:v>
                </c:pt>
              </c:strCache>
            </c:strRef>
          </c:tx>
          <c:cat>
            <c:strRef>
              <c:f>[1]Lab!$D$80:$M$80</c:f>
              <c:strCache>
                <c:ptCount val="10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  <c:pt idx="6">
                  <c:v>CO7</c:v>
                </c:pt>
                <c:pt idx="7">
                  <c:v>CO8</c:v>
                </c:pt>
                <c:pt idx="8">
                  <c:v>CO9</c:v>
                </c:pt>
                <c:pt idx="9">
                  <c:v>CO10</c:v>
                </c:pt>
              </c:strCache>
            </c:strRef>
          </c:cat>
          <c:val>
            <c:numRef>
              <c:f>[1]Lab!$D$81:$M$81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96.982758620689651</c:v>
                </c:pt>
                <c:pt idx="4">
                  <c:v>93.793103448275858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01243136"/>
        <c:axId val="102440960"/>
      </c:barChart>
      <c:catAx>
        <c:axId val="1012431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440960"/>
        <c:crosses val="autoZero"/>
        <c:auto val="1"/>
        <c:lblAlgn val="ctr"/>
        <c:lblOffset val="100"/>
      </c:catAx>
      <c:valAx>
        <c:axId val="1024409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1243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/>
            </a:pPr>
            <a:r>
              <a:rPr lang="en-US"/>
              <a:t>SEE</a:t>
            </a:r>
            <a:r>
              <a:rPr lang="en-US" baseline="0"/>
              <a:t> Grade distribution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CO_PO_ASESSEMENT!$C$26:$J$26</c:f>
              <c:strCache>
                <c:ptCount val="8"/>
                <c:pt idx="0">
                  <c:v>S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X</c:v>
                </c:pt>
              </c:strCache>
            </c:strRef>
          </c:cat>
          <c:val>
            <c:numRef>
              <c:f>CO_PO_ASESSEMENT!$C$27:$J$27</c:f>
              <c:numCache>
                <c:formatCode>General</c:formatCode>
                <c:ptCount val="8"/>
                <c:pt idx="0">
                  <c:v>8</c:v>
                </c:pt>
                <c:pt idx="1">
                  <c:v>37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axId val="103223296"/>
        <c:axId val="103224832"/>
      </c:barChart>
      <c:catAx>
        <c:axId val="1032232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224832"/>
        <c:crosses val="autoZero"/>
        <c:auto val="1"/>
        <c:lblAlgn val="ctr"/>
        <c:lblOffset val="100"/>
      </c:catAx>
      <c:valAx>
        <c:axId val="1032248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223296"/>
        <c:crosses val="autoZero"/>
        <c:crossBetween val="between"/>
      </c:valAx>
    </c:plotArea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CIE-SEE Correlation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Theory!$AT$13</c:f>
              <c:strCache>
                <c:ptCount val="1"/>
                <c:pt idx="0">
                  <c:v>Final SEE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Theory!$AS$14:$AS$67</c:f>
              <c:numCache>
                <c:formatCode>0</c:formatCode>
                <c:ptCount val="54"/>
                <c:pt idx="0">
                  <c:v>48</c:v>
                </c:pt>
                <c:pt idx="1">
                  <c:v>48</c:v>
                </c:pt>
                <c:pt idx="2">
                  <c:v>47</c:v>
                </c:pt>
                <c:pt idx="3">
                  <c:v>40</c:v>
                </c:pt>
                <c:pt idx="4">
                  <c:v>45</c:v>
                </c:pt>
                <c:pt idx="5">
                  <c:v>42</c:v>
                </c:pt>
                <c:pt idx="6">
                  <c:v>47</c:v>
                </c:pt>
                <c:pt idx="7">
                  <c:v>47</c:v>
                </c:pt>
                <c:pt idx="8">
                  <c:v>50</c:v>
                </c:pt>
                <c:pt idx="9">
                  <c:v>45</c:v>
                </c:pt>
                <c:pt idx="10">
                  <c:v>50</c:v>
                </c:pt>
                <c:pt idx="11">
                  <c:v>47</c:v>
                </c:pt>
                <c:pt idx="12">
                  <c:v>49</c:v>
                </c:pt>
                <c:pt idx="13">
                  <c:v>48</c:v>
                </c:pt>
                <c:pt idx="14">
                  <c:v>38</c:v>
                </c:pt>
                <c:pt idx="15">
                  <c:v>49</c:v>
                </c:pt>
                <c:pt idx="16">
                  <c:v>48</c:v>
                </c:pt>
                <c:pt idx="17">
                  <c:v>44</c:v>
                </c:pt>
                <c:pt idx="18">
                  <c:v>49</c:v>
                </c:pt>
                <c:pt idx="19">
                  <c:v>47</c:v>
                </c:pt>
                <c:pt idx="20">
                  <c:v>40</c:v>
                </c:pt>
                <c:pt idx="21">
                  <c:v>48</c:v>
                </c:pt>
                <c:pt idx="22">
                  <c:v>47</c:v>
                </c:pt>
                <c:pt idx="23">
                  <c:v>49</c:v>
                </c:pt>
                <c:pt idx="24">
                  <c:v>42</c:v>
                </c:pt>
                <c:pt idx="25">
                  <c:v>44</c:v>
                </c:pt>
                <c:pt idx="26">
                  <c:v>33</c:v>
                </c:pt>
                <c:pt idx="27">
                  <c:v>48</c:v>
                </c:pt>
                <c:pt idx="28">
                  <c:v>46</c:v>
                </c:pt>
                <c:pt idx="29">
                  <c:v>46</c:v>
                </c:pt>
                <c:pt idx="30">
                  <c:v>50</c:v>
                </c:pt>
                <c:pt idx="31">
                  <c:v>44</c:v>
                </c:pt>
                <c:pt idx="32">
                  <c:v>48</c:v>
                </c:pt>
                <c:pt idx="33">
                  <c:v>49</c:v>
                </c:pt>
                <c:pt idx="34">
                  <c:v>49</c:v>
                </c:pt>
                <c:pt idx="35">
                  <c:v>45</c:v>
                </c:pt>
                <c:pt idx="36">
                  <c:v>44</c:v>
                </c:pt>
                <c:pt idx="37">
                  <c:v>48</c:v>
                </c:pt>
                <c:pt idx="38">
                  <c:v>43</c:v>
                </c:pt>
                <c:pt idx="39">
                  <c:v>45</c:v>
                </c:pt>
                <c:pt idx="40">
                  <c:v>48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40</c:v>
                </c:pt>
                <c:pt idx="45">
                  <c:v>48</c:v>
                </c:pt>
                <c:pt idx="46" formatCode="General">
                  <c:v>46</c:v>
                </c:pt>
                <c:pt idx="47" formatCode="General">
                  <c:v>46</c:v>
                </c:pt>
                <c:pt idx="48" formatCode="General">
                  <c:v>43</c:v>
                </c:pt>
                <c:pt idx="49" formatCode="General">
                  <c:v>44</c:v>
                </c:pt>
                <c:pt idx="50" formatCode="General">
                  <c:v>48</c:v>
                </c:pt>
                <c:pt idx="51" formatCode="General">
                  <c:v>45</c:v>
                </c:pt>
                <c:pt idx="52" formatCode="General">
                  <c:v>47</c:v>
                </c:pt>
                <c:pt idx="53" formatCode="General">
                  <c:v>48</c:v>
                </c:pt>
              </c:numCache>
            </c:numRef>
          </c:xVal>
          <c:yVal>
            <c:numRef>
              <c:f>Theory!$AT$14:$AT$67</c:f>
              <c:numCache>
                <c:formatCode>0</c:formatCode>
                <c:ptCount val="54"/>
                <c:pt idx="0">
                  <c:v>46</c:v>
                </c:pt>
                <c:pt idx="1">
                  <c:v>46.5</c:v>
                </c:pt>
                <c:pt idx="2">
                  <c:v>46.5</c:v>
                </c:pt>
                <c:pt idx="3">
                  <c:v>37</c:v>
                </c:pt>
                <c:pt idx="4">
                  <c:v>25.5</c:v>
                </c:pt>
                <c:pt idx="5">
                  <c:v>35.5</c:v>
                </c:pt>
                <c:pt idx="6">
                  <c:v>40</c:v>
                </c:pt>
                <c:pt idx="7">
                  <c:v>42</c:v>
                </c:pt>
                <c:pt idx="8">
                  <c:v>42</c:v>
                </c:pt>
                <c:pt idx="9">
                  <c:v>29.5</c:v>
                </c:pt>
                <c:pt idx="10">
                  <c:v>44.5</c:v>
                </c:pt>
                <c:pt idx="11">
                  <c:v>38.5</c:v>
                </c:pt>
                <c:pt idx="12">
                  <c:v>45.5</c:v>
                </c:pt>
                <c:pt idx="13">
                  <c:v>29</c:v>
                </c:pt>
                <c:pt idx="14">
                  <c:v>11.5</c:v>
                </c:pt>
                <c:pt idx="15">
                  <c:v>44.5</c:v>
                </c:pt>
                <c:pt idx="16">
                  <c:v>36.5</c:v>
                </c:pt>
                <c:pt idx="17">
                  <c:v>29.5</c:v>
                </c:pt>
                <c:pt idx="18">
                  <c:v>44.5</c:v>
                </c:pt>
                <c:pt idx="19">
                  <c:v>34.5</c:v>
                </c:pt>
                <c:pt idx="20">
                  <c:v>23.5</c:v>
                </c:pt>
                <c:pt idx="21">
                  <c:v>35.5</c:v>
                </c:pt>
                <c:pt idx="22">
                  <c:v>33.5</c:v>
                </c:pt>
                <c:pt idx="23">
                  <c:v>32.5</c:v>
                </c:pt>
                <c:pt idx="24">
                  <c:v>24</c:v>
                </c:pt>
                <c:pt idx="25">
                  <c:v>36.5</c:v>
                </c:pt>
                <c:pt idx="26">
                  <c:v>9</c:v>
                </c:pt>
                <c:pt idx="27">
                  <c:v>28.5</c:v>
                </c:pt>
                <c:pt idx="28">
                  <c:v>43</c:v>
                </c:pt>
                <c:pt idx="29">
                  <c:v>32.5</c:v>
                </c:pt>
                <c:pt idx="30">
                  <c:v>38.5</c:v>
                </c:pt>
                <c:pt idx="31">
                  <c:v>26</c:v>
                </c:pt>
                <c:pt idx="32">
                  <c:v>36.5</c:v>
                </c:pt>
                <c:pt idx="33">
                  <c:v>24</c:v>
                </c:pt>
                <c:pt idx="34">
                  <c:v>33.5</c:v>
                </c:pt>
                <c:pt idx="35">
                  <c:v>41</c:v>
                </c:pt>
                <c:pt idx="36">
                  <c:v>33</c:v>
                </c:pt>
                <c:pt idx="37">
                  <c:v>24</c:v>
                </c:pt>
                <c:pt idx="38">
                  <c:v>21</c:v>
                </c:pt>
                <c:pt idx="39">
                  <c:v>21.5</c:v>
                </c:pt>
                <c:pt idx="40">
                  <c:v>36</c:v>
                </c:pt>
                <c:pt idx="41">
                  <c:v>32.5</c:v>
                </c:pt>
                <c:pt idx="42">
                  <c:v>32</c:v>
                </c:pt>
                <c:pt idx="43">
                  <c:v>24</c:v>
                </c:pt>
                <c:pt idx="44">
                  <c:v>35</c:v>
                </c:pt>
                <c:pt idx="45">
                  <c:v>38</c:v>
                </c:pt>
                <c:pt idx="46" formatCode="General">
                  <c:v>38</c:v>
                </c:pt>
                <c:pt idx="47" formatCode="General">
                  <c:v>35</c:v>
                </c:pt>
                <c:pt idx="48" formatCode="General">
                  <c:v>34.5</c:v>
                </c:pt>
                <c:pt idx="49" formatCode="General">
                  <c:v>35</c:v>
                </c:pt>
                <c:pt idx="50" formatCode="General">
                  <c:v>38.5</c:v>
                </c:pt>
                <c:pt idx="51" formatCode="General">
                  <c:v>35</c:v>
                </c:pt>
                <c:pt idx="52" formatCode="General">
                  <c:v>27.5</c:v>
                </c:pt>
                <c:pt idx="53" formatCode="General">
                  <c:v>41</c:v>
                </c:pt>
              </c:numCache>
            </c:numRef>
          </c:yVal>
        </c:ser>
        <c:axId val="103257600"/>
        <c:axId val="103259520"/>
      </c:scatterChart>
      <c:valAx>
        <c:axId val="10325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CIE</a:t>
                </a:r>
              </a:p>
            </c:rich>
          </c:tx>
        </c:title>
        <c:numFmt formatCode="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259520"/>
        <c:crosses val="autoZero"/>
        <c:crossBetween val="midCat"/>
      </c:valAx>
      <c:valAx>
        <c:axId val="1032595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SEE</a:t>
                </a:r>
              </a:p>
            </c:rich>
          </c:tx>
        </c:title>
        <c:numFmt formatCode="0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257600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/>
            </a:pPr>
            <a:r>
              <a:rPr lang="en-US"/>
              <a:t>CIE Marks Distibution</a:t>
            </a:r>
          </a:p>
        </c:rich>
      </c:tx>
      <c:layout>
        <c:manualLayout>
          <c:xMode val="edge"/>
          <c:yMode val="edge"/>
          <c:x val="0.33562729658792861"/>
          <c:y val="0"/>
        </c:manualLayout>
      </c:layout>
    </c:title>
    <c:plotArea>
      <c:layout>
        <c:manualLayout>
          <c:layoutTarget val="inner"/>
          <c:xMode val="edge"/>
          <c:yMode val="edge"/>
          <c:x val="8.7266185476815403E-2"/>
          <c:y val="0.1682396231255939"/>
          <c:w val="0.88692954657251732"/>
          <c:h val="0.68112468963603734"/>
        </c:manualLayout>
      </c:layout>
      <c:barChart>
        <c:barDir val="col"/>
        <c:grouping val="clustered"/>
        <c:ser>
          <c:idx val="0"/>
          <c:order val="0"/>
          <c:cat>
            <c:strRef>
              <c:f>CO_PO_ASESSEMENT!$C$22:$L$22</c:f>
              <c:strCache>
                <c:ptCount val="10"/>
                <c:pt idx="0">
                  <c:v>0-5</c:v>
                </c:pt>
                <c:pt idx="1">
                  <c:v>06--10</c:v>
                </c:pt>
                <c:pt idx="2">
                  <c:v>11--15</c:v>
                </c:pt>
                <c:pt idx="3">
                  <c:v>16--20</c:v>
                </c:pt>
                <c:pt idx="4">
                  <c:v>21--25</c:v>
                </c:pt>
                <c:pt idx="5">
                  <c:v>26--30</c:v>
                </c:pt>
                <c:pt idx="6">
                  <c:v>31--35</c:v>
                </c:pt>
                <c:pt idx="7">
                  <c:v>36--40</c:v>
                </c:pt>
                <c:pt idx="8">
                  <c:v>41--45</c:v>
                </c:pt>
                <c:pt idx="9">
                  <c:v>46--50</c:v>
                </c:pt>
              </c:strCache>
            </c:strRef>
          </c:cat>
          <c:val>
            <c:numRef>
              <c:f>CO_PO_ASESSEMENT!$C$23:$L$23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17</c:v>
                </c:pt>
                <c:pt idx="9">
                  <c:v>35</c:v>
                </c:pt>
              </c:numCache>
            </c:numRef>
          </c:val>
        </c:ser>
        <c:axId val="103428096"/>
        <c:axId val="103429632"/>
      </c:barChart>
      <c:catAx>
        <c:axId val="1034280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429632"/>
        <c:crosses val="autoZero"/>
        <c:auto val="1"/>
        <c:lblAlgn val="ctr"/>
        <c:lblOffset val="100"/>
      </c:catAx>
      <c:valAx>
        <c:axId val="103429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428096"/>
        <c:crosses val="autoZero"/>
        <c:crossBetween val="between"/>
      </c:valAx>
    </c:plotArea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CO_PO_ASESSEMENT!$B$17</c:f>
              <c:strCache>
                <c:ptCount val="1"/>
                <c:pt idx="0">
                  <c:v>CO Attainment =
CIE-80% + SEE-10% + CES-10%</c:v>
                </c:pt>
              </c:strCache>
            </c:strRef>
          </c:tx>
          <c:cat>
            <c:strRef>
              <c:f>CO_PO_ASESSEMENT!$C$16:$L$16</c:f>
              <c:strCache>
                <c:ptCount val="5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 </c:v>
                </c:pt>
                <c:pt idx="4">
                  <c:v>CO5 </c:v>
                </c:pt>
              </c:strCache>
            </c:strRef>
          </c:cat>
          <c:val>
            <c:numRef>
              <c:f>CO_PO_ASESSEMENT!$C$17:$L$17</c:f>
              <c:numCache>
                <c:formatCode>General</c:formatCode>
                <c:ptCount val="10"/>
                <c:pt idx="0">
                  <c:v>87.524358420484191</c:v>
                </c:pt>
                <c:pt idx="1">
                  <c:v>87.629812880059191</c:v>
                </c:pt>
                <c:pt idx="2">
                  <c:v>75.403088688112547</c:v>
                </c:pt>
                <c:pt idx="3">
                  <c:v>94.724137931034491</c:v>
                </c:pt>
                <c:pt idx="4">
                  <c:v>92.072413793103451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hape val="box"/>
        <c:axId val="103456768"/>
        <c:axId val="103458304"/>
        <c:axId val="0"/>
      </c:bar3DChart>
      <c:catAx>
        <c:axId val="103456768"/>
        <c:scaling>
          <c:orientation val="minMax"/>
        </c:scaling>
        <c:axPos val="b"/>
        <c:tickLblPos val="nextTo"/>
        <c:crossAx val="103458304"/>
        <c:crosses val="autoZero"/>
        <c:auto val="1"/>
        <c:lblAlgn val="ctr"/>
        <c:lblOffset val="100"/>
      </c:catAx>
      <c:valAx>
        <c:axId val="103458304"/>
        <c:scaling>
          <c:orientation val="minMax"/>
        </c:scaling>
        <c:axPos val="l"/>
        <c:numFmt formatCode="General" sourceLinked="1"/>
        <c:tickLblPos val="nextTo"/>
        <c:crossAx val="10345676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110217</xdr:colOff>
      <xdr:row>77</xdr:row>
      <xdr:rowOff>136072</xdr:rowOff>
    </xdr:from>
    <xdr:to>
      <xdr:col>18</xdr:col>
      <xdr:colOff>326570</xdr:colOff>
      <xdr:row>84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110217</xdr:colOff>
      <xdr:row>77</xdr:row>
      <xdr:rowOff>136072</xdr:rowOff>
    </xdr:from>
    <xdr:to>
      <xdr:col>18</xdr:col>
      <xdr:colOff>326570</xdr:colOff>
      <xdr:row>84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28</xdr:row>
      <xdr:rowOff>142877</xdr:rowOff>
    </xdr:from>
    <xdr:to>
      <xdr:col>6</xdr:col>
      <xdr:colOff>333374</xdr:colOff>
      <xdr:row>40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28</xdr:row>
      <xdr:rowOff>178596</xdr:rowOff>
    </xdr:from>
    <xdr:to>
      <xdr:col>14</xdr:col>
      <xdr:colOff>23813</xdr:colOff>
      <xdr:row>40</xdr:row>
      <xdr:rowOff>23814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178594</xdr:colOff>
      <xdr:row>28</xdr:row>
      <xdr:rowOff>154781</xdr:rowOff>
    </xdr:from>
    <xdr:to>
      <xdr:col>20</xdr:col>
      <xdr:colOff>83344</xdr:colOff>
      <xdr:row>40</xdr:row>
      <xdr:rowOff>11907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166686</xdr:colOff>
      <xdr:row>7</xdr:row>
      <xdr:rowOff>265509</xdr:rowOff>
    </xdr:from>
    <xdr:to>
      <xdr:col>17</xdr:col>
      <xdr:colOff>488156</xdr:colOff>
      <xdr:row>16</xdr:row>
      <xdr:rowOff>175021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Logic-SKS_6A_MAD_JAN_MAY_2018-ScriptAnalysis-16-MAY-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ory"/>
      <sheetName val="Quiz1"/>
      <sheetName val="Quiz2"/>
      <sheetName val="Lab"/>
      <sheetName val="CO_PO_PSO_MAPPING"/>
      <sheetName val="CO_PO_ASESSEMENT"/>
    </sheetNames>
    <sheetDataSet>
      <sheetData sheetId="0"/>
      <sheetData sheetId="1"/>
      <sheetData sheetId="2"/>
      <sheetData sheetId="3">
        <row r="80">
          <cell r="D80" t="str">
            <v>CO1</v>
          </cell>
          <cell r="E80" t="str">
            <v>CO2</v>
          </cell>
          <cell r="F80" t="str">
            <v>CO3</v>
          </cell>
          <cell r="G80" t="str">
            <v>CO4</v>
          </cell>
          <cell r="H80" t="str">
            <v>CO5</v>
          </cell>
          <cell r="I80" t="str">
            <v>CO6</v>
          </cell>
          <cell r="J80" t="str">
            <v>CO7</v>
          </cell>
          <cell r="K80" t="str">
            <v>CO8</v>
          </cell>
          <cell r="L80" t="str">
            <v>CO9</v>
          </cell>
          <cell r="M80" t="str">
            <v>CO10</v>
          </cell>
        </row>
        <row r="81">
          <cell r="C81" t="str">
            <v>CO Attainment</v>
          </cell>
          <cell r="D81">
            <v>0</v>
          </cell>
          <cell r="E81">
            <v>0</v>
          </cell>
          <cell r="F81">
            <v>0</v>
          </cell>
          <cell r="G81">
            <v>96.982758620689651</v>
          </cell>
          <cell r="H81">
            <v>93.793103448275858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ites.google.com/site/drvumadevi/teaching/mobile-app-dev-jan-may-201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144"/>
  <sheetViews>
    <sheetView tabSelected="1" topLeftCell="A22" zoomScale="53" zoomScaleNormal="53" workbookViewId="0">
      <selection activeCell="A31" sqref="A31:XFD31"/>
    </sheetView>
  </sheetViews>
  <sheetFormatPr defaultRowHeight="15"/>
  <cols>
    <col min="1" max="1" width="5.5703125" customWidth="1"/>
    <col min="2" max="2" width="21.28515625" customWidth="1"/>
    <col min="3" max="3" width="38.85546875" customWidth="1"/>
    <col min="4" max="4" width="8.140625" customWidth="1"/>
    <col min="5" max="5" width="5.7109375" customWidth="1"/>
    <col min="6" max="6" width="6.28515625" customWidth="1"/>
    <col min="7" max="7" width="7.7109375" customWidth="1"/>
    <col min="8" max="8" width="15.42578125" customWidth="1"/>
    <col min="9" max="9" width="6.5703125" customWidth="1"/>
    <col min="10" max="10" width="7" customWidth="1"/>
    <col min="11" max="11" width="6.5703125" customWidth="1"/>
    <col min="12" max="12" width="6.85546875" customWidth="1"/>
    <col min="13" max="14" width="5.28515625" customWidth="1"/>
    <col min="15" max="15" width="5.7109375" customWidth="1"/>
    <col min="16" max="16" width="5.28515625" customWidth="1"/>
    <col min="17" max="17" width="5.5703125" customWidth="1"/>
    <col min="18" max="18" width="4.7109375" customWidth="1"/>
    <col min="19" max="19" width="5.5703125" customWidth="1"/>
    <col min="20" max="20" width="5.85546875" customWidth="1"/>
    <col min="21" max="23" width="5.5703125" customWidth="1"/>
    <col min="24" max="26" width="6.85546875" customWidth="1"/>
    <col min="27" max="27" width="5.5703125" customWidth="1"/>
    <col min="28" max="28" width="6.42578125" customWidth="1"/>
    <col min="29" max="29" width="5.7109375" customWidth="1"/>
    <col min="30" max="30" width="6.28515625" customWidth="1"/>
    <col min="31" max="31" width="5.42578125" customWidth="1"/>
    <col min="32" max="35" width="5.28515625" customWidth="1"/>
    <col min="36" max="36" width="5.85546875" customWidth="1"/>
    <col min="37" max="39" width="6.85546875" customWidth="1"/>
    <col min="40" max="40" width="9.5703125" customWidth="1"/>
    <col min="41" max="41" width="5.28515625" customWidth="1"/>
    <col min="42" max="43" width="8.42578125" customWidth="1"/>
    <col min="44" max="44" width="8.7109375" customWidth="1"/>
    <col min="45" max="45" width="8" customWidth="1"/>
    <col min="46" max="46" width="11.140625" customWidth="1"/>
    <col min="52" max="52" width="29.42578125" customWidth="1"/>
  </cols>
  <sheetData>
    <row r="1" spans="1:52">
      <c r="A1" s="308" t="s">
        <v>0</v>
      </c>
      <c r="B1" s="308"/>
      <c r="C1" s="308"/>
      <c r="D1" s="308"/>
      <c r="E1" s="308"/>
    </row>
    <row r="2" spans="1:52" ht="15.75" thickBot="1">
      <c r="A2" s="309" t="s">
        <v>1</v>
      </c>
      <c r="B2" s="309"/>
      <c r="C2" s="309"/>
      <c r="D2" s="309"/>
      <c r="E2" s="309"/>
    </row>
    <row r="3" spans="1:52" ht="15.75" thickBot="1">
      <c r="A3" s="310" t="s">
        <v>234</v>
      </c>
      <c r="B3" s="311"/>
      <c r="C3" s="311"/>
      <c r="D3" s="311"/>
      <c r="E3" s="312"/>
    </row>
    <row r="4" spans="1:52" ht="15.75" thickBot="1">
      <c r="A4" s="310" t="s">
        <v>165</v>
      </c>
      <c r="B4" s="311"/>
      <c r="C4" s="311"/>
      <c r="D4" s="311"/>
      <c r="E4" s="312"/>
    </row>
    <row r="5" spans="1:52" ht="16.5" thickBot="1">
      <c r="A5" s="306" t="s">
        <v>8</v>
      </c>
      <c r="B5" s="307"/>
      <c r="C5" s="316" t="s">
        <v>133</v>
      </c>
      <c r="D5" s="317"/>
      <c r="E5" s="318"/>
      <c r="F5" s="6"/>
      <c r="G5" s="6"/>
      <c r="H5" s="6"/>
      <c r="U5" s="6"/>
      <c r="V5" s="6"/>
      <c r="W5" s="6"/>
      <c r="X5" s="6"/>
      <c r="Y5" s="6"/>
      <c r="Z5" s="6"/>
      <c r="AA5" s="6"/>
    </row>
    <row r="6" spans="1:52" ht="16.5" thickBot="1">
      <c r="A6" s="319" t="s">
        <v>170</v>
      </c>
      <c r="B6" s="320"/>
      <c r="C6" s="316" t="s">
        <v>134</v>
      </c>
      <c r="D6" s="317"/>
      <c r="E6" s="31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52" ht="15.75">
      <c r="A7" s="180"/>
      <c r="B7" s="18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52" ht="16.5" thickBot="1">
      <c r="A8" s="180"/>
      <c r="B8" s="180"/>
      <c r="C8" s="210" t="s">
        <v>23</v>
      </c>
      <c r="D8" s="211"/>
      <c r="E8" s="2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52" ht="22.5" customHeight="1" thickBot="1">
      <c r="A9" s="180"/>
      <c r="C9" s="71" t="s">
        <v>16</v>
      </c>
      <c r="D9" s="64">
        <v>0</v>
      </c>
      <c r="E9" s="65" t="s">
        <v>44</v>
      </c>
      <c r="F9" s="65" t="s">
        <v>62</v>
      </c>
      <c r="G9" s="65"/>
      <c r="H9" s="65">
        <v>0</v>
      </c>
      <c r="I9" s="65" t="s">
        <v>62</v>
      </c>
      <c r="J9" s="65" t="s">
        <v>44</v>
      </c>
      <c r="K9" s="65"/>
      <c r="L9" s="66">
        <v>0</v>
      </c>
      <c r="M9" s="66" t="s">
        <v>62</v>
      </c>
      <c r="N9" s="66" t="s">
        <v>44</v>
      </c>
      <c r="O9" s="66"/>
      <c r="P9" s="67">
        <v>0</v>
      </c>
      <c r="Q9" s="67" t="s">
        <v>44</v>
      </c>
      <c r="R9" s="67" t="s">
        <v>59</v>
      </c>
      <c r="S9" s="67"/>
      <c r="T9" s="67">
        <v>0</v>
      </c>
      <c r="U9" s="67" t="s">
        <v>44</v>
      </c>
      <c r="V9" s="67" t="s">
        <v>59</v>
      </c>
      <c r="W9" s="67"/>
      <c r="X9" s="67">
        <v>0</v>
      </c>
      <c r="Y9" s="67" t="s">
        <v>44</v>
      </c>
      <c r="Z9" s="67" t="s">
        <v>59</v>
      </c>
      <c r="AA9" s="67"/>
      <c r="AB9" s="68" t="s">
        <v>44</v>
      </c>
      <c r="AC9" s="69" t="s">
        <v>62</v>
      </c>
      <c r="AD9" s="69" t="s">
        <v>59</v>
      </c>
      <c r="AE9" s="69"/>
      <c r="AF9" s="69" t="s">
        <v>44</v>
      </c>
      <c r="AG9" s="69" t="s">
        <v>62</v>
      </c>
      <c r="AH9" s="69" t="s">
        <v>59</v>
      </c>
      <c r="AI9" s="69"/>
      <c r="AJ9" s="69" t="s">
        <v>44</v>
      </c>
      <c r="AK9" s="69" t="s">
        <v>62</v>
      </c>
      <c r="AL9" s="69" t="s">
        <v>59</v>
      </c>
      <c r="AM9" s="69"/>
      <c r="AN9" s="70" t="s">
        <v>163</v>
      </c>
      <c r="AO9" s="70" t="s">
        <v>163</v>
      </c>
      <c r="AP9" s="14"/>
    </row>
    <row r="10" spans="1:52" ht="21" customHeight="1">
      <c r="A10" s="180"/>
      <c r="B10" s="7"/>
      <c r="C10" s="12"/>
      <c r="D10" s="313" t="s">
        <v>6</v>
      </c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5"/>
      <c r="P10" s="300" t="s">
        <v>5</v>
      </c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2"/>
      <c r="AB10" s="303" t="s">
        <v>7</v>
      </c>
      <c r="AC10" s="304"/>
      <c r="AD10" s="304"/>
      <c r="AE10" s="304"/>
      <c r="AF10" s="304"/>
      <c r="AG10" s="304"/>
      <c r="AH10" s="304"/>
      <c r="AI10" s="304"/>
      <c r="AJ10" s="304"/>
      <c r="AK10" s="305"/>
      <c r="AL10" s="63"/>
      <c r="AM10" s="63"/>
      <c r="AN10" s="23" t="s">
        <v>18</v>
      </c>
      <c r="AO10" s="23" t="s">
        <v>85</v>
      </c>
    </row>
    <row r="11" spans="1:52" ht="28.5" customHeight="1">
      <c r="A11" s="180"/>
      <c r="B11" s="7"/>
      <c r="C11" s="13" t="s">
        <v>15</v>
      </c>
      <c r="D11" s="32">
        <v>5</v>
      </c>
      <c r="E11" s="32">
        <v>5</v>
      </c>
      <c r="F11" s="32">
        <v>10</v>
      </c>
      <c r="G11" s="32"/>
      <c r="H11" s="32">
        <v>6</v>
      </c>
      <c r="I11" s="32">
        <v>8</v>
      </c>
      <c r="J11" s="32">
        <v>6</v>
      </c>
      <c r="K11" s="32"/>
      <c r="L11" s="32">
        <v>5</v>
      </c>
      <c r="M11" s="32">
        <v>10</v>
      </c>
      <c r="N11" s="32">
        <v>5</v>
      </c>
      <c r="O11" s="32"/>
      <c r="P11" s="34">
        <v>4</v>
      </c>
      <c r="Q11" s="35">
        <v>6</v>
      </c>
      <c r="R11" s="35">
        <v>10</v>
      </c>
      <c r="S11" s="35"/>
      <c r="T11" s="35">
        <v>4</v>
      </c>
      <c r="U11" s="35">
        <v>6</v>
      </c>
      <c r="V11" s="35">
        <v>10</v>
      </c>
      <c r="W11" s="35"/>
      <c r="X11" s="35">
        <v>4</v>
      </c>
      <c r="Y11" s="35">
        <v>6</v>
      </c>
      <c r="Z11" s="35">
        <v>10</v>
      </c>
      <c r="AA11" s="35"/>
      <c r="AB11" s="8">
        <v>6</v>
      </c>
      <c r="AC11" s="8">
        <v>6</v>
      </c>
      <c r="AD11" s="8">
        <v>8</v>
      </c>
      <c r="AE11" s="8"/>
      <c r="AF11" s="8">
        <v>6</v>
      </c>
      <c r="AG11" s="8">
        <v>6</v>
      </c>
      <c r="AH11" s="8">
        <v>8</v>
      </c>
      <c r="AI11" s="8"/>
      <c r="AJ11" s="8">
        <v>6</v>
      </c>
      <c r="AK11" s="8">
        <v>6</v>
      </c>
      <c r="AL11" s="8">
        <v>8</v>
      </c>
      <c r="AM11" s="8"/>
      <c r="AN11" s="25">
        <v>5</v>
      </c>
      <c r="AO11" s="25">
        <v>5</v>
      </c>
      <c r="AP11" s="25">
        <v>10</v>
      </c>
      <c r="AQ11" s="18">
        <v>10</v>
      </c>
      <c r="AR11" s="18">
        <v>10</v>
      </c>
      <c r="AS11" s="26">
        <v>50</v>
      </c>
      <c r="AT11" s="26">
        <v>50</v>
      </c>
    </row>
    <row r="12" spans="1:52" ht="30.75" customHeight="1">
      <c r="A12" s="180"/>
      <c r="B12" s="7"/>
      <c r="C12" s="15" t="s">
        <v>235</v>
      </c>
      <c r="D12" s="33">
        <f>PRODUCT(D11,0.6)</f>
        <v>3</v>
      </c>
      <c r="E12" s="33">
        <f t="shared" ref="E12:AR12" si="0">PRODUCT(E11,0.6)</f>
        <v>3</v>
      </c>
      <c r="F12" s="33">
        <f t="shared" si="0"/>
        <v>6</v>
      </c>
      <c r="G12" s="33">
        <f t="shared" si="0"/>
        <v>0.6</v>
      </c>
      <c r="H12" s="33">
        <f t="shared" si="0"/>
        <v>3.5999999999999996</v>
      </c>
      <c r="I12" s="33">
        <f t="shared" si="0"/>
        <v>4.8</v>
      </c>
      <c r="J12" s="33">
        <f t="shared" si="0"/>
        <v>3.5999999999999996</v>
      </c>
      <c r="K12" s="33">
        <f t="shared" si="0"/>
        <v>0.6</v>
      </c>
      <c r="L12" s="33">
        <f t="shared" si="0"/>
        <v>3</v>
      </c>
      <c r="M12" s="33">
        <f t="shared" si="0"/>
        <v>6</v>
      </c>
      <c r="N12" s="33">
        <f t="shared" si="0"/>
        <v>3</v>
      </c>
      <c r="O12" s="33">
        <f t="shared" si="0"/>
        <v>0.6</v>
      </c>
      <c r="P12" s="33">
        <f t="shared" si="0"/>
        <v>2.4</v>
      </c>
      <c r="Q12" s="33">
        <f t="shared" si="0"/>
        <v>3.5999999999999996</v>
      </c>
      <c r="R12" s="33">
        <f t="shared" si="0"/>
        <v>6</v>
      </c>
      <c r="S12" s="33">
        <f t="shared" si="0"/>
        <v>0.6</v>
      </c>
      <c r="T12" s="33">
        <f t="shared" si="0"/>
        <v>2.4</v>
      </c>
      <c r="U12" s="33">
        <f t="shared" si="0"/>
        <v>3.5999999999999996</v>
      </c>
      <c r="V12" s="33">
        <f t="shared" si="0"/>
        <v>6</v>
      </c>
      <c r="W12" s="33">
        <f t="shared" si="0"/>
        <v>0.6</v>
      </c>
      <c r="X12" s="33">
        <f t="shared" si="0"/>
        <v>2.4</v>
      </c>
      <c r="Y12" s="33">
        <f t="shared" si="0"/>
        <v>3.5999999999999996</v>
      </c>
      <c r="Z12" s="33">
        <f t="shared" si="0"/>
        <v>6</v>
      </c>
      <c r="AA12" s="33">
        <f t="shared" si="0"/>
        <v>0.6</v>
      </c>
      <c r="AB12" s="33">
        <f t="shared" si="0"/>
        <v>3.5999999999999996</v>
      </c>
      <c r="AC12" s="33">
        <f t="shared" si="0"/>
        <v>3.5999999999999996</v>
      </c>
      <c r="AD12" s="33">
        <f t="shared" si="0"/>
        <v>4.8</v>
      </c>
      <c r="AE12" s="33">
        <f t="shared" si="0"/>
        <v>0.6</v>
      </c>
      <c r="AF12" s="33">
        <f t="shared" si="0"/>
        <v>3.5999999999999996</v>
      </c>
      <c r="AG12" s="33">
        <f t="shared" si="0"/>
        <v>3.5999999999999996</v>
      </c>
      <c r="AH12" s="33">
        <f t="shared" si="0"/>
        <v>4.8</v>
      </c>
      <c r="AI12" s="33">
        <f t="shared" si="0"/>
        <v>0.6</v>
      </c>
      <c r="AJ12" s="33">
        <f t="shared" si="0"/>
        <v>3.5999999999999996</v>
      </c>
      <c r="AK12" s="33">
        <f t="shared" si="0"/>
        <v>3.5999999999999996</v>
      </c>
      <c r="AL12" s="33">
        <f t="shared" si="0"/>
        <v>4.8</v>
      </c>
      <c r="AM12" s="33">
        <f t="shared" si="0"/>
        <v>0.6</v>
      </c>
      <c r="AN12" s="33">
        <f t="shared" si="0"/>
        <v>3</v>
      </c>
      <c r="AO12" s="33">
        <f t="shared" si="0"/>
        <v>3</v>
      </c>
      <c r="AP12" s="33">
        <f t="shared" si="0"/>
        <v>6</v>
      </c>
      <c r="AQ12" s="33">
        <f t="shared" si="0"/>
        <v>6</v>
      </c>
      <c r="AR12" s="33">
        <f t="shared" si="0"/>
        <v>6</v>
      </c>
      <c r="AS12" s="33">
        <v>20</v>
      </c>
      <c r="AT12" s="33">
        <v>20</v>
      </c>
    </row>
    <row r="13" spans="1:52" ht="27.75" customHeight="1">
      <c r="A13" s="9" t="s">
        <v>3</v>
      </c>
      <c r="B13" s="9" t="s">
        <v>2</v>
      </c>
      <c r="C13" s="2" t="s">
        <v>4</v>
      </c>
      <c r="D13" s="59" t="s">
        <v>9</v>
      </c>
      <c r="E13" s="59" t="s">
        <v>10</v>
      </c>
      <c r="F13" s="59" t="s">
        <v>58</v>
      </c>
      <c r="G13" s="59" t="s">
        <v>84</v>
      </c>
      <c r="H13" s="59" t="s">
        <v>11</v>
      </c>
      <c r="I13" s="59" t="s">
        <v>12</v>
      </c>
      <c r="J13" s="59" t="s">
        <v>60</v>
      </c>
      <c r="K13" s="59" t="s">
        <v>83</v>
      </c>
      <c r="L13" s="59" t="s">
        <v>13</v>
      </c>
      <c r="M13" s="59" t="s">
        <v>14</v>
      </c>
      <c r="N13" s="59" t="s">
        <v>24</v>
      </c>
      <c r="O13" s="59" t="s">
        <v>82</v>
      </c>
      <c r="P13" s="60" t="s">
        <v>9</v>
      </c>
      <c r="Q13" s="61" t="s">
        <v>10</v>
      </c>
      <c r="R13" s="61" t="s">
        <v>58</v>
      </c>
      <c r="S13" s="61" t="s">
        <v>84</v>
      </c>
      <c r="T13" s="61" t="s">
        <v>11</v>
      </c>
      <c r="U13" s="61" t="s">
        <v>12</v>
      </c>
      <c r="V13" s="61" t="s">
        <v>60</v>
      </c>
      <c r="W13" s="61" t="s">
        <v>83</v>
      </c>
      <c r="X13" s="61" t="s">
        <v>13</v>
      </c>
      <c r="Y13" s="61" t="s">
        <v>14</v>
      </c>
      <c r="Z13" s="61" t="s">
        <v>24</v>
      </c>
      <c r="AA13" s="61" t="s">
        <v>82</v>
      </c>
      <c r="AB13" s="294" t="s">
        <v>9</v>
      </c>
      <c r="AC13" s="294" t="s">
        <v>10</v>
      </c>
      <c r="AD13" s="294" t="s">
        <v>58</v>
      </c>
      <c r="AE13" s="294" t="s">
        <v>84</v>
      </c>
      <c r="AF13" s="294" t="s">
        <v>11</v>
      </c>
      <c r="AG13" s="294" t="s">
        <v>12</v>
      </c>
      <c r="AH13" s="294" t="s">
        <v>60</v>
      </c>
      <c r="AI13" s="294" t="s">
        <v>83</v>
      </c>
      <c r="AJ13" s="294" t="s">
        <v>13</v>
      </c>
      <c r="AK13" s="294" t="s">
        <v>14</v>
      </c>
      <c r="AL13" s="294" t="s">
        <v>24</v>
      </c>
      <c r="AM13" s="294" t="s">
        <v>82</v>
      </c>
      <c r="AN13" s="62" t="s">
        <v>22</v>
      </c>
      <c r="AO13" s="62" t="s">
        <v>22</v>
      </c>
      <c r="AP13" s="23" t="s">
        <v>19</v>
      </c>
      <c r="AQ13" s="24" t="s">
        <v>20</v>
      </c>
      <c r="AR13" s="24" t="s">
        <v>21</v>
      </c>
      <c r="AS13" s="55" t="s">
        <v>61</v>
      </c>
      <c r="AT13" s="140" t="s">
        <v>111</v>
      </c>
      <c r="AU13" s="20" t="s">
        <v>119</v>
      </c>
    </row>
    <row r="14" spans="1:52" ht="18">
      <c r="A14" s="189">
        <v>1</v>
      </c>
      <c r="B14" s="295" t="s">
        <v>236</v>
      </c>
      <c r="C14" s="295" t="s">
        <v>237</v>
      </c>
      <c r="D14" s="57">
        <v>5</v>
      </c>
      <c r="E14" s="57">
        <v>2</v>
      </c>
      <c r="F14" s="57">
        <v>10</v>
      </c>
      <c r="G14" s="57" t="s">
        <v>166</v>
      </c>
      <c r="H14" s="57">
        <v>6</v>
      </c>
      <c r="I14" s="57">
        <v>7</v>
      </c>
      <c r="J14" s="57">
        <v>6</v>
      </c>
      <c r="K14" s="57" t="s">
        <v>166</v>
      </c>
      <c r="L14" s="57">
        <v>2</v>
      </c>
      <c r="M14" s="57">
        <v>0</v>
      </c>
      <c r="N14" s="57">
        <v>5</v>
      </c>
      <c r="O14" s="57" t="s">
        <v>166</v>
      </c>
      <c r="P14" s="56">
        <v>4</v>
      </c>
      <c r="Q14" s="56">
        <v>3</v>
      </c>
      <c r="R14" s="56">
        <v>10</v>
      </c>
      <c r="S14" s="56" t="s">
        <v>166</v>
      </c>
      <c r="T14" s="56">
        <v>4</v>
      </c>
      <c r="U14" s="56">
        <v>6</v>
      </c>
      <c r="V14" s="56">
        <v>7</v>
      </c>
      <c r="W14" s="56" t="s">
        <v>166</v>
      </c>
      <c r="X14" s="56" t="s">
        <v>166</v>
      </c>
      <c r="Y14" s="56" t="s">
        <v>166</v>
      </c>
      <c r="Z14" s="56" t="s">
        <v>166</v>
      </c>
      <c r="AA14" s="56" t="s">
        <v>166</v>
      </c>
      <c r="AB14" s="290" t="s">
        <v>64</v>
      </c>
      <c r="AC14" s="290" t="s">
        <v>64</v>
      </c>
      <c r="AD14" s="290" t="s">
        <v>64</v>
      </c>
      <c r="AE14" s="290" t="s">
        <v>64</v>
      </c>
      <c r="AF14" s="290" t="s">
        <v>64</v>
      </c>
      <c r="AG14" s="290" t="s">
        <v>64</v>
      </c>
      <c r="AH14" s="290" t="s">
        <v>64</v>
      </c>
      <c r="AI14" s="290" t="s">
        <v>64</v>
      </c>
      <c r="AJ14" s="290" t="s">
        <v>64</v>
      </c>
      <c r="AK14" s="290" t="s">
        <v>64</v>
      </c>
      <c r="AL14" s="290" t="s">
        <v>64</v>
      </c>
      <c r="AM14" s="290" t="s">
        <v>64</v>
      </c>
      <c r="AN14" s="3">
        <v>5</v>
      </c>
      <c r="AO14" s="75"/>
      <c r="AP14" s="119">
        <v>9</v>
      </c>
      <c r="AQ14" s="120">
        <v>8.75</v>
      </c>
      <c r="AR14" s="119" t="s">
        <v>64</v>
      </c>
      <c r="AS14" s="118">
        <v>48</v>
      </c>
      <c r="AT14" s="118">
        <v>46</v>
      </c>
      <c r="AU14" s="3" t="s">
        <v>115</v>
      </c>
      <c r="AY14" s="191"/>
    </row>
    <row r="15" spans="1:52" ht="18">
      <c r="A15" s="189">
        <v>2</v>
      </c>
      <c r="B15" s="295" t="s">
        <v>238</v>
      </c>
      <c r="C15" s="295" t="s">
        <v>239</v>
      </c>
      <c r="D15" s="57">
        <v>4</v>
      </c>
      <c r="E15" s="57">
        <v>5</v>
      </c>
      <c r="F15" s="57">
        <v>10</v>
      </c>
      <c r="G15" s="57" t="s">
        <v>166</v>
      </c>
      <c r="H15" s="57">
        <v>6</v>
      </c>
      <c r="I15" s="57">
        <v>6</v>
      </c>
      <c r="J15" s="57">
        <v>5</v>
      </c>
      <c r="K15" s="57" t="s">
        <v>166</v>
      </c>
      <c r="L15" s="57">
        <v>5</v>
      </c>
      <c r="M15" s="57">
        <v>8</v>
      </c>
      <c r="N15" s="57">
        <v>3</v>
      </c>
      <c r="O15" s="57" t="s">
        <v>166</v>
      </c>
      <c r="P15" s="56">
        <v>3</v>
      </c>
      <c r="Q15" s="56">
        <v>6</v>
      </c>
      <c r="R15" s="56">
        <v>10</v>
      </c>
      <c r="S15" s="56" t="s">
        <v>166</v>
      </c>
      <c r="T15" s="56">
        <v>4</v>
      </c>
      <c r="U15" s="56">
        <v>6</v>
      </c>
      <c r="V15" s="56">
        <v>10</v>
      </c>
      <c r="W15" s="56" t="s">
        <v>166</v>
      </c>
      <c r="X15" s="56">
        <v>4</v>
      </c>
      <c r="Y15" s="56">
        <v>6</v>
      </c>
      <c r="Z15" s="56">
        <v>10</v>
      </c>
      <c r="AA15" s="56" t="s">
        <v>166</v>
      </c>
      <c r="AB15" s="290" t="s">
        <v>64</v>
      </c>
      <c r="AC15" s="290" t="s">
        <v>64</v>
      </c>
      <c r="AD15" s="290" t="s">
        <v>64</v>
      </c>
      <c r="AE15" s="290" t="s">
        <v>64</v>
      </c>
      <c r="AF15" s="290" t="s">
        <v>64</v>
      </c>
      <c r="AG15" s="290" t="s">
        <v>64</v>
      </c>
      <c r="AH15" s="290" t="s">
        <v>64</v>
      </c>
      <c r="AI15" s="290" t="s">
        <v>64</v>
      </c>
      <c r="AJ15" s="290" t="s">
        <v>64</v>
      </c>
      <c r="AK15" s="290" t="s">
        <v>64</v>
      </c>
      <c r="AL15" s="290" t="s">
        <v>64</v>
      </c>
      <c r="AM15" s="290" t="s">
        <v>64</v>
      </c>
      <c r="AN15" s="3">
        <v>5</v>
      </c>
      <c r="AO15" s="75"/>
      <c r="AP15" s="119">
        <v>9</v>
      </c>
      <c r="AQ15" s="120">
        <v>10</v>
      </c>
      <c r="AR15" s="119" t="s">
        <v>64</v>
      </c>
      <c r="AS15" s="118">
        <v>48</v>
      </c>
      <c r="AT15" s="118">
        <v>46.5</v>
      </c>
      <c r="AU15" s="3" t="s">
        <v>115</v>
      </c>
      <c r="AY15" s="191"/>
    </row>
    <row r="16" spans="1:52" ht="18">
      <c r="A16" s="189">
        <v>3</v>
      </c>
      <c r="B16" s="295" t="s">
        <v>240</v>
      </c>
      <c r="C16" s="295" t="s">
        <v>241</v>
      </c>
      <c r="D16" s="57">
        <v>3</v>
      </c>
      <c r="E16" s="57">
        <v>5</v>
      </c>
      <c r="F16" s="57">
        <v>8</v>
      </c>
      <c r="G16" s="57" t="s">
        <v>166</v>
      </c>
      <c r="H16" s="57">
        <v>3</v>
      </c>
      <c r="I16" s="57">
        <v>8</v>
      </c>
      <c r="J16" s="57">
        <v>6</v>
      </c>
      <c r="K16" s="57" t="s">
        <v>166</v>
      </c>
      <c r="L16" s="57">
        <v>4</v>
      </c>
      <c r="M16" s="57">
        <v>10</v>
      </c>
      <c r="N16" s="57">
        <v>5</v>
      </c>
      <c r="O16" s="57" t="s">
        <v>166</v>
      </c>
      <c r="P16" s="56">
        <v>4</v>
      </c>
      <c r="Q16" s="56">
        <v>6</v>
      </c>
      <c r="R16" s="56">
        <v>9</v>
      </c>
      <c r="S16" s="56" t="s">
        <v>166</v>
      </c>
      <c r="T16" s="56">
        <v>3</v>
      </c>
      <c r="U16" s="56">
        <v>6</v>
      </c>
      <c r="V16" s="56">
        <v>9</v>
      </c>
      <c r="W16" s="56" t="s">
        <v>166</v>
      </c>
      <c r="X16" s="56" t="s">
        <v>166</v>
      </c>
      <c r="Y16" s="56" t="s">
        <v>166</v>
      </c>
      <c r="Z16" s="56" t="s">
        <v>166</v>
      </c>
      <c r="AA16" s="56" t="s">
        <v>166</v>
      </c>
      <c r="AB16" s="290" t="s">
        <v>64</v>
      </c>
      <c r="AC16" s="290" t="s">
        <v>64</v>
      </c>
      <c r="AD16" s="290" t="s">
        <v>64</v>
      </c>
      <c r="AE16" s="290" t="s">
        <v>64</v>
      </c>
      <c r="AF16" s="290" t="s">
        <v>64</v>
      </c>
      <c r="AG16" s="290" t="s">
        <v>64</v>
      </c>
      <c r="AH16" s="290" t="s">
        <v>64</v>
      </c>
      <c r="AI16" s="290" t="s">
        <v>64</v>
      </c>
      <c r="AJ16" s="290" t="s">
        <v>64</v>
      </c>
      <c r="AK16" s="290" t="s">
        <v>64</v>
      </c>
      <c r="AL16" s="290" t="s">
        <v>64</v>
      </c>
      <c r="AM16" s="290" t="s">
        <v>64</v>
      </c>
      <c r="AN16" s="3">
        <v>4.75</v>
      </c>
      <c r="AO16" s="75"/>
      <c r="AP16" s="119">
        <v>9</v>
      </c>
      <c r="AQ16" s="120">
        <v>9.25</v>
      </c>
      <c r="AR16" s="119" t="s">
        <v>64</v>
      </c>
      <c r="AS16" s="118">
        <v>47</v>
      </c>
      <c r="AT16" s="118">
        <v>46.5</v>
      </c>
      <c r="AU16" s="3" t="s">
        <v>115</v>
      </c>
      <c r="AV16" s="17"/>
      <c r="AW16" s="134"/>
      <c r="AY16" s="191"/>
      <c r="AZ16" s="17"/>
    </row>
    <row r="17" spans="1:52" ht="18">
      <c r="A17" s="189">
        <v>4</v>
      </c>
      <c r="B17" s="295" t="s">
        <v>242</v>
      </c>
      <c r="C17" s="295" t="s">
        <v>243</v>
      </c>
      <c r="D17" s="57">
        <v>4</v>
      </c>
      <c r="E17" s="57">
        <v>5</v>
      </c>
      <c r="F17" s="57">
        <v>7</v>
      </c>
      <c r="G17" s="57" t="s">
        <v>166</v>
      </c>
      <c r="H17" s="57" t="s">
        <v>166</v>
      </c>
      <c r="I17" s="57" t="s">
        <v>166</v>
      </c>
      <c r="J17" s="57" t="s">
        <v>166</v>
      </c>
      <c r="K17" s="57" t="s">
        <v>166</v>
      </c>
      <c r="L17" s="57">
        <v>4</v>
      </c>
      <c r="M17" s="57">
        <v>9</v>
      </c>
      <c r="N17" s="57">
        <v>2</v>
      </c>
      <c r="O17" s="57" t="s">
        <v>166</v>
      </c>
      <c r="P17" s="56" t="s">
        <v>64</v>
      </c>
      <c r="Q17" s="56" t="s">
        <v>64</v>
      </c>
      <c r="R17" s="56" t="s">
        <v>64</v>
      </c>
      <c r="S17" s="56" t="s">
        <v>64</v>
      </c>
      <c r="T17" s="56" t="s">
        <v>64</v>
      </c>
      <c r="U17" s="56" t="s">
        <v>64</v>
      </c>
      <c r="V17" s="56" t="s">
        <v>64</v>
      </c>
      <c r="W17" s="56" t="s">
        <v>64</v>
      </c>
      <c r="X17" s="56" t="s">
        <v>64</v>
      </c>
      <c r="Y17" s="56" t="s">
        <v>64</v>
      </c>
      <c r="Z17" s="56" t="s">
        <v>64</v>
      </c>
      <c r="AA17" s="56" t="s">
        <v>64</v>
      </c>
      <c r="AB17" s="290" t="s">
        <v>166</v>
      </c>
      <c r="AC17" s="290">
        <v>5</v>
      </c>
      <c r="AD17" s="290">
        <v>1</v>
      </c>
      <c r="AE17" s="290" t="s">
        <v>166</v>
      </c>
      <c r="AF17" s="290">
        <v>3</v>
      </c>
      <c r="AG17" s="290">
        <v>2</v>
      </c>
      <c r="AH17" s="290">
        <v>8</v>
      </c>
      <c r="AI17" s="290" t="s">
        <v>166</v>
      </c>
      <c r="AJ17" s="290" t="s">
        <v>166</v>
      </c>
      <c r="AK17" s="290">
        <v>0</v>
      </c>
      <c r="AL17" s="290">
        <v>8</v>
      </c>
      <c r="AM17" s="290" t="s">
        <v>166</v>
      </c>
      <c r="AN17" s="3">
        <v>5</v>
      </c>
      <c r="AO17" s="75"/>
      <c r="AP17" s="119">
        <v>7.75</v>
      </c>
      <c r="AQ17" s="120" t="s">
        <v>64</v>
      </c>
      <c r="AR17" s="119">
        <v>5.25</v>
      </c>
      <c r="AS17" s="118">
        <v>40</v>
      </c>
      <c r="AT17" s="118">
        <v>37</v>
      </c>
      <c r="AU17" s="3" t="s">
        <v>112</v>
      </c>
      <c r="AV17" s="142"/>
      <c r="AW17" s="129"/>
      <c r="AY17" s="191"/>
      <c r="AZ17" s="17"/>
    </row>
    <row r="18" spans="1:52" ht="18">
      <c r="A18" s="189">
        <v>5</v>
      </c>
      <c r="B18" s="295" t="s">
        <v>244</v>
      </c>
      <c r="C18" s="295" t="s">
        <v>245</v>
      </c>
      <c r="D18" s="57">
        <v>4</v>
      </c>
      <c r="E18" s="57">
        <v>3</v>
      </c>
      <c r="F18" s="57">
        <v>8</v>
      </c>
      <c r="G18" s="57" t="s">
        <v>166</v>
      </c>
      <c r="H18" s="57" t="s">
        <v>166</v>
      </c>
      <c r="I18" s="57" t="s">
        <v>166</v>
      </c>
      <c r="J18" s="57" t="s">
        <v>166</v>
      </c>
      <c r="K18" s="57" t="s">
        <v>166</v>
      </c>
      <c r="L18" s="57">
        <v>4</v>
      </c>
      <c r="M18" s="57">
        <v>7</v>
      </c>
      <c r="N18" s="57">
        <v>5</v>
      </c>
      <c r="O18" s="57" t="s">
        <v>166</v>
      </c>
      <c r="P18" s="56">
        <v>4</v>
      </c>
      <c r="Q18" s="56">
        <v>3</v>
      </c>
      <c r="R18" s="56">
        <v>8</v>
      </c>
      <c r="S18" s="56" t="s">
        <v>166</v>
      </c>
      <c r="T18" s="56" t="s">
        <v>166</v>
      </c>
      <c r="U18" s="56" t="s">
        <v>166</v>
      </c>
      <c r="V18" s="56" t="s">
        <v>166</v>
      </c>
      <c r="W18" s="56" t="s">
        <v>166</v>
      </c>
      <c r="X18" s="56">
        <v>4</v>
      </c>
      <c r="Y18" s="56">
        <v>6</v>
      </c>
      <c r="Z18" s="56">
        <v>7</v>
      </c>
      <c r="AA18" s="56" t="s">
        <v>166</v>
      </c>
      <c r="AB18" s="290" t="s">
        <v>64</v>
      </c>
      <c r="AC18" s="290" t="s">
        <v>64</v>
      </c>
      <c r="AD18" s="290" t="s">
        <v>64</v>
      </c>
      <c r="AE18" s="290" t="s">
        <v>64</v>
      </c>
      <c r="AF18" s="290" t="s">
        <v>64</v>
      </c>
      <c r="AG18" s="290" t="s">
        <v>64</v>
      </c>
      <c r="AH18" s="290" t="s">
        <v>64</v>
      </c>
      <c r="AI18" s="290" t="s">
        <v>64</v>
      </c>
      <c r="AJ18" s="290" t="s">
        <v>64</v>
      </c>
      <c r="AK18" s="290" t="s">
        <v>64</v>
      </c>
      <c r="AL18" s="290" t="s">
        <v>64</v>
      </c>
      <c r="AM18" s="290" t="s">
        <v>64</v>
      </c>
      <c r="AN18" s="3">
        <v>4.25</v>
      </c>
      <c r="AO18" s="75"/>
      <c r="AP18" s="119">
        <v>7.75</v>
      </c>
      <c r="AQ18" s="120">
        <v>8</v>
      </c>
      <c r="AR18" s="119" t="s">
        <v>64</v>
      </c>
      <c r="AS18" s="118">
        <v>45</v>
      </c>
      <c r="AT18" s="118">
        <v>25.5</v>
      </c>
      <c r="AU18" s="3" t="s">
        <v>113</v>
      </c>
      <c r="AV18" s="142"/>
      <c r="AW18" s="129"/>
      <c r="AY18" s="191"/>
      <c r="AZ18" s="17"/>
    </row>
    <row r="19" spans="1:52" ht="18">
      <c r="A19" s="189">
        <v>6</v>
      </c>
      <c r="B19" s="295" t="s">
        <v>246</v>
      </c>
      <c r="C19" s="295" t="s">
        <v>247</v>
      </c>
      <c r="D19" s="57">
        <v>4</v>
      </c>
      <c r="E19" s="57">
        <v>5</v>
      </c>
      <c r="F19" s="57">
        <v>7</v>
      </c>
      <c r="G19" s="57" t="s">
        <v>166</v>
      </c>
      <c r="H19" s="57">
        <v>2</v>
      </c>
      <c r="I19" s="57">
        <v>8</v>
      </c>
      <c r="J19" s="57">
        <v>0</v>
      </c>
      <c r="K19" s="57" t="s">
        <v>166</v>
      </c>
      <c r="L19" s="57" t="s">
        <v>166</v>
      </c>
      <c r="M19" s="57" t="s">
        <v>166</v>
      </c>
      <c r="N19" s="57" t="s">
        <v>166</v>
      </c>
      <c r="O19" s="57" t="s">
        <v>166</v>
      </c>
      <c r="P19" s="56" t="s">
        <v>64</v>
      </c>
      <c r="Q19" s="56" t="s">
        <v>64</v>
      </c>
      <c r="R19" s="56" t="s">
        <v>64</v>
      </c>
      <c r="S19" s="56" t="s">
        <v>64</v>
      </c>
      <c r="T19" s="56" t="s">
        <v>64</v>
      </c>
      <c r="U19" s="56" t="s">
        <v>64</v>
      </c>
      <c r="V19" s="56" t="s">
        <v>64</v>
      </c>
      <c r="W19" s="56" t="s">
        <v>64</v>
      </c>
      <c r="X19" s="56" t="s">
        <v>64</v>
      </c>
      <c r="Y19" s="56" t="s">
        <v>64</v>
      </c>
      <c r="Z19" s="56" t="s">
        <v>64</v>
      </c>
      <c r="AA19" s="56" t="s">
        <v>64</v>
      </c>
      <c r="AB19" s="290">
        <v>4</v>
      </c>
      <c r="AC19" s="290">
        <v>4</v>
      </c>
      <c r="AD19" s="290">
        <v>4</v>
      </c>
      <c r="AE19" s="290" t="s">
        <v>166</v>
      </c>
      <c r="AF19" s="290">
        <v>6</v>
      </c>
      <c r="AG19" s="290">
        <v>6</v>
      </c>
      <c r="AH19" s="290">
        <v>2</v>
      </c>
      <c r="AI19" s="290" t="s">
        <v>166</v>
      </c>
      <c r="AJ19" s="290" t="s">
        <v>166</v>
      </c>
      <c r="AK19" s="290" t="s">
        <v>166</v>
      </c>
      <c r="AL19" s="290" t="s">
        <v>166</v>
      </c>
      <c r="AM19" s="290" t="s">
        <v>166</v>
      </c>
      <c r="AN19" s="3">
        <v>5</v>
      </c>
      <c r="AO19" s="75"/>
      <c r="AP19" s="119">
        <v>6.5</v>
      </c>
      <c r="AQ19" s="120" t="s">
        <v>64</v>
      </c>
      <c r="AR19" s="119">
        <v>6.5</v>
      </c>
      <c r="AS19" s="118">
        <v>42</v>
      </c>
      <c r="AT19" s="118">
        <v>35.5</v>
      </c>
      <c r="AU19" s="3" t="s">
        <v>112</v>
      </c>
      <c r="AV19" s="142"/>
      <c r="AW19" s="17"/>
      <c r="AY19" s="191"/>
      <c r="AZ19" s="17"/>
    </row>
    <row r="20" spans="1:52" ht="18">
      <c r="A20" s="189">
        <v>7</v>
      </c>
      <c r="B20" s="295" t="s">
        <v>248</v>
      </c>
      <c r="C20" s="295" t="s">
        <v>249</v>
      </c>
      <c r="D20" s="57" t="s">
        <v>64</v>
      </c>
      <c r="E20" s="57" t="s">
        <v>64</v>
      </c>
      <c r="F20" s="57" t="s">
        <v>64</v>
      </c>
      <c r="G20" s="57" t="s">
        <v>64</v>
      </c>
      <c r="H20" s="57" t="s">
        <v>64</v>
      </c>
      <c r="I20" s="57" t="s">
        <v>64</v>
      </c>
      <c r="J20" s="57" t="s">
        <v>64</v>
      </c>
      <c r="K20" s="57" t="s">
        <v>64</v>
      </c>
      <c r="L20" s="57" t="s">
        <v>64</v>
      </c>
      <c r="M20" s="57" t="s">
        <v>64</v>
      </c>
      <c r="N20" s="57" t="s">
        <v>64</v>
      </c>
      <c r="O20" s="57" t="s">
        <v>64</v>
      </c>
      <c r="P20" s="56" t="s">
        <v>166</v>
      </c>
      <c r="Q20" s="56" t="s">
        <v>166</v>
      </c>
      <c r="R20" s="56" t="s">
        <v>166</v>
      </c>
      <c r="S20" s="56" t="s">
        <v>166</v>
      </c>
      <c r="T20" s="56">
        <v>4</v>
      </c>
      <c r="U20" s="56">
        <v>6</v>
      </c>
      <c r="V20" s="56">
        <v>10</v>
      </c>
      <c r="W20" s="56" t="s">
        <v>166</v>
      </c>
      <c r="X20" s="56">
        <v>2</v>
      </c>
      <c r="Y20" s="56">
        <v>6</v>
      </c>
      <c r="Z20" s="56">
        <v>7</v>
      </c>
      <c r="AA20" s="56" t="s">
        <v>166</v>
      </c>
      <c r="AB20" s="290">
        <v>6</v>
      </c>
      <c r="AC20" s="290">
        <v>6</v>
      </c>
      <c r="AD20" s="290">
        <v>7</v>
      </c>
      <c r="AE20" s="290" t="s">
        <v>166</v>
      </c>
      <c r="AF20" s="290">
        <v>6</v>
      </c>
      <c r="AG20" s="290">
        <v>5</v>
      </c>
      <c r="AH20" s="290">
        <v>7</v>
      </c>
      <c r="AI20" s="290" t="s">
        <v>166</v>
      </c>
      <c r="AJ20" s="290" t="s">
        <v>166</v>
      </c>
      <c r="AK20" s="290" t="s">
        <v>166</v>
      </c>
      <c r="AL20" s="290" t="s">
        <v>166</v>
      </c>
      <c r="AM20" s="290" t="s">
        <v>166</v>
      </c>
      <c r="AN20" s="3">
        <v>4.75</v>
      </c>
      <c r="AO20" s="75"/>
      <c r="AP20" s="119" t="s">
        <v>64</v>
      </c>
      <c r="AQ20" s="120">
        <v>8.75</v>
      </c>
      <c r="AR20" s="119">
        <v>9.25</v>
      </c>
      <c r="AS20" s="118">
        <v>47</v>
      </c>
      <c r="AT20" s="118">
        <v>40</v>
      </c>
      <c r="AU20" s="3" t="s">
        <v>112</v>
      </c>
      <c r="AV20" s="142"/>
      <c r="AY20" s="191"/>
    </row>
    <row r="21" spans="1:52" ht="18">
      <c r="A21" s="189">
        <v>8</v>
      </c>
      <c r="B21" s="295" t="s">
        <v>250</v>
      </c>
      <c r="C21" s="295" t="s">
        <v>251</v>
      </c>
      <c r="D21" s="57">
        <v>4</v>
      </c>
      <c r="E21" s="57">
        <v>3</v>
      </c>
      <c r="F21" s="57">
        <v>8</v>
      </c>
      <c r="G21" s="57" t="s">
        <v>166</v>
      </c>
      <c r="H21" s="57" t="s">
        <v>166</v>
      </c>
      <c r="I21" s="57" t="s">
        <v>166</v>
      </c>
      <c r="J21" s="57" t="s">
        <v>166</v>
      </c>
      <c r="K21" s="57" t="s">
        <v>166</v>
      </c>
      <c r="L21" s="57">
        <v>4</v>
      </c>
      <c r="M21" s="57">
        <v>8</v>
      </c>
      <c r="N21" s="57">
        <v>5</v>
      </c>
      <c r="O21" s="57" t="s">
        <v>166</v>
      </c>
      <c r="P21" s="56" t="s">
        <v>166</v>
      </c>
      <c r="Q21" s="56" t="s">
        <v>166</v>
      </c>
      <c r="R21" s="56" t="s">
        <v>166</v>
      </c>
      <c r="S21" s="56" t="s">
        <v>166</v>
      </c>
      <c r="T21" s="56">
        <v>4</v>
      </c>
      <c r="U21" s="56">
        <v>6</v>
      </c>
      <c r="V21" s="56">
        <v>10</v>
      </c>
      <c r="W21" s="56" t="s">
        <v>166</v>
      </c>
      <c r="X21" s="56">
        <v>4</v>
      </c>
      <c r="Y21" s="56">
        <v>6</v>
      </c>
      <c r="Z21" s="56">
        <v>7</v>
      </c>
      <c r="AA21" s="56" t="s">
        <v>166</v>
      </c>
      <c r="AB21" s="290" t="s">
        <v>64</v>
      </c>
      <c r="AC21" s="290" t="s">
        <v>64</v>
      </c>
      <c r="AD21" s="290" t="s">
        <v>64</v>
      </c>
      <c r="AE21" s="290" t="s">
        <v>64</v>
      </c>
      <c r="AF21" s="290" t="s">
        <v>64</v>
      </c>
      <c r="AG21" s="290" t="s">
        <v>64</v>
      </c>
      <c r="AH21" s="290" t="s">
        <v>64</v>
      </c>
      <c r="AI21" s="290" t="s">
        <v>64</v>
      </c>
      <c r="AJ21" s="290" t="s">
        <v>64</v>
      </c>
      <c r="AK21" s="290" t="s">
        <v>64</v>
      </c>
      <c r="AL21" s="290" t="s">
        <v>64</v>
      </c>
      <c r="AM21" s="290" t="s">
        <v>64</v>
      </c>
      <c r="AN21" s="3">
        <v>4.5</v>
      </c>
      <c r="AO21" s="75"/>
      <c r="AP21" s="119">
        <v>8</v>
      </c>
      <c r="AQ21" s="120">
        <v>9.25</v>
      </c>
      <c r="AR21" s="119" t="s">
        <v>64</v>
      </c>
      <c r="AS21" s="118">
        <v>47</v>
      </c>
      <c r="AT21" s="118">
        <v>42</v>
      </c>
      <c r="AU21" s="3" t="s">
        <v>112</v>
      </c>
      <c r="AV21" s="142"/>
      <c r="AY21" s="191"/>
    </row>
    <row r="22" spans="1:52" ht="18">
      <c r="A22" s="189">
        <v>9</v>
      </c>
      <c r="B22" s="295" t="s">
        <v>252</v>
      </c>
      <c r="C22" s="295" t="s">
        <v>253</v>
      </c>
      <c r="D22" s="57">
        <v>4</v>
      </c>
      <c r="E22" s="57">
        <v>5</v>
      </c>
      <c r="F22" s="57">
        <v>10</v>
      </c>
      <c r="G22" s="57" t="s">
        <v>166</v>
      </c>
      <c r="H22" s="57" t="s">
        <v>166</v>
      </c>
      <c r="I22" s="57" t="s">
        <v>166</v>
      </c>
      <c r="J22" s="57" t="s">
        <v>166</v>
      </c>
      <c r="K22" s="57" t="s">
        <v>166</v>
      </c>
      <c r="L22" s="57">
        <v>5</v>
      </c>
      <c r="M22" s="57">
        <v>10</v>
      </c>
      <c r="N22" s="57">
        <v>5</v>
      </c>
      <c r="O22" s="57" t="s">
        <v>166</v>
      </c>
      <c r="P22" s="56">
        <v>4</v>
      </c>
      <c r="Q22" s="56">
        <v>6</v>
      </c>
      <c r="R22" s="56">
        <v>10</v>
      </c>
      <c r="S22" s="56" t="s">
        <v>166</v>
      </c>
      <c r="T22" s="56">
        <v>4</v>
      </c>
      <c r="U22" s="56">
        <v>6</v>
      </c>
      <c r="V22" s="56">
        <v>10</v>
      </c>
      <c r="W22" s="56" t="s">
        <v>166</v>
      </c>
      <c r="X22" s="56" t="s">
        <v>166</v>
      </c>
      <c r="Y22" s="56" t="s">
        <v>166</v>
      </c>
      <c r="Z22" s="56" t="s">
        <v>166</v>
      </c>
      <c r="AA22" s="56" t="s">
        <v>166</v>
      </c>
      <c r="AB22" s="290" t="s">
        <v>64</v>
      </c>
      <c r="AC22" s="290" t="s">
        <v>64</v>
      </c>
      <c r="AD22" s="290" t="s">
        <v>64</v>
      </c>
      <c r="AE22" s="290" t="s">
        <v>64</v>
      </c>
      <c r="AF22" s="290" t="s">
        <v>64</v>
      </c>
      <c r="AG22" s="290" t="s">
        <v>64</v>
      </c>
      <c r="AH22" s="290" t="s">
        <v>64</v>
      </c>
      <c r="AI22" s="290" t="s">
        <v>64</v>
      </c>
      <c r="AJ22" s="290" t="s">
        <v>64</v>
      </c>
      <c r="AK22" s="290" t="s">
        <v>64</v>
      </c>
      <c r="AL22" s="290" t="s">
        <v>64</v>
      </c>
      <c r="AM22" s="290" t="s">
        <v>64</v>
      </c>
      <c r="AN22" s="3">
        <v>5</v>
      </c>
      <c r="AO22" s="75"/>
      <c r="AP22" s="119">
        <v>9.75</v>
      </c>
      <c r="AQ22" s="120">
        <v>10</v>
      </c>
      <c r="AR22" s="119" t="s">
        <v>64</v>
      </c>
      <c r="AS22" s="118">
        <v>50</v>
      </c>
      <c r="AT22" s="118">
        <v>42</v>
      </c>
      <c r="AU22" s="3" t="s">
        <v>115</v>
      </c>
      <c r="AV22" s="142"/>
      <c r="AY22" s="191"/>
    </row>
    <row r="23" spans="1:52" ht="18">
      <c r="A23" s="189">
        <v>10</v>
      </c>
      <c r="B23" s="295" t="s">
        <v>254</v>
      </c>
      <c r="C23" s="295" t="s">
        <v>255</v>
      </c>
      <c r="D23" s="57">
        <v>4</v>
      </c>
      <c r="E23" s="57">
        <v>5</v>
      </c>
      <c r="F23" s="57">
        <v>9</v>
      </c>
      <c r="G23" s="57" t="s">
        <v>166</v>
      </c>
      <c r="H23" s="57" t="s">
        <v>166</v>
      </c>
      <c r="I23" s="57" t="s">
        <v>166</v>
      </c>
      <c r="J23" s="57" t="s">
        <v>166</v>
      </c>
      <c r="K23" s="57" t="s">
        <v>166</v>
      </c>
      <c r="L23" s="57">
        <v>5</v>
      </c>
      <c r="M23" s="57">
        <v>10</v>
      </c>
      <c r="N23" s="57">
        <v>5</v>
      </c>
      <c r="O23" s="57" t="s">
        <v>166</v>
      </c>
      <c r="P23" s="56" t="s">
        <v>64</v>
      </c>
      <c r="Q23" s="56" t="s">
        <v>64</v>
      </c>
      <c r="R23" s="56" t="s">
        <v>64</v>
      </c>
      <c r="S23" s="56" t="s">
        <v>64</v>
      </c>
      <c r="T23" s="56" t="s">
        <v>64</v>
      </c>
      <c r="U23" s="56" t="s">
        <v>64</v>
      </c>
      <c r="V23" s="56" t="s">
        <v>64</v>
      </c>
      <c r="W23" s="56" t="s">
        <v>64</v>
      </c>
      <c r="X23" s="56" t="s">
        <v>64</v>
      </c>
      <c r="Y23" s="56" t="s">
        <v>64</v>
      </c>
      <c r="Z23" s="56" t="s">
        <v>64</v>
      </c>
      <c r="AA23" s="56" t="s">
        <v>64</v>
      </c>
      <c r="AB23" s="290">
        <v>6</v>
      </c>
      <c r="AC23" s="290">
        <v>4</v>
      </c>
      <c r="AD23" s="290">
        <v>4</v>
      </c>
      <c r="AE23" s="290" t="s">
        <v>166</v>
      </c>
      <c r="AF23" s="290">
        <v>6</v>
      </c>
      <c r="AG23" s="290">
        <v>6</v>
      </c>
      <c r="AH23" s="290">
        <v>4</v>
      </c>
      <c r="AI23" s="290" t="s">
        <v>166</v>
      </c>
      <c r="AJ23" s="290" t="s">
        <v>166</v>
      </c>
      <c r="AK23" s="290" t="s">
        <v>166</v>
      </c>
      <c r="AL23" s="290" t="s">
        <v>166</v>
      </c>
      <c r="AM23" s="290" t="s">
        <v>166</v>
      </c>
      <c r="AN23" s="3">
        <v>4.5</v>
      </c>
      <c r="AO23" s="75"/>
      <c r="AP23" s="119">
        <v>9.5</v>
      </c>
      <c r="AQ23" s="120" t="s">
        <v>64</v>
      </c>
      <c r="AR23" s="119">
        <v>7.5</v>
      </c>
      <c r="AS23" s="118">
        <v>45</v>
      </c>
      <c r="AT23" s="118">
        <v>29.5</v>
      </c>
      <c r="AU23" s="3" t="s">
        <v>112</v>
      </c>
      <c r="AV23" s="142"/>
      <c r="AY23" s="191"/>
    </row>
    <row r="24" spans="1:52" ht="18">
      <c r="A24" s="189">
        <v>11</v>
      </c>
      <c r="B24" s="295" t="s">
        <v>256</v>
      </c>
      <c r="C24" s="295" t="s">
        <v>257</v>
      </c>
      <c r="D24" s="57">
        <v>5</v>
      </c>
      <c r="E24" s="57">
        <v>5</v>
      </c>
      <c r="F24" s="57">
        <v>9</v>
      </c>
      <c r="G24" s="57" t="s">
        <v>166</v>
      </c>
      <c r="H24" s="57" t="s">
        <v>166</v>
      </c>
      <c r="I24" s="57" t="s">
        <v>166</v>
      </c>
      <c r="J24" s="57" t="s">
        <v>166</v>
      </c>
      <c r="K24" s="57" t="s">
        <v>166</v>
      </c>
      <c r="L24" s="57">
        <v>5</v>
      </c>
      <c r="M24" s="57">
        <v>10</v>
      </c>
      <c r="N24" s="57">
        <v>5</v>
      </c>
      <c r="O24" s="57" t="s">
        <v>166</v>
      </c>
      <c r="P24" s="56">
        <v>4</v>
      </c>
      <c r="Q24" s="56">
        <v>6</v>
      </c>
      <c r="R24" s="56">
        <v>10</v>
      </c>
      <c r="S24" s="56" t="s">
        <v>166</v>
      </c>
      <c r="T24" s="56">
        <v>4</v>
      </c>
      <c r="U24" s="56">
        <v>6</v>
      </c>
      <c r="V24" s="56">
        <v>10</v>
      </c>
      <c r="W24" s="56" t="s">
        <v>166</v>
      </c>
      <c r="X24" s="56" t="s">
        <v>166</v>
      </c>
      <c r="Y24" s="56" t="s">
        <v>166</v>
      </c>
      <c r="Z24" s="56" t="s">
        <v>166</v>
      </c>
      <c r="AA24" s="56" t="s">
        <v>166</v>
      </c>
      <c r="AB24" s="290" t="s">
        <v>64</v>
      </c>
      <c r="AC24" s="290" t="s">
        <v>64</v>
      </c>
      <c r="AD24" s="290" t="s">
        <v>64</v>
      </c>
      <c r="AE24" s="290" t="s">
        <v>64</v>
      </c>
      <c r="AF24" s="290" t="s">
        <v>64</v>
      </c>
      <c r="AG24" s="290" t="s">
        <v>64</v>
      </c>
      <c r="AH24" s="290" t="s">
        <v>64</v>
      </c>
      <c r="AI24" s="290" t="s">
        <v>64</v>
      </c>
      <c r="AJ24" s="290" t="s">
        <v>64</v>
      </c>
      <c r="AK24" s="290" t="s">
        <v>64</v>
      </c>
      <c r="AL24" s="290" t="s">
        <v>64</v>
      </c>
      <c r="AM24" s="290" t="s">
        <v>64</v>
      </c>
      <c r="AN24" s="3">
        <v>5</v>
      </c>
      <c r="AO24" s="75"/>
      <c r="AP24" s="119">
        <v>9.75</v>
      </c>
      <c r="AQ24" s="120">
        <v>10</v>
      </c>
      <c r="AR24" s="119" t="s">
        <v>64</v>
      </c>
      <c r="AS24" s="118">
        <v>50</v>
      </c>
      <c r="AT24" s="118">
        <v>44.5</v>
      </c>
      <c r="AU24" s="3" t="s">
        <v>115</v>
      </c>
      <c r="AV24" s="142"/>
      <c r="AY24" s="191"/>
    </row>
    <row r="25" spans="1:52" ht="18">
      <c r="A25" s="189">
        <v>12</v>
      </c>
      <c r="B25" s="295" t="s">
        <v>258</v>
      </c>
      <c r="C25" s="295" t="s">
        <v>259</v>
      </c>
      <c r="D25" s="57">
        <v>4</v>
      </c>
      <c r="E25" s="57">
        <v>5</v>
      </c>
      <c r="F25" s="57">
        <v>8</v>
      </c>
      <c r="G25" s="57" t="s">
        <v>166</v>
      </c>
      <c r="H25" s="57" t="s">
        <v>166</v>
      </c>
      <c r="I25" s="57" t="s">
        <v>166</v>
      </c>
      <c r="J25" s="57" t="s">
        <v>166</v>
      </c>
      <c r="K25" s="57" t="s">
        <v>166</v>
      </c>
      <c r="L25" s="57">
        <v>6</v>
      </c>
      <c r="M25" s="57">
        <v>8</v>
      </c>
      <c r="N25" s="57">
        <v>6</v>
      </c>
      <c r="O25" s="57" t="s">
        <v>166</v>
      </c>
      <c r="P25" s="56" t="s">
        <v>64</v>
      </c>
      <c r="Q25" s="56" t="s">
        <v>64</v>
      </c>
      <c r="R25" s="56" t="s">
        <v>64</v>
      </c>
      <c r="S25" s="56" t="s">
        <v>64</v>
      </c>
      <c r="T25" s="56" t="s">
        <v>64</v>
      </c>
      <c r="U25" s="56" t="s">
        <v>64</v>
      </c>
      <c r="V25" s="56" t="s">
        <v>64</v>
      </c>
      <c r="W25" s="56" t="s">
        <v>64</v>
      </c>
      <c r="X25" s="56" t="s">
        <v>64</v>
      </c>
      <c r="Y25" s="56" t="s">
        <v>64</v>
      </c>
      <c r="Z25" s="56" t="s">
        <v>64</v>
      </c>
      <c r="AA25" s="56" t="s">
        <v>64</v>
      </c>
      <c r="AB25" s="290" t="s">
        <v>166</v>
      </c>
      <c r="AC25" s="290" t="s">
        <v>166</v>
      </c>
      <c r="AD25" s="290" t="s">
        <v>166</v>
      </c>
      <c r="AE25" s="290" t="s">
        <v>166</v>
      </c>
      <c r="AF25" s="290">
        <v>6</v>
      </c>
      <c r="AG25" s="290">
        <v>5</v>
      </c>
      <c r="AH25" s="290">
        <v>8</v>
      </c>
      <c r="AI25" s="290" t="s">
        <v>166</v>
      </c>
      <c r="AJ25" s="290">
        <v>6</v>
      </c>
      <c r="AK25" s="290">
        <v>6</v>
      </c>
      <c r="AL25" s="290">
        <v>3</v>
      </c>
      <c r="AM25" s="290" t="s">
        <v>166</v>
      </c>
      <c r="AN25" s="3">
        <v>5</v>
      </c>
      <c r="AO25" s="75"/>
      <c r="AP25" s="119">
        <v>9.25</v>
      </c>
      <c r="AQ25" s="120" t="s">
        <v>64</v>
      </c>
      <c r="AR25" s="119">
        <v>8.5</v>
      </c>
      <c r="AS25" s="118">
        <v>47</v>
      </c>
      <c r="AT25" s="118">
        <v>38.5</v>
      </c>
      <c r="AU25" s="3" t="s">
        <v>112</v>
      </c>
      <c r="AV25" s="190"/>
      <c r="AW25" s="134"/>
      <c r="AY25" s="191"/>
    </row>
    <row r="26" spans="1:52" ht="18">
      <c r="A26" s="189">
        <v>13</v>
      </c>
      <c r="B26" s="295" t="s">
        <v>260</v>
      </c>
      <c r="C26" s="295" t="s">
        <v>261</v>
      </c>
      <c r="D26" s="57">
        <v>4</v>
      </c>
      <c r="E26" s="57">
        <v>5</v>
      </c>
      <c r="F26" s="57">
        <v>9</v>
      </c>
      <c r="G26" s="57" t="s">
        <v>166</v>
      </c>
      <c r="H26" s="57" t="s">
        <v>166</v>
      </c>
      <c r="I26" s="57" t="s">
        <v>166</v>
      </c>
      <c r="J26" s="57" t="s">
        <v>166</v>
      </c>
      <c r="K26" s="57" t="s">
        <v>166</v>
      </c>
      <c r="L26" s="57">
        <v>6</v>
      </c>
      <c r="M26" s="57">
        <v>8</v>
      </c>
      <c r="N26" s="57">
        <v>6</v>
      </c>
      <c r="O26" s="57" t="s">
        <v>166</v>
      </c>
      <c r="P26" s="56">
        <v>4</v>
      </c>
      <c r="Q26" s="56">
        <v>6</v>
      </c>
      <c r="R26" s="56">
        <v>10</v>
      </c>
      <c r="S26" s="56" t="s">
        <v>166</v>
      </c>
      <c r="T26" s="56">
        <v>4</v>
      </c>
      <c r="U26" s="56">
        <v>6</v>
      </c>
      <c r="V26" s="56">
        <v>9</v>
      </c>
      <c r="W26" s="56" t="s">
        <v>166</v>
      </c>
      <c r="X26" s="56" t="s">
        <v>166</v>
      </c>
      <c r="Y26" s="56" t="s">
        <v>166</v>
      </c>
      <c r="Z26" s="56" t="s">
        <v>166</v>
      </c>
      <c r="AA26" s="56" t="s">
        <v>166</v>
      </c>
      <c r="AB26" s="290" t="s">
        <v>64</v>
      </c>
      <c r="AC26" s="290" t="s">
        <v>64</v>
      </c>
      <c r="AD26" s="290" t="s">
        <v>64</v>
      </c>
      <c r="AE26" s="290" t="s">
        <v>64</v>
      </c>
      <c r="AF26" s="290" t="s">
        <v>64</v>
      </c>
      <c r="AG26" s="290" t="s">
        <v>64</v>
      </c>
      <c r="AH26" s="290" t="s">
        <v>64</v>
      </c>
      <c r="AI26" s="290" t="s">
        <v>64</v>
      </c>
      <c r="AJ26" s="290" t="s">
        <v>64</v>
      </c>
      <c r="AK26" s="290" t="s">
        <v>64</v>
      </c>
      <c r="AL26" s="290" t="s">
        <v>64</v>
      </c>
      <c r="AM26" s="290" t="s">
        <v>64</v>
      </c>
      <c r="AN26" s="3">
        <v>4.75</v>
      </c>
      <c r="AO26" s="75"/>
      <c r="AP26" s="119">
        <v>9.5</v>
      </c>
      <c r="AQ26" s="120">
        <v>9.75</v>
      </c>
      <c r="AR26" s="119" t="s">
        <v>64</v>
      </c>
      <c r="AS26" s="118">
        <v>49</v>
      </c>
      <c r="AT26" s="118">
        <v>45.5</v>
      </c>
      <c r="AU26" s="3" t="s">
        <v>115</v>
      </c>
      <c r="AV26" s="129"/>
      <c r="AW26" s="129"/>
      <c r="AY26" s="191"/>
    </row>
    <row r="27" spans="1:52" ht="18">
      <c r="A27" s="189">
        <v>14</v>
      </c>
      <c r="B27" s="295" t="s">
        <v>262</v>
      </c>
      <c r="C27" s="295" t="s">
        <v>263</v>
      </c>
      <c r="D27" s="57" t="s">
        <v>64</v>
      </c>
      <c r="E27" s="57" t="s">
        <v>64</v>
      </c>
      <c r="F27" s="57" t="s">
        <v>64</v>
      </c>
      <c r="G27" s="57" t="s">
        <v>64</v>
      </c>
      <c r="H27" s="57" t="s">
        <v>64</v>
      </c>
      <c r="I27" s="57" t="s">
        <v>64</v>
      </c>
      <c r="J27" s="57" t="s">
        <v>64</v>
      </c>
      <c r="K27" s="57" t="s">
        <v>64</v>
      </c>
      <c r="L27" s="57" t="s">
        <v>64</v>
      </c>
      <c r="M27" s="57" t="s">
        <v>64</v>
      </c>
      <c r="N27" s="57" t="s">
        <v>64</v>
      </c>
      <c r="O27" s="57" t="s">
        <v>64</v>
      </c>
      <c r="P27" s="56">
        <v>4</v>
      </c>
      <c r="Q27" s="56">
        <v>0</v>
      </c>
      <c r="R27" s="56">
        <v>10</v>
      </c>
      <c r="S27" s="56" t="s">
        <v>166</v>
      </c>
      <c r="T27" s="56">
        <v>4</v>
      </c>
      <c r="U27" s="56">
        <v>5</v>
      </c>
      <c r="V27" s="56">
        <v>10</v>
      </c>
      <c r="W27" s="56" t="s">
        <v>166</v>
      </c>
      <c r="X27" s="56" t="s">
        <v>166</v>
      </c>
      <c r="Y27" s="56" t="s">
        <v>166</v>
      </c>
      <c r="Z27" s="56" t="s">
        <v>166</v>
      </c>
      <c r="AA27" s="56" t="s">
        <v>166</v>
      </c>
      <c r="AB27" s="290" t="s">
        <v>166</v>
      </c>
      <c r="AC27" s="290" t="s">
        <v>166</v>
      </c>
      <c r="AD27" s="290" t="s">
        <v>166</v>
      </c>
      <c r="AE27" s="290" t="s">
        <v>166</v>
      </c>
      <c r="AF27" s="290">
        <v>6</v>
      </c>
      <c r="AG27" s="290">
        <v>6</v>
      </c>
      <c r="AH27" s="290">
        <v>8</v>
      </c>
      <c r="AI27" s="290" t="s">
        <v>166</v>
      </c>
      <c r="AJ27" s="290">
        <v>6</v>
      </c>
      <c r="AK27" s="290">
        <v>6</v>
      </c>
      <c r="AL27" s="290">
        <v>8</v>
      </c>
      <c r="AM27" s="290" t="s">
        <v>166</v>
      </c>
      <c r="AN27" s="3">
        <v>5</v>
      </c>
      <c r="AO27" s="75"/>
      <c r="AP27" s="119" t="s">
        <v>64</v>
      </c>
      <c r="AQ27" s="120">
        <v>8.25</v>
      </c>
      <c r="AR27" s="119">
        <v>10</v>
      </c>
      <c r="AS27" s="118">
        <v>48</v>
      </c>
      <c r="AT27" s="118">
        <v>29</v>
      </c>
      <c r="AU27" s="3" t="s">
        <v>112</v>
      </c>
      <c r="AV27" s="129"/>
      <c r="AW27" s="181"/>
      <c r="AY27" s="191"/>
    </row>
    <row r="28" spans="1:52" ht="18">
      <c r="A28" s="189">
        <v>15</v>
      </c>
      <c r="B28" s="295" t="s">
        <v>264</v>
      </c>
      <c r="C28" s="295" t="s">
        <v>265</v>
      </c>
      <c r="D28" s="57" t="s">
        <v>64</v>
      </c>
      <c r="E28" s="57" t="s">
        <v>64</v>
      </c>
      <c r="F28" s="57" t="s">
        <v>64</v>
      </c>
      <c r="G28" s="57" t="s">
        <v>64</v>
      </c>
      <c r="H28" s="57" t="s">
        <v>64</v>
      </c>
      <c r="I28" s="57" t="s">
        <v>64</v>
      </c>
      <c r="J28" s="57" t="s">
        <v>64</v>
      </c>
      <c r="K28" s="57" t="s">
        <v>64</v>
      </c>
      <c r="L28" s="57" t="s">
        <v>64</v>
      </c>
      <c r="M28" s="57" t="s">
        <v>64</v>
      </c>
      <c r="N28" s="57" t="s">
        <v>64</v>
      </c>
      <c r="O28" s="57" t="s">
        <v>64</v>
      </c>
      <c r="P28" s="56">
        <v>4</v>
      </c>
      <c r="Q28" s="56">
        <v>0</v>
      </c>
      <c r="R28" s="56">
        <v>5</v>
      </c>
      <c r="S28" s="56" t="s">
        <v>166</v>
      </c>
      <c r="T28" s="56" t="s">
        <v>166</v>
      </c>
      <c r="U28" s="56" t="s">
        <v>166</v>
      </c>
      <c r="V28" s="56" t="s">
        <v>166</v>
      </c>
      <c r="W28" s="56" t="s">
        <v>166</v>
      </c>
      <c r="X28" s="56">
        <v>3</v>
      </c>
      <c r="Y28" s="56">
        <v>6</v>
      </c>
      <c r="Z28" s="56">
        <v>2</v>
      </c>
      <c r="AA28" s="56" t="s">
        <v>166</v>
      </c>
      <c r="AB28" s="290">
        <v>3</v>
      </c>
      <c r="AC28" s="290">
        <v>6</v>
      </c>
      <c r="AD28" s="290">
        <v>4</v>
      </c>
      <c r="AE28" s="290" t="s">
        <v>166</v>
      </c>
      <c r="AF28" s="290">
        <v>5</v>
      </c>
      <c r="AG28" s="290">
        <v>2</v>
      </c>
      <c r="AH28" s="290" t="s">
        <v>166</v>
      </c>
      <c r="AI28" s="290" t="s">
        <v>166</v>
      </c>
      <c r="AJ28" s="290" t="s">
        <v>166</v>
      </c>
      <c r="AK28" s="290" t="s">
        <v>166</v>
      </c>
      <c r="AL28" s="290" t="s">
        <v>166</v>
      </c>
      <c r="AM28" s="290" t="s">
        <v>166</v>
      </c>
      <c r="AN28" s="3">
        <v>4.75</v>
      </c>
      <c r="AO28" s="75"/>
      <c r="AP28" s="119" t="s">
        <v>64</v>
      </c>
      <c r="AQ28" s="120">
        <v>5</v>
      </c>
      <c r="AR28" s="119">
        <v>5</v>
      </c>
      <c r="AS28" s="118">
        <v>38</v>
      </c>
      <c r="AT28" s="118">
        <v>11.5</v>
      </c>
      <c r="AU28" s="3" t="s">
        <v>120</v>
      </c>
      <c r="AV28" s="129"/>
      <c r="AY28" s="191"/>
    </row>
    <row r="29" spans="1:52" ht="18">
      <c r="A29" s="189">
        <v>16</v>
      </c>
      <c r="B29" s="295" t="s">
        <v>266</v>
      </c>
      <c r="C29" s="295" t="s">
        <v>267</v>
      </c>
      <c r="D29" s="57">
        <v>5</v>
      </c>
      <c r="E29" s="57">
        <v>5</v>
      </c>
      <c r="F29" s="57">
        <v>10</v>
      </c>
      <c r="G29" s="57" t="s">
        <v>166</v>
      </c>
      <c r="H29" s="57">
        <v>4</v>
      </c>
      <c r="I29" s="57">
        <v>8</v>
      </c>
      <c r="J29" s="57">
        <v>6</v>
      </c>
      <c r="K29" s="57" t="s">
        <v>166</v>
      </c>
      <c r="L29" s="57" t="s">
        <v>166</v>
      </c>
      <c r="M29" s="57" t="s">
        <v>166</v>
      </c>
      <c r="N29" s="57" t="s">
        <v>166</v>
      </c>
      <c r="O29" s="57" t="s">
        <v>166</v>
      </c>
      <c r="P29" s="56">
        <v>4</v>
      </c>
      <c r="Q29" s="56">
        <v>3</v>
      </c>
      <c r="R29" s="56">
        <v>10</v>
      </c>
      <c r="S29" s="56" t="s">
        <v>166</v>
      </c>
      <c r="T29" s="56">
        <v>4</v>
      </c>
      <c r="U29" s="56">
        <v>6</v>
      </c>
      <c r="V29" s="56">
        <v>10</v>
      </c>
      <c r="W29" s="56" t="s">
        <v>166</v>
      </c>
      <c r="X29" s="56" t="s">
        <v>166</v>
      </c>
      <c r="Y29" s="56" t="s">
        <v>166</v>
      </c>
      <c r="Z29" s="56" t="s">
        <v>166</v>
      </c>
      <c r="AA29" s="56" t="s">
        <v>166</v>
      </c>
      <c r="AB29" s="290" t="s">
        <v>64</v>
      </c>
      <c r="AC29" s="290" t="s">
        <v>64</v>
      </c>
      <c r="AD29" s="290" t="s">
        <v>64</v>
      </c>
      <c r="AE29" s="290" t="s">
        <v>64</v>
      </c>
      <c r="AF29" s="290" t="s">
        <v>64</v>
      </c>
      <c r="AG29" s="290" t="s">
        <v>64</v>
      </c>
      <c r="AH29" s="290" t="s">
        <v>64</v>
      </c>
      <c r="AI29" s="290" t="s">
        <v>64</v>
      </c>
      <c r="AJ29" s="290" t="s">
        <v>64</v>
      </c>
      <c r="AK29" s="290" t="s">
        <v>64</v>
      </c>
      <c r="AL29" s="290" t="s">
        <v>64</v>
      </c>
      <c r="AM29" s="290" t="s">
        <v>64</v>
      </c>
      <c r="AN29" s="3">
        <v>5</v>
      </c>
      <c r="AO29" s="75"/>
      <c r="AP29" s="119">
        <v>9.5</v>
      </c>
      <c r="AQ29" s="120">
        <v>9.25</v>
      </c>
      <c r="AR29" s="119" t="s">
        <v>64</v>
      </c>
      <c r="AS29" s="118">
        <v>49</v>
      </c>
      <c r="AT29" s="118">
        <v>44.5</v>
      </c>
      <c r="AU29" s="3" t="s">
        <v>115</v>
      </c>
      <c r="AV29" s="129"/>
      <c r="AW29" s="22" t="s">
        <v>164</v>
      </c>
      <c r="AY29" s="191"/>
    </row>
    <row r="30" spans="1:52" ht="18">
      <c r="A30" s="189">
        <v>17</v>
      </c>
      <c r="B30" s="295" t="s">
        <v>268</v>
      </c>
      <c r="C30" s="295" t="s">
        <v>269</v>
      </c>
      <c r="D30" s="57">
        <v>5</v>
      </c>
      <c r="E30" s="57">
        <v>5</v>
      </c>
      <c r="F30" s="57">
        <v>8</v>
      </c>
      <c r="G30" s="57" t="s">
        <v>166</v>
      </c>
      <c r="H30" s="57">
        <v>6</v>
      </c>
      <c r="I30" s="57">
        <v>6</v>
      </c>
      <c r="J30" s="57">
        <v>6</v>
      </c>
      <c r="K30" s="57" t="s">
        <v>166</v>
      </c>
      <c r="L30" s="57" t="s">
        <v>166</v>
      </c>
      <c r="M30" s="57" t="s">
        <v>166</v>
      </c>
      <c r="N30" s="57" t="s">
        <v>166</v>
      </c>
      <c r="O30" s="57" t="s">
        <v>166</v>
      </c>
      <c r="P30" s="56">
        <v>4</v>
      </c>
      <c r="Q30" s="56">
        <v>3</v>
      </c>
      <c r="R30" s="56">
        <v>10</v>
      </c>
      <c r="S30" s="56" t="s">
        <v>166</v>
      </c>
      <c r="T30" s="56">
        <v>4</v>
      </c>
      <c r="U30" s="56">
        <v>6</v>
      </c>
      <c r="V30" s="56">
        <v>10</v>
      </c>
      <c r="W30" s="56" t="s">
        <v>166</v>
      </c>
      <c r="X30" s="56" t="s">
        <v>166</v>
      </c>
      <c r="Y30" s="56" t="s">
        <v>166</v>
      </c>
      <c r="Z30" s="56" t="s">
        <v>166</v>
      </c>
      <c r="AA30" s="56" t="s">
        <v>166</v>
      </c>
      <c r="AB30" s="290" t="s">
        <v>64</v>
      </c>
      <c r="AC30" s="290" t="s">
        <v>64</v>
      </c>
      <c r="AD30" s="290" t="s">
        <v>64</v>
      </c>
      <c r="AE30" s="290" t="s">
        <v>64</v>
      </c>
      <c r="AF30" s="290" t="s">
        <v>64</v>
      </c>
      <c r="AG30" s="290" t="s">
        <v>64</v>
      </c>
      <c r="AH30" s="290" t="s">
        <v>64</v>
      </c>
      <c r="AI30" s="290" t="s">
        <v>64</v>
      </c>
      <c r="AJ30" s="290" t="s">
        <v>64</v>
      </c>
      <c r="AK30" s="290" t="s">
        <v>64</v>
      </c>
      <c r="AL30" s="290" t="s">
        <v>64</v>
      </c>
      <c r="AM30" s="290" t="s">
        <v>64</v>
      </c>
      <c r="AN30" s="3">
        <v>5</v>
      </c>
      <c r="AO30" s="75"/>
      <c r="AP30" s="119">
        <v>9.25</v>
      </c>
      <c r="AQ30" s="120">
        <v>9.25</v>
      </c>
      <c r="AR30" s="119" t="s">
        <v>64</v>
      </c>
      <c r="AS30" s="118">
        <v>48</v>
      </c>
      <c r="AT30" s="118">
        <v>36.5</v>
      </c>
      <c r="AU30" s="3" t="s">
        <v>112</v>
      </c>
      <c r="AV30" s="129"/>
      <c r="AW30">
        <f>CORREL(AS14:AS67,AT14:AT67)</f>
        <v>0.60977024303697691</v>
      </c>
      <c r="AY30" s="191"/>
    </row>
    <row r="31" spans="1:52" ht="18">
      <c r="A31" s="189">
        <v>18</v>
      </c>
      <c r="B31" s="295" t="s">
        <v>270</v>
      </c>
      <c r="C31" s="295" t="s">
        <v>271</v>
      </c>
      <c r="D31" s="57" t="s">
        <v>166</v>
      </c>
      <c r="E31" s="57" t="s">
        <v>166</v>
      </c>
      <c r="F31" s="57" t="s">
        <v>166</v>
      </c>
      <c r="G31" s="57" t="s">
        <v>166</v>
      </c>
      <c r="H31" s="57">
        <v>3</v>
      </c>
      <c r="I31" s="57">
        <v>8</v>
      </c>
      <c r="J31" s="57">
        <v>6</v>
      </c>
      <c r="K31" s="57" t="s">
        <v>166</v>
      </c>
      <c r="L31" s="57">
        <v>5</v>
      </c>
      <c r="M31" s="57">
        <v>4</v>
      </c>
      <c r="N31" s="57">
        <v>5</v>
      </c>
      <c r="O31" s="57" t="s">
        <v>166</v>
      </c>
      <c r="P31" s="56">
        <v>4</v>
      </c>
      <c r="Q31" s="56">
        <v>0</v>
      </c>
      <c r="R31" s="56">
        <v>9</v>
      </c>
      <c r="S31" s="56" t="s">
        <v>166</v>
      </c>
      <c r="T31" s="56" t="s">
        <v>166</v>
      </c>
      <c r="U31" s="56" t="s">
        <v>166</v>
      </c>
      <c r="V31" s="56" t="s">
        <v>166</v>
      </c>
      <c r="W31" s="56" t="s">
        <v>166</v>
      </c>
      <c r="X31" s="56">
        <v>4</v>
      </c>
      <c r="Y31" s="56">
        <v>6</v>
      </c>
      <c r="Z31" s="56">
        <v>7</v>
      </c>
      <c r="AA31" s="56" t="s">
        <v>166</v>
      </c>
      <c r="AB31" s="290">
        <v>6</v>
      </c>
      <c r="AC31" s="290">
        <v>5</v>
      </c>
      <c r="AD31" s="290">
        <v>4</v>
      </c>
      <c r="AE31" s="290" t="s">
        <v>166</v>
      </c>
      <c r="AF31" s="290">
        <v>6</v>
      </c>
      <c r="AG31" s="290">
        <v>6</v>
      </c>
      <c r="AH31" s="290">
        <v>2</v>
      </c>
      <c r="AI31" s="290" t="s">
        <v>166</v>
      </c>
      <c r="AJ31" s="290" t="s">
        <v>166</v>
      </c>
      <c r="AK31" s="290" t="s">
        <v>166</v>
      </c>
      <c r="AL31" s="290" t="s">
        <v>166</v>
      </c>
      <c r="AM31" s="290" t="s">
        <v>166</v>
      </c>
      <c r="AN31" s="3">
        <v>4.25</v>
      </c>
      <c r="AO31" s="75"/>
      <c r="AP31" s="119">
        <v>7.75</v>
      </c>
      <c r="AQ31" s="120">
        <v>7.5</v>
      </c>
      <c r="AR31" s="119">
        <v>7.25</v>
      </c>
      <c r="AS31" s="118">
        <v>44</v>
      </c>
      <c r="AT31" s="118">
        <v>29.5</v>
      </c>
      <c r="AU31" s="3" t="s">
        <v>113</v>
      </c>
      <c r="AV31" s="129"/>
      <c r="AY31" s="191"/>
    </row>
    <row r="32" spans="1:52" ht="18">
      <c r="A32" s="189">
        <v>19</v>
      </c>
      <c r="B32" s="295" t="s">
        <v>272</v>
      </c>
      <c r="C32" s="295" t="s">
        <v>273</v>
      </c>
      <c r="D32" s="57" t="s">
        <v>64</v>
      </c>
      <c r="E32" s="57" t="s">
        <v>64</v>
      </c>
      <c r="F32" s="57" t="s">
        <v>64</v>
      </c>
      <c r="G32" s="57" t="s">
        <v>64</v>
      </c>
      <c r="H32" s="57" t="s">
        <v>64</v>
      </c>
      <c r="I32" s="57" t="s">
        <v>64</v>
      </c>
      <c r="J32" s="57" t="s">
        <v>64</v>
      </c>
      <c r="K32" s="57" t="s">
        <v>64</v>
      </c>
      <c r="L32" s="57" t="s">
        <v>64</v>
      </c>
      <c r="M32" s="57" t="s">
        <v>64</v>
      </c>
      <c r="N32" s="57" t="s">
        <v>64</v>
      </c>
      <c r="O32" s="57" t="s">
        <v>64</v>
      </c>
      <c r="P32" s="56">
        <v>4</v>
      </c>
      <c r="Q32" s="56">
        <v>6</v>
      </c>
      <c r="R32" s="56">
        <v>10</v>
      </c>
      <c r="S32" s="56" t="s">
        <v>166</v>
      </c>
      <c r="T32" s="56">
        <v>4</v>
      </c>
      <c r="U32" s="56">
        <v>6</v>
      </c>
      <c r="V32" s="56">
        <v>10</v>
      </c>
      <c r="W32" s="56" t="s">
        <v>166</v>
      </c>
      <c r="X32" s="56" t="s">
        <v>166</v>
      </c>
      <c r="Y32" s="56" t="s">
        <v>166</v>
      </c>
      <c r="Z32" s="56" t="s">
        <v>166</v>
      </c>
      <c r="AA32" s="56" t="s">
        <v>166</v>
      </c>
      <c r="AB32" s="290" t="s">
        <v>166</v>
      </c>
      <c r="AC32" s="290" t="s">
        <v>166</v>
      </c>
      <c r="AD32" s="290" t="s">
        <v>166</v>
      </c>
      <c r="AE32" s="290" t="s">
        <v>166</v>
      </c>
      <c r="AF32" s="290">
        <v>6</v>
      </c>
      <c r="AG32" s="290">
        <v>6</v>
      </c>
      <c r="AH32" s="290">
        <v>8</v>
      </c>
      <c r="AI32" s="290" t="s">
        <v>166</v>
      </c>
      <c r="AJ32" s="290">
        <v>6</v>
      </c>
      <c r="AK32" s="290">
        <v>6</v>
      </c>
      <c r="AL32" s="290">
        <v>8</v>
      </c>
      <c r="AM32" s="290" t="s">
        <v>166</v>
      </c>
      <c r="AN32" s="3">
        <v>5</v>
      </c>
      <c r="AO32" s="75"/>
      <c r="AP32" s="119" t="s">
        <v>64</v>
      </c>
      <c r="AQ32" s="120">
        <v>10</v>
      </c>
      <c r="AR32" s="119">
        <v>10</v>
      </c>
      <c r="AS32" s="118">
        <v>49</v>
      </c>
      <c r="AT32" s="118">
        <v>44.5</v>
      </c>
      <c r="AU32" s="3" t="s">
        <v>115</v>
      </c>
      <c r="AV32" s="129"/>
      <c r="AY32" s="191"/>
    </row>
    <row r="33" spans="1:51" ht="18">
      <c r="A33" s="189">
        <v>20</v>
      </c>
      <c r="B33" s="295" t="s">
        <v>274</v>
      </c>
      <c r="C33" s="295" t="s">
        <v>275</v>
      </c>
      <c r="D33" s="57">
        <v>4</v>
      </c>
      <c r="E33" s="57">
        <v>5</v>
      </c>
      <c r="F33" s="57">
        <v>8</v>
      </c>
      <c r="G33" s="57" t="s">
        <v>166</v>
      </c>
      <c r="H33" s="57">
        <v>6</v>
      </c>
      <c r="I33" s="57">
        <v>8</v>
      </c>
      <c r="J33" s="57">
        <v>6</v>
      </c>
      <c r="K33" s="57" t="s">
        <v>166</v>
      </c>
      <c r="L33" s="57" t="s">
        <v>166</v>
      </c>
      <c r="M33" s="57" t="s">
        <v>166</v>
      </c>
      <c r="N33" s="57" t="s">
        <v>166</v>
      </c>
      <c r="O33" s="57" t="s">
        <v>166</v>
      </c>
      <c r="P33" s="56" t="s">
        <v>64</v>
      </c>
      <c r="Q33" s="56" t="s">
        <v>64</v>
      </c>
      <c r="R33" s="56" t="s">
        <v>64</v>
      </c>
      <c r="S33" s="56" t="s">
        <v>64</v>
      </c>
      <c r="T33" s="56" t="s">
        <v>64</v>
      </c>
      <c r="U33" s="56" t="s">
        <v>64</v>
      </c>
      <c r="V33" s="56" t="s">
        <v>64</v>
      </c>
      <c r="W33" s="56" t="s">
        <v>64</v>
      </c>
      <c r="X33" s="56" t="s">
        <v>64</v>
      </c>
      <c r="Y33" s="56" t="s">
        <v>64</v>
      </c>
      <c r="Z33" s="56" t="s">
        <v>64</v>
      </c>
      <c r="AA33" s="56" t="s">
        <v>64</v>
      </c>
      <c r="AB33" s="290">
        <v>6</v>
      </c>
      <c r="AC33" s="290">
        <v>6</v>
      </c>
      <c r="AD33" s="290">
        <v>4</v>
      </c>
      <c r="AE33" s="290" t="s">
        <v>166</v>
      </c>
      <c r="AF33" s="290">
        <v>6</v>
      </c>
      <c r="AG33" s="290">
        <v>6</v>
      </c>
      <c r="AH33" s="290">
        <v>7</v>
      </c>
      <c r="AI33" s="290" t="s">
        <v>166</v>
      </c>
      <c r="AJ33" s="290" t="s">
        <v>166</v>
      </c>
      <c r="AK33" s="290" t="s">
        <v>166</v>
      </c>
      <c r="AL33" s="290" t="s">
        <v>166</v>
      </c>
      <c r="AM33" s="290" t="s">
        <v>166</v>
      </c>
      <c r="AN33" s="3">
        <v>5</v>
      </c>
      <c r="AO33" s="75"/>
      <c r="AP33" s="119">
        <v>9.25</v>
      </c>
      <c r="AQ33" s="120" t="s">
        <v>64</v>
      </c>
      <c r="AR33" s="119">
        <v>8.75</v>
      </c>
      <c r="AS33" s="118">
        <v>47</v>
      </c>
      <c r="AT33" s="118">
        <v>34.5</v>
      </c>
      <c r="AU33" s="3" t="s">
        <v>112</v>
      </c>
      <c r="AV33" s="129"/>
      <c r="AY33" s="191"/>
    </row>
    <row r="34" spans="1:51" ht="18">
      <c r="A34" s="189">
        <v>21</v>
      </c>
      <c r="B34" s="295" t="s">
        <v>276</v>
      </c>
      <c r="C34" s="295" t="s">
        <v>277</v>
      </c>
      <c r="D34" s="57" t="s">
        <v>64</v>
      </c>
      <c r="E34" s="57" t="s">
        <v>64</v>
      </c>
      <c r="F34" s="57" t="s">
        <v>64</v>
      </c>
      <c r="G34" s="57" t="s">
        <v>64</v>
      </c>
      <c r="H34" s="57" t="s">
        <v>64</v>
      </c>
      <c r="I34" s="57" t="s">
        <v>64</v>
      </c>
      <c r="J34" s="57" t="s">
        <v>64</v>
      </c>
      <c r="K34" s="57" t="s">
        <v>64</v>
      </c>
      <c r="L34" s="57" t="s">
        <v>64</v>
      </c>
      <c r="M34" s="57" t="s">
        <v>64</v>
      </c>
      <c r="N34" s="57" t="s">
        <v>64</v>
      </c>
      <c r="O34" s="57" t="s">
        <v>64</v>
      </c>
      <c r="P34" s="56" t="s">
        <v>166</v>
      </c>
      <c r="Q34" s="56" t="s">
        <v>166</v>
      </c>
      <c r="R34" s="56" t="s">
        <v>166</v>
      </c>
      <c r="S34" s="56" t="s">
        <v>166</v>
      </c>
      <c r="T34" s="56">
        <v>2</v>
      </c>
      <c r="U34" s="56" t="s">
        <v>166</v>
      </c>
      <c r="V34" s="56" t="s">
        <v>166</v>
      </c>
      <c r="W34" s="56" t="s">
        <v>166</v>
      </c>
      <c r="X34" s="56" t="s">
        <v>166</v>
      </c>
      <c r="Y34" s="56">
        <v>6</v>
      </c>
      <c r="Z34" s="56">
        <v>5</v>
      </c>
      <c r="AA34" s="56" t="s">
        <v>166</v>
      </c>
      <c r="AB34" s="290">
        <v>6</v>
      </c>
      <c r="AC34" s="290">
        <v>6</v>
      </c>
      <c r="AD34" s="290">
        <v>8</v>
      </c>
      <c r="AE34" s="290" t="s">
        <v>166</v>
      </c>
      <c r="AF34" s="290">
        <v>6</v>
      </c>
      <c r="AG34" s="290">
        <v>6</v>
      </c>
      <c r="AH34" s="290">
        <v>7</v>
      </c>
      <c r="AI34" s="290" t="s">
        <v>166</v>
      </c>
      <c r="AJ34" s="290" t="s">
        <v>166</v>
      </c>
      <c r="AK34" s="290" t="s">
        <v>166</v>
      </c>
      <c r="AL34" s="290" t="s">
        <v>166</v>
      </c>
      <c r="AM34" s="290" t="s">
        <v>166</v>
      </c>
      <c r="AN34" s="3">
        <v>4.25</v>
      </c>
      <c r="AO34" s="75"/>
      <c r="AP34" s="119" t="s">
        <v>64</v>
      </c>
      <c r="AQ34" s="120">
        <v>3.25</v>
      </c>
      <c r="AR34" s="119">
        <v>9.75</v>
      </c>
      <c r="AS34" s="118">
        <v>40</v>
      </c>
      <c r="AT34" s="118">
        <v>23.5</v>
      </c>
      <c r="AU34" s="3" t="s">
        <v>113</v>
      </c>
      <c r="AV34" s="129"/>
      <c r="AY34" s="191"/>
    </row>
    <row r="35" spans="1:51" ht="18">
      <c r="A35" s="189">
        <v>22</v>
      </c>
      <c r="B35" s="295" t="s">
        <v>278</v>
      </c>
      <c r="C35" s="295" t="s">
        <v>279</v>
      </c>
      <c r="D35" s="57" t="s">
        <v>64</v>
      </c>
      <c r="E35" s="57" t="s">
        <v>64</v>
      </c>
      <c r="F35" s="57" t="s">
        <v>64</v>
      </c>
      <c r="G35" s="57" t="s">
        <v>64</v>
      </c>
      <c r="H35" s="57" t="s">
        <v>64</v>
      </c>
      <c r="I35" s="57" t="s">
        <v>64</v>
      </c>
      <c r="J35" s="57" t="s">
        <v>64</v>
      </c>
      <c r="K35" s="57" t="s">
        <v>64</v>
      </c>
      <c r="L35" s="57" t="s">
        <v>64</v>
      </c>
      <c r="M35" s="57" t="s">
        <v>64</v>
      </c>
      <c r="N35" s="57" t="s">
        <v>64</v>
      </c>
      <c r="O35" s="57" t="s">
        <v>64</v>
      </c>
      <c r="P35" s="56" t="s">
        <v>166</v>
      </c>
      <c r="Q35" s="56" t="s">
        <v>166</v>
      </c>
      <c r="R35" s="56" t="s">
        <v>166</v>
      </c>
      <c r="S35" s="56" t="s">
        <v>166</v>
      </c>
      <c r="T35" s="56">
        <v>4</v>
      </c>
      <c r="U35" s="56">
        <v>6</v>
      </c>
      <c r="V35" s="56">
        <v>10</v>
      </c>
      <c r="W35" s="56" t="s">
        <v>166</v>
      </c>
      <c r="X35" s="56">
        <v>4</v>
      </c>
      <c r="Y35" s="56">
        <v>6</v>
      </c>
      <c r="Z35" s="56">
        <v>7</v>
      </c>
      <c r="AA35" s="56" t="s">
        <v>166</v>
      </c>
      <c r="AB35" s="290">
        <v>6</v>
      </c>
      <c r="AC35" s="290">
        <v>5</v>
      </c>
      <c r="AD35" s="290">
        <v>8</v>
      </c>
      <c r="AE35" s="290" t="s">
        <v>166</v>
      </c>
      <c r="AF35" s="290">
        <v>6</v>
      </c>
      <c r="AG35" s="290">
        <v>6</v>
      </c>
      <c r="AH35" s="290">
        <v>8</v>
      </c>
      <c r="AI35" s="290" t="s">
        <v>166</v>
      </c>
      <c r="AJ35" s="290">
        <v>6</v>
      </c>
      <c r="AK35" s="290">
        <v>6</v>
      </c>
      <c r="AL35" s="290">
        <v>4</v>
      </c>
      <c r="AM35" s="290" t="s">
        <v>166</v>
      </c>
      <c r="AN35" s="3">
        <v>4.75</v>
      </c>
      <c r="AO35" s="75"/>
      <c r="AP35" s="119" t="s">
        <v>64</v>
      </c>
      <c r="AQ35" s="120">
        <v>9.25</v>
      </c>
      <c r="AR35" s="119">
        <v>9.75</v>
      </c>
      <c r="AS35" s="118">
        <v>48</v>
      </c>
      <c r="AT35" s="118">
        <v>35.5</v>
      </c>
      <c r="AU35" s="3" t="s">
        <v>112</v>
      </c>
      <c r="AV35" s="129"/>
      <c r="AY35" s="191"/>
    </row>
    <row r="36" spans="1:51" ht="18">
      <c r="A36" s="189">
        <v>23</v>
      </c>
      <c r="B36" s="295" t="s">
        <v>280</v>
      </c>
      <c r="C36" s="295" t="s">
        <v>281</v>
      </c>
      <c r="D36" s="57" t="s">
        <v>166</v>
      </c>
      <c r="E36" s="57" t="s">
        <v>166</v>
      </c>
      <c r="F36" s="57" t="s">
        <v>166</v>
      </c>
      <c r="G36" s="57" t="s">
        <v>166</v>
      </c>
      <c r="H36" s="57">
        <v>6</v>
      </c>
      <c r="I36" s="57">
        <v>8</v>
      </c>
      <c r="J36" s="57">
        <v>6</v>
      </c>
      <c r="K36" s="57" t="s">
        <v>166</v>
      </c>
      <c r="L36" s="57">
        <v>5</v>
      </c>
      <c r="M36" s="57">
        <v>5</v>
      </c>
      <c r="N36" s="57">
        <v>10</v>
      </c>
      <c r="O36" s="57" t="s">
        <v>166</v>
      </c>
      <c r="P36" s="56" t="s">
        <v>166</v>
      </c>
      <c r="Q36" s="56" t="s">
        <v>166</v>
      </c>
      <c r="R36" s="56" t="s">
        <v>166</v>
      </c>
      <c r="S36" s="56" t="s">
        <v>166</v>
      </c>
      <c r="T36" s="56">
        <v>4</v>
      </c>
      <c r="U36" s="56">
        <v>6</v>
      </c>
      <c r="V36" s="56">
        <v>7</v>
      </c>
      <c r="W36" s="56" t="s">
        <v>166</v>
      </c>
      <c r="X36" s="56">
        <v>4</v>
      </c>
      <c r="Y36" s="56">
        <v>6</v>
      </c>
      <c r="Z36" s="56">
        <v>10</v>
      </c>
      <c r="AA36" s="56" t="s">
        <v>166</v>
      </c>
      <c r="AB36" s="290" t="s">
        <v>64</v>
      </c>
      <c r="AC36" s="290" t="s">
        <v>64</v>
      </c>
      <c r="AD36" s="290" t="s">
        <v>64</v>
      </c>
      <c r="AE36" s="290" t="s">
        <v>64</v>
      </c>
      <c r="AF36" s="290" t="s">
        <v>64</v>
      </c>
      <c r="AG36" s="290" t="s">
        <v>64</v>
      </c>
      <c r="AH36" s="290" t="s">
        <v>64</v>
      </c>
      <c r="AI36" s="290" t="s">
        <v>64</v>
      </c>
      <c r="AJ36" s="290" t="s">
        <v>64</v>
      </c>
      <c r="AK36" s="290" t="s">
        <v>64</v>
      </c>
      <c r="AL36" s="290" t="s">
        <v>64</v>
      </c>
      <c r="AM36" s="290" t="s">
        <v>64</v>
      </c>
      <c r="AN36" s="3">
        <v>4.75</v>
      </c>
      <c r="AO36" s="75"/>
      <c r="AP36" s="119">
        <v>10</v>
      </c>
      <c r="AQ36" s="120">
        <v>9.25</v>
      </c>
      <c r="AR36" s="119" t="s">
        <v>64</v>
      </c>
      <c r="AS36" s="118">
        <v>47</v>
      </c>
      <c r="AT36" s="118">
        <v>33.5</v>
      </c>
      <c r="AU36" s="3" t="s">
        <v>112</v>
      </c>
      <c r="AV36" s="129"/>
      <c r="AY36" s="191"/>
    </row>
    <row r="37" spans="1:51" ht="18">
      <c r="A37" s="189">
        <v>24</v>
      </c>
      <c r="B37" s="295" t="s">
        <v>282</v>
      </c>
      <c r="C37" s="295" t="s">
        <v>283</v>
      </c>
      <c r="D37" s="57">
        <v>4</v>
      </c>
      <c r="E37" s="57">
        <v>5</v>
      </c>
      <c r="F37" s="57">
        <v>7</v>
      </c>
      <c r="G37" s="57" t="s">
        <v>166</v>
      </c>
      <c r="H37" s="57" t="s">
        <v>166</v>
      </c>
      <c r="I37" s="57" t="s">
        <v>166</v>
      </c>
      <c r="J37" s="57" t="s">
        <v>166</v>
      </c>
      <c r="K37" s="57" t="s">
        <v>166</v>
      </c>
      <c r="L37" s="57">
        <v>5</v>
      </c>
      <c r="M37" s="57">
        <v>8</v>
      </c>
      <c r="N37" s="57">
        <v>5</v>
      </c>
      <c r="O37" s="57" t="s">
        <v>166</v>
      </c>
      <c r="P37" s="56" t="s">
        <v>64</v>
      </c>
      <c r="Q37" s="56" t="s">
        <v>64</v>
      </c>
      <c r="R37" s="56" t="s">
        <v>64</v>
      </c>
      <c r="S37" s="56" t="s">
        <v>64</v>
      </c>
      <c r="T37" s="56" t="s">
        <v>64</v>
      </c>
      <c r="U37" s="56" t="s">
        <v>64</v>
      </c>
      <c r="V37" s="56" t="s">
        <v>64</v>
      </c>
      <c r="W37" s="56" t="s">
        <v>64</v>
      </c>
      <c r="X37" s="56" t="s">
        <v>64</v>
      </c>
      <c r="Y37" s="56" t="s">
        <v>64</v>
      </c>
      <c r="Z37" s="56" t="s">
        <v>64</v>
      </c>
      <c r="AA37" s="56" t="s">
        <v>64</v>
      </c>
      <c r="AB37" s="290">
        <v>6</v>
      </c>
      <c r="AC37" s="290">
        <v>6</v>
      </c>
      <c r="AD37" s="290">
        <v>8</v>
      </c>
      <c r="AE37" s="290" t="s">
        <v>166</v>
      </c>
      <c r="AF37" s="290">
        <v>6</v>
      </c>
      <c r="AG37" s="290">
        <v>6</v>
      </c>
      <c r="AH37" s="290">
        <v>8</v>
      </c>
      <c r="AI37" s="290" t="s">
        <v>166</v>
      </c>
      <c r="AJ37" s="290" t="s">
        <v>166</v>
      </c>
      <c r="AK37" s="290" t="s">
        <v>166</v>
      </c>
      <c r="AL37" s="290" t="s">
        <v>166</v>
      </c>
      <c r="AM37" s="290" t="s">
        <v>166</v>
      </c>
      <c r="AN37" s="3">
        <v>5</v>
      </c>
      <c r="AO37" s="75"/>
      <c r="AP37" s="119">
        <v>8.5</v>
      </c>
      <c r="AQ37" s="120" t="s">
        <v>64</v>
      </c>
      <c r="AR37" s="119">
        <v>10</v>
      </c>
      <c r="AS37" s="118">
        <v>49</v>
      </c>
      <c r="AT37" s="118">
        <v>32.5</v>
      </c>
      <c r="AU37" s="3" t="s">
        <v>112</v>
      </c>
      <c r="AV37" s="129"/>
      <c r="AY37" s="191"/>
    </row>
    <row r="38" spans="1:51" ht="18">
      <c r="A38" s="189">
        <v>25</v>
      </c>
      <c r="B38" s="295" t="s">
        <v>284</v>
      </c>
      <c r="C38" s="295" t="s">
        <v>285</v>
      </c>
      <c r="D38" s="57" t="s">
        <v>64</v>
      </c>
      <c r="E38" s="57" t="s">
        <v>64</v>
      </c>
      <c r="F38" s="57" t="s">
        <v>64</v>
      </c>
      <c r="G38" s="57" t="s">
        <v>64</v>
      </c>
      <c r="H38" s="57" t="s">
        <v>64</v>
      </c>
      <c r="I38" s="57" t="s">
        <v>64</v>
      </c>
      <c r="J38" s="57" t="s">
        <v>64</v>
      </c>
      <c r="K38" s="57" t="s">
        <v>64</v>
      </c>
      <c r="L38" s="57" t="s">
        <v>64</v>
      </c>
      <c r="M38" s="57" t="s">
        <v>64</v>
      </c>
      <c r="N38" s="57" t="s">
        <v>64</v>
      </c>
      <c r="O38" s="57" t="s">
        <v>64</v>
      </c>
      <c r="P38" s="56">
        <v>4</v>
      </c>
      <c r="Q38" s="56">
        <v>0</v>
      </c>
      <c r="R38" s="56">
        <v>10</v>
      </c>
      <c r="S38" s="56" t="s">
        <v>166</v>
      </c>
      <c r="T38" s="56" t="s">
        <v>166</v>
      </c>
      <c r="U38" s="56" t="s">
        <v>166</v>
      </c>
      <c r="V38" s="56" t="s">
        <v>166</v>
      </c>
      <c r="W38" s="56" t="s">
        <v>166</v>
      </c>
      <c r="X38" s="56">
        <v>2</v>
      </c>
      <c r="Y38" s="56">
        <v>6</v>
      </c>
      <c r="Z38" s="56">
        <v>5</v>
      </c>
      <c r="AA38" s="56" t="s">
        <v>166</v>
      </c>
      <c r="AB38" s="290" t="s">
        <v>166</v>
      </c>
      <c r="AC38" s="290" t="s">
        <v>166</v>
      </c>
      <c r="AD38" s="290" t="s">
        <v>166</v>
      </c>
      <c r="AE38" s="290" t="s">
        <v>166</v>
      </c>
      <c r="AF38" s="290">
        <v>6</v>
      </c>
      <c r="AG38" s="290">
        <v>6</v>
      </c>
      <c r="AH38" s="290">
        <v>7</v>
      </c>
      <c r="AI38" s="290" t="s">
        <v>166</v>
      </c>
      <c r="AJ38" s="290">
        <v>6</v>
      </c>
      <c r="AK38" s="290">
        <v>6</v>
      </c>
      <c r="AL38" s="290">
        <v>4</v>
      </c>
      <c r="AM38" s="290" t="s">
        <v>166</v>
      </c>
      <c r="AN38" s="3">
        <v>4.5</v>
      </c>
      <c r="AO38" s="75"/>
      <c r="AP38" s="119" t="s">
        <v>64</v>
      </c>
      <c r="AQ38" s="120">
        <v>6.75</v>
      </c>
      <c r="AR38" s="119">
        <v>8.75</v>
      </c>
      <c r="AS38" s="118">
        <v>42</v>
      </c>
      <c r="AT38" s="118">
        <v>24</v>
      </c>
      <c r="AU38" s="3" t="s">
        <v>113</v>
      </c>
      <c r="AV38" s="129"/>
      <c r="AY38" s="191"/>
    </row>
    <row r="39" spans="1:51" ht="18">
      <c r="A39" s="189">
        <v>26</v>
      </c>
      <c r="B39" s="295" t="s">
        <v>286</v>
      </c>
      <c r="C39" s="295" t="s">
        <v>287</v>
      </c>
      <c r="D39" s="57" t="s">
        <v>166</v>
      </c>
      <c r="E39" s="57" t="s">
        <v>166</v>
      </c>
      <c r="F39" s="57" t="s">
        <v>166</v>
      </c>
      <c r="G39" s="57" t="s">
        <v>166</v>
      </c>
      <c r="H39" s="57">
        <v>3</v>
      </c>
      <c r="I39" s="57">
        <v>8</v>
      </c>
      <c r="J39" s="57">
        <v>6</v>
      </c>
      <c r="K39" s="57" t="s">
        <v>166</v>
      </c>
      <c r="L39" s="57">
        <v>5</v>
      </c>
      <c r="M39" s="57">
        <v>9</v>
      </c>
      <c r="N39" s="57">
        <v>5</v>
      </c>
      <c r="O39" s="57" t="s">
        <v>166</v>
      </c>
      <c r="P39" s="56" t="s">
        <v>64</v>
      </c>
      <c r="Q39" s="56" t="s">
        <v>64</v>
      </c>
      <c r="R39" s="56" t="s">
        <v>64</v>
      </c>
      <c r="S39" s="56" t="s">
        <v>64</v>
      </c>
      <c r="T39" s="56" t="s">
        <v>64</v>
      </c>
      <c r="U39" s="56" t="s">
        <v>64</v>
      </c>
      <c r="V39" s="56" t="s">
        <v>64</v>
      </c>
      <c r="W39" s="56" t="s">
        <v>64</v>
      </c>
      <c r="X39" s="56" t="s">
        <v>64</v>
      </c>
      <c r="Y39" s="56" t="s">
        <v>64</v>
      </c>
      <c r="Z39" s="56" t="s">
        <v>64</v>
      </c>
      <c r="AA39" s="56" t="s">
        <v>64</v>
      </c>
      <c r="AB39" s="290" t="s">
        <v>64</v>
      </c>
      <c r="AC39" s="290" t="s">
        <v>64</v>
      </c>
      <c r="AD39" s="290" t="s">
        <v>64</v>
      </c>
      <c r="AE39" s="290" t="s">
        <v>64</v>
      </c>
      <c r="AF39" s="290" t="s">
        <v>64</v>
      </c>
      <c r="AG39" s="290" t="s">
        <v>64</v>
      </c>
      <c r="AH39" s="290" t="s">
        <v>64</v>
      </c>
      <c r="AI39" s="290" t="s">
        <v>64</v>
      </c>
      <c r="AJ39" s="290" t="s">
        <v>64</v>
      </c>
      <c r="AK39" s="290" t="s">
        <v>64</v>
      </c>
      <c r="AL39" s="290" t="s">
        <v>64</v>
      </c>
      <c r="AM39" s="290" t="s">
        <v>64</v>
      </c>
      <c r="AN39" s="3">
        <v>4.5</v>
      </c>
      <c r="AO39" s="75"/>
      <c r="AP39" s="119">
        <v>9</v>
      </c>
      <c r="AQ39" s="120" t="s">
        <v>64</v>
      </c>
      <c r="AR39" s="119">
        <v>6.75</v>
      </c>
      <c r="AS39" s="118">
        <v>44</v>
      </c>
      <c r="AT39" s="118">
        <v>36.5</v>
      </c>
      <c r="AU39" s="3" t="s">
        <v>112</v>
      </c>
      <c r="AV39" s="129"/>
      <c r="AY39" s="191"/>
    </row>
    <row r="40" spans="1:51" ht="18">
      <c r="A40" s="189">
        <v>27</v>
      </c>
      <c r="B40" s="295" t="s">
        <v>288</v>
      </c>
      <c r="C40" s="295" t="s">
        <v>289</v>
      </c>
      <c r="D40" s="57" t="s">
        <v>166</v>
      </c>
      <c r="E40" s="57" t="s">
        <v>166</v>
      </c>
      <c r="F40" s="57" t="s">
        <v>166</v>
      </c>
      <c r="G40" s="57" t="s">
        <v>166</v>
      </c>
      <c r="H40" s="57">
        <v>3</v>
      </c>
      <c r="I40" s="57">
        <v>6</v>
      </c>
      <c r="J40" s="57">
        <v>6</v>
      </c>
      <c r="K40" s="57" t="s">
        <v>166</v>
      </c>
      <c r="L40" s="57">
        <v>5</v>
      </c>
      <c r="M40" s="57" t="s">
        <v>166</v>
      </c>
      <c r="N40" s="57">
        <v>5</v>
      </c>
      <c r="O40" s="57" t="s">
        <v>166</v>
      </c>
      <c r="P40" s="56" t="s">
        <v>64</v>
      </c>
      <c r="Q40" s="56" t="s">
        <v>64</v>
      </c>
      <c r="R40" s="56" t="s">
        <v>64</v>
      </c>
      <c r="S40" s="56" t="s">
        <v>64</v>
      </c>
      <c r="T40" s="56" t="s">
        <v>64</v>
      </c>
      <c r="U40" s="56" t="s">
        <v>64</v>
      </c>
      <c r="V40" s="56" t="s">
        <v>64</v>
      </c>
      <c r="W40" s="56" t="s">
        <v>64</v>
      </c>
      <c r="X40" s="56" t="s">
        <v>64</v>
      </c>
      <c r="Y40" s="56" t="s">
        <v>64</v>
      </c>
      <c r="Z40" s="56" t="s">
        <v>64</v>
      </c>
      <c r="AA40" s="56" t="s">
        <v>64</v>
      </c>
      <c r="AB40" s="290" t="s">
        <v>166</v>
      </c>
      <c r="AC40" s="290">
        <v>6</v>
      </c>
      <c r="AD40" s="290" t="s">
        <v>166</v>
      </c>
      <c r="AE40" s="290" t="s">
        <v>166</v>
      </c>
      <c r="AF40" s="290">
        <v>6</v>
      </c>
      <c r="AG40" s="290">
        <v>6</v>
      </c>
      <c r="AH40" s="290" t="s">
        <v>166</v>
      </c>
      <c r="AI40" s="290" t="s">
        <v>166</v>
      </c>
      <c r="AJ40" s="290">
        <v>6</v>
      </c>
      <c r="AK40" s="290">
        <v>5</v>
      </c>
      <c r="AL40" s="290">
        <v>4</v>
      </c>
      <c r="AM40" s="290" t="s">
        <v>166</v>
      </c>
      <c r="AN40" s="3">
        <v>4.75</v>
      </c>
      <c r="AO40" s="75"/>
      <c r="AP40" s="119">
        <v>6.25</v>
      </c>
      <c r="AQ40" s="120" t="s">
        <v>64</v>
      </c>
      <c r="AR40" s="119" t="s">
        <v>64</v>
      </c>
      <c r="AS40" s="118">
        <v>33</v>
      </c>
      <c r="AT40" s="118">
        <v>9</v>
      </c>
      <c r="AU40" s="3" t="s">
        <v>120</v>
      </c>
      <c r="AV40" s="129"/>
      <c r="AY40" s="191"/>
    </row>
    <row r="41" spans="1:51" ht="18">
      <c r="A41" s="189">
        <v>28</v>
      </c>
      <c r="B41" s="295" t="s">
        <v>290</v>
      </c>
      <c r="C41" s="295" t="s">
        <v>291</v>
      </c>
      <c r="D41" s="57">
        <v>4</v>
      </c>
      <c r="E41" s="57">
        <v>3</v>
      </c>
      <c r="F41" s="57">
        <v>7</v>
      </c>
      <c r="G41" s="57" t="s">
        <v>166</v>
      </c>
      <c r="H41" s="57">
        <v>6</v>
      </c>
      <c r="I41" s="57">
        <v>8</v>
      </c>
      <c r="J41" s="57">
        <v>6</v>
      </c>
      <c r="K41" s="57" t="s">
        <v>166</v>
      </c>
      <c r="L41" s="57">
        <v>4</v>
      </c>
      <c r="M41" s="57">
        <v>10</v>
      </c>
      <c r="N41" s="57">
        <v>5</v>
      </c>
      <c r="O41" s="57" t="s">
        <v>166</v>
      </c>
      <c r="P41" s="56">
        <v>4</v>
      </c>
      <c r="Q41" s="56">
        <v>6</v>
      </c>
      <c r="R41" s="56">
        <v>10</v>
      </c>
      <c r="S41" s="56" t="s">
        <v>166</v>
      </c>
      <c r="T41" s="56">
        <v>4</v>
      </c>
      <c r="U41" s="56">
        <v>6</v>
      </c>
      <c r="V41" s="56">
        <v>10</v>
      </c>
      <c r="W41" s="56" t="s">
        <v>166</v>
      </c>
      <c r="X41" s="56" t="s">
        <v>166</v>
      </c>
      <c r="Y41" s="56" t="s">
        <v>166</v>
      </c>
      <c r="Z41" s="56" t="s">
        <v>166</v>
      </c>
      <c r="AA41" s="56" t="s">
        <v>166</v>
      </c>
      <c r="AB41" s="290" t="s">
        <v>64</v>
      </c>
      <c r="AC41" s="290" t="s">
        <v>64</v>
      </c>
      <c r="AD41" s="290" t="s">
        <v>64</v>
      </c>
      <c r="AE41" s="290" t="s">
        <v>64</v>
      </c>
      <c r="AF41" s="290" t="s">
        <v>64</v>
      </c>
      <c r="AG41" s="290" t="s">
        <v>64</v>
      </c>
      <c r="AH41" s="290" t="s">
        <v>64</v>
      </c>
      <c r="AI41" s="290" t="s">
        <v>64</v>
      </c>
      <c r="AJ41" s="290" t="s">
        <v>64</v>
      </c>
      <c r="AK41" s="290" t="s">
        <v>64</v>
      </c>
      <c r="AL41" s="290" t="s">
        <v>64</v>
      </c>
      <c r="AM41" s="290" t="s">
        <v>64</v>
      </c>
      <c r="AN41" s="3">
        <v>4.25</v>
      </c>
      <c r="AO41" s="75"/>
      <c r="AP41" s="119">
        <v>9.75</v>
      </c>
      <c r="AQ41" s="120">
        <v>10</v>
      </c>
      <c r="AR41" s="119" t="s">
        <v>64</v>
      </c>
      <c r="AS41" s="118">
        <v>48</v>
      </c>
      <c r="AT41" s="118">
        <v>28.5</v>
      </c>
      <c r="AU41" s="3" t="s">
        <v>112</v>
      </c>
      <c r="AV41" s="129"/>
      <c r="AY41" s="191"/>
    </row>
    <row r="42" spans="1:51" ht="18">
      <c r="A42" s="189">
        <v>29</v>
      </c>
      <c r="B42" s="295" t="s">
        <v>292</v>
      </c>
      <c r="C42" s="295" t="s">
        <v>293</v>
      </c>
      <c r="D42" s="57" t="s">
        <v>166</v>
      </c>
      <c r="E42" s="57" t="s">
        <v>166</v>
      </c>
      <c r="F42" s="57" t="s">
        <v>166</v>
      </c>
      <c r="G42" s="57" t="s">
        <v>166</v>
      </c>
      <c r="H42" s="57">
        <v>6</v>
      </c>
      <c r="I42" s="57">
        <v>8</v>
      </c>
      <c r="J42" s="57">
        <v>6</v>
      </c>
      <c r="K42" s="57" t="s">
        <v>166</v>
      </c>
      <c r="L42" s="57">
        <v>5</v>
      </c>
      <c r="M42" s="57">
        <v>9</v>
      </c>
      <c r="N42" s="57">
        <v>5</v>
      </c>
      <c r="O42" s="57" t="s">
        <v>166</v>
      </c>
      <c r="P42" s="56">
        <v>4</v>
      </c>
      <c r="Q42" s="56">
        <v>3</v>
      </c>
      <c r="R42" s="56">
        <v>9</v>
      </c>
      <c r="S42" s="56" t="s">
        <v>166</v>
      </c>
      <c r="T42" s="56">
        <v>4</v>
      </c>
      <c r="U42" s="56">
        <v>6</v>
      </c>
      <c r="V42" s="56">
        <v>10</v>
      </c>
      <c r="W42" s="56" t="s">
        <v>166</v>
      </c>
      <c r="X42" s="56" t="s">
        <v>166</v>
      </c>
      <c r="Y42" s="56" t="s">
        <v>166</v>
      </c>
      <c r="Z42" s="56" t="s">
        <v>166</v>
      </c>
      <c r="AA42" s="56" t="s">
        <v>166</v>
      </c>
      <c r="AB42" s="290" t="s">
        <v>64</v>
      </c>
      <c r="AC42" s="290" t="s">
        <v>64</v>
      </c>
      <c r="AD42" s="290" t="s">
        <v>64</v>
      </c>
      <c r="AE42" s="290" t="s">
        <v>64</v>
      </c>
      <c r="AF42" s="290" t="s">
        <v>64</v>
      </c>
      <c r="AG42" s="290" t="s">
        <v>64</v>
      </c>
      <c r="AH42" s="290" t="s">
        <v>64</v>
      </c>
      <c r="AI42" s="290" t="s">
        <v>64</v>
      </c>
      <c r="AJ42" s="290" t="s">
        <v>64</v>
      </c>
      <c r="AK42" s="290" t="s">
        <v>64</v>
      </c>
      <c r="AL42" s="290" t="s">
        <v>64</v>
      </c>
      <c r="AM42" s="290" t="s">
        <v>64</v>
      </c>
      <c r="AN42" s="3">
        <v>4</v>
      </c>
      <c r="AO42" s="75"/>
      <c r="AP42" s="119">
        <v>9.75</v>
      </c>
      <c r="AQ42" s="120">
        <v>9</v>
      </c>
      <c r="AR42" s="119" t="s">
        <v>64</v>
      </c>
      <c r="AS42" s="118">
        <v>46</v>
      </c>
      <c r="AT42" s="118">
        <v>43</v>
      </c>
      <c r="AU42" s="3" t="s">
        <v>112</v>
      </c>
      <c r="AV42" s="129"/>
      <c r="AY42" s="191"/>
    </row>
    <row r="43" spans="1:51" ht="18">
      <c r="A43" s="189">
        <v>30</v>
      </c>
      <c r="B43" s="295" t="s">
        <v>294</v>
      </c>
      <c r="C43" s="295" t="s">
        <v>295</v>
      </c>
      <c r="D43" s="57">
        <v>5</v>
      </c>
      <c r="E43" s="57">
        <v>4</v>
      </c>
      <c r="F43" s="57">
        <v>8</v>
      </c>
      <c r="G43" s="57" t="s">
        <v>166</v>
      </c>
      <c r="H43" s="57" t="s">
        <v>166</v>
      </c>
      <c r="I43" s="57" t="s">
        <v>166</v>
      </c>
      <c r="J43" s="57" t="s">
        <v>166</v>
      </c>
      <c r="K43" s="57" t="s">
        <v>166</v>
      </c>
      <c r="L43" s="57">
        <v>5</v>
      </c>
      <c r="M43" s="57">
        <v>8</v>
      </c>
      <c r="N43" s="57">
        <v>5</v>
      </c>
      <c r="O43" s="57" t="s">
        <v>166</v>
      </c>
      <c r="P43" s="56" t="s">
        <v>64</v>
      </c>
      <c r="Q43" s="56" t="s">
        <v>64</v>
      </c>
      <c r="R43" s="56" t="s">
        <v>64</v>
      </c>
      <c r="S43" s="56" t="s">
        <v>64</v>
      </c>
      <c r="T43" s="56" t="s">
        <v>64</v>
      </c>
      <c r="U43" s="56" t="s">
        <v>64</v>
      </c>
      <c r="V43" s="56" t="s">
        <v>64</v>
      </c>
      <c r="W43" s="56" t="s">
        <v>64</v>
      </c>
      <c r="X43" s="56" t="s">
        <v>64</v>
      </c>
      <c r="Y43" s="56" t="s">
        <v>64</v>
      </c>
      <c r="Z43" s="56" t="s">
        <v>64</v>
      </c>
      <c r="AA43" s="56" t="s">
        <v>64</v>
      </c>
      <c r="AB43" s="290" t="s">
        <v>166</v>
      </c>
      <c r="AC43" s="290" t="s">
        <v>166</v>
      </c>
      <c r="AD43" s="290" t="s">
        <v>166</v>
      </c>
      <c r="AE43" s="290" t="s">
        <v>166</v>
      </c>
      <c r="AF43" s="290">
        <v>6</v>
      </c>
      <c r="AG43" s="290">
        <v>6</v>
      </c>
      <c r="AH43" s="290">
        <v>8</v>
      </c>
      <c r="AI43" s="290" t="s">
        <v>166</v>
      </c>
      <c r="AJ43" s="290">
        <v>6</v>
      </c>
      <c r="AK43" s="290">
        <v>6</v>
      </c>
      <c r="AL43" s="290">
        <v>6</v>
      </c>
      <c r="AM43" s="290" t="s">
        <v>166</v>
      </c>
      <c r="AN43" s="3">
        <v>4.5</v>
      </c>
      <c r="AO43" s="75"/>
      <c r="AP43" s="119">
        <v>8.75</v>
      </c>
      <c r="AQ43" s="120" t="s">
        <v>64</v>
      </c>
      <c r="AR43" s="119">
        <v>9.5</v>
      </c>
      <c r="AS43" s="118">
        <v>46</v>
      </c>
      <c r="AT43" s="118">
        <v>32.5</v>
      </c>
      <c r="AU43" s="3" t="s">
        <v>112</v>
      </c>
      <c r="AV43" s="129"/>
      <c r="AY43" s="191"/>
    </row>
    <row r="44" spans="1:51" ht="18">
      <c r="A44" s="189">
        <v>31</v>
      </c>
      <c r="B44" s="295" t="s">
        <v>296</v>
      </c>
      <c r="C44" s="295" t="s">
        <v>297</v>
      </c>
      <c r="D44" s="57" t="s">
        <v>166</v>
      </c>
      <c r="E44" s="57" t="s">
        <v>166</v>
      </c>
      <c r="F44" s="57" t="s">
        <v>166</v>
      </c>
      <c r="G44" s="57" t="s">
        <v>166</v>
      </c>
      <c r="H44" s="57">
        <v>6</v>
      </c>
      <c r="I44" s="57">
        <v>8</v>
      </c>
      <c r="J44" s="57">
        <v>6</v>
      </c>
      <c r="K44" s="57" t="s">
        <v>166</v>
      </c>
      <c r="L44" s="57">
        <v>5</v>
      </c>
      <c r="M44" s="57">
        <v>10</v>
      </c>
      <c r="N44" s="57">
        <v>5</v>
      </c>
      <c r="O44" s="57" t="s">
        <v>166</v>
      </c>
      <c r="P44" s="56" t="s">
        <v>64</v>
      </c>
      <c r="Q44" s="56" t="s">
        <v>64</v>
      </c>
      <c r="R44" s="56" t="s">
        <v>64</v>
      </c>
      <c r="S44" s="56" t="s">
        <v>64</v>
      </c>
      <c r="T44" s="56" t="s">
        <v>64</v>
      </c>
      <c r="U44" s="56" t="s">
        <v>64</v>
      </c>
      <c r="V44" s="56" t="s">
        <v>64</v>
      </c>
      <c r="W44" s="56" t="s">
        <v>64</v>
      </c>
      <c r="X44" s="56" t="s">
        <v>64</v>
      </c>
      <c r="Y44" s="56" t="s">
        <v>64</v>
      </c>
      <c r="Z44" s="56" t="s">
        <v>64</v>
      </c>
      <c r="AA44" s="56" t="s">
        <v>64</v>
      </c>
      <c r="AB44" s="290" t="s">
        <v>166</v>
      </c>
      <c r="AC44" s="290" t="s">
        <v>166</v>
      </c>
      <c r="AD44" s="290" t="s">
        <v>166</v>
      </c>
      <c r="AE44" s="290" t="s">
        <v>166</v>
      </c>
      <c r="AF44" s="290">
        <v>6</v>
      </c>
      <c r="AG44" s="290">
        <v>6</v>
      </c>
      <c r="AH44" s="290">
        <v>8</v>
      </c>
      <c r="AI44" s="290" t="s">
        <v>166</v>
      </c>
      <c r="AJ44" s="290">
        <v>6</v>
      </c>
      <c r="AK44" s="290">
        <v>6</v>
      </c>
      <c r="AL44" s="290">
        <v>7</v>
      </c>
      <c r="AM44" s="290" t="s">
        <v>166</v>
      </c>
      <c r="AN44" s="3">
        <v>4.75</v>
      </c>
      <c r="AO44" s="75"/>
      <c r="AP44" s="119">
        <v>10</v>
      </c>
      <c r="AQ44" s="120" t="s">
        <v>64</v>
      </c>
      <c r="AR44" s="119">
        <v>9.75</v>
      </c>
      <c r="AS44" s="118">
        <v>50</v>
      </c>
      <c r="AT44" s="118">
        <v>38.5</v>
      </c>
      <c r="AU44" s="3" t="s">
        <v>112</v>
      </c>
      <c r="AV44" s="129"/>
      <c r="AY44" s="191"/>
    </row>
    <row r="45" spans="1:51" ht="18">
      <c r="A45" s="189">
        <v>32</v>
      </c>
      <c r="B45" s="295" t="s">
        <v>298</v>
      </c>
      <c r="C45" s="295" t="s">
        <v>299</v>
      </c>
      <c r="D45" s="57" t="s">
        <v>166</v>
      </c>
      <c r="E45" s="57" t="s">
        <v>166</v>
      </c>
      <c r="F45" s="57" t="s">
        <v>166</v>
      </c>
      <c r="G45" s="57" t="s">
        <v>166</v>
      </c>
      <c r="H45" s="57">
        <v>2</v>
      </c>
      <c r="I45" s="57">
        <v>8</v>
      </c>
      <c r="J45" s="57">
        <v>6</v>
      </c>
      <c r="K45" s="57" t="s">
        <v>166</v>
      </c>
      <c r="L45" s="57">
        <v>5</v>
      </c>
      <c r="M45" s="57">
        <v>10</v>
      </c>
      <c r="N45" s="57">
        <v>5</v>
      </c>
      <c r="O45" s="57" t="s">
        <v>166</v>
      </c>
      <c r="P45" s="56">
        <v>4</v>
      </c>
      <c r="Q45" s="56">
        <v>3</v>
      </c>
      <c r="R45" s="56" t="s">
        <v>166</v>
      </c>
      <c r="S45" s="56" t="s">
        <v>166</v>
      </c>
      <c r="T45" s="56">
        <v>4</v>
      </c>
      <c r="U45" s="56">
        <v>4</v>
      </c>
      <c r="V45" s="56" t="s">
        <v>166</v>
      </c>
      <c r="W45" s="56" t="s">
        <v>166</v>
      </c>
      <c r="X45" s="56" t="s">
        <v>166</v>
      </c>
      <c r="Y45" s="56" t="s">
        <v>166</v>
      </c>
      <c r="Z45" s="56" t="s">
        <v>166</v>
      </c>
      <c r="AA45" s="56" t="s">
        <v>166</v>
      </c>
      <c r="AB45" s="290" t="s">
        <v>166</v>
      </c>
      <c r="AC45" s="290" t="s">
        <v>166</v>
      </c>
      <c r="AD45" s="290" t="s">
        <v>166</v>
      </c>
      <c r="AE45" s="290" t="s">
        <v>166</v>
      </c>
      <c r="AF45" s="290">
        <v>6</v>
      </c>
      <c r="AG45" s="290">
        <v>6</v>
      </c>
      <c r="AH45" s="290" t="s">
        <v>166</v>
      </c>
      <c r="AI45" s="290" t="s">
        <v>166</v>
      </c>
      <c r="AJ45" s="290">
        <v>5</v>
      </c>
      <c r="AK45" s="290">
        <v>6</v>
      </c>
      <c r="AL45" s="290" t="s">
        <v>166</v>
      </c>
      <c r="AM45" s="290" t="s">
        <v>166</v>
      </c>
      <c r="AN45" s="3">
        <v>4.25</v>
      </c>
      <c r="AO45" s="75"/>
      <c r="AP45" s="119">
        <v>9</v>
      </c>
      <c r="AQ45" s="120">
        <v>3.75</v>
      </c>
      <c r="AR45" s="119">
        <v>5.75</v>
      </c>
      <c r="AS45" s="118">
        <v>44</v>
      </c>
      <c r="AT45" s="118">
        <v>26</v>
      </c>
      <c r="AU45" s="3" t="s">
        <v>113</v>
      </c>
      <c r="AV45" s="129"/>
      <c r="AY45" s="191"/>
    </row>
    <row r="46" spans="1:51" ht="18">
      <c r="A46" s="189">
        <v>33</v>
      </c>
      <c r="B46" s="295" t="s">
        <v>300</v>
      </c>
      <c r="C46" s="295" t="s">
        <v>301</v>
      </c>
      <c r="D46" s="57" t="s">
        <v>166</v>
      </c>
      <c r="E46" s="57" t="s">
        <v>166</v>
      </c>
      <c r="F46" s="57" t="s">
        <v>166</v>
      </c>
      <c r="G46" s="57" t="s">
        <v>166</v>
      </c>
      <c r="H46" s="57">
        <v>6</v>
      </c>
      <c r="I46" s="57">
        <v>8</v>
      </c>
      <c r="J46" s="57">
        <v>5</v>
      </c>
      <c r="K46" s="57" t="s">
        <v>166</v>
      </c>
      <c r="L46" s="57">
        <v>5</v>
      </c>
      <c r="M46" s="57">
        <v>8</v>
      </c>
      <c r="N46" s="57">
        <v>5</v>
      </c>
      <c r="O46" s="57" t="s">
        <v>166</v>
      </c>
      <c r="P46" s="56" t="s">
        <v>64</v>
      </c>
      <c r="Q46" s="56" t="s">
        <v>64</v>
      </c>
      <c r="R46" s="56" t="s">
        <v>64</v>
      </c>
      <c r="S46" s="56" t="s">
        <v>64</v>
      </c>
      <c r="T46" s="56" t="s">
        <v>64</v>
      </c>
      <c r="U46" s="56" t="s">
        <v>64</v>
      </c>
      <c r="V46" s="56" t="s">
        <v>64</v>
      </c>
      <c r="W46" s="56" t="s">
        <v>64</v>
      </c>
      <c r="X46" s="56" t="s">
        <v>64</v>
      </c>
      <c r="Y46" s="56" t="s">
        <v>64</v>
      </c>
      <c r="Z46" s="56" t="s">
        <v>64</v>
      </c>
      <c r="AA46" s="56" t="s">
        <v>64</v>
      </c>
      <c r="AB46" s="290" t="s">
        <v>166</v>
      </c>
      <c r="AC46" s="290" t="s">
        <v>166</v>
      </c>
      <c r="AD46" s="290" t="s">
        <v>166</v>
      </c>
      <c r="AE46" s="290" t="s">
        <v>166</v>
      </c>
      <c r="AF46" s="290">
        <v>6</v>
      </c>
      <c r="AG46" s="290">
        <v>6</v>
      </c>
      <c r="AH46" s="290">
        <v>8</v>
      </c>
      <c r="AI46" s="290" t="s">
        <v>166</v>
      </c>
      <c r="AJ46" s="290">
        <v>5</v>
      </c>
      <c r="AK46" s="290">
        <v>6</v>
      </c>
      <c r="AL46" s="290">
        <v>7</v>
      </c>
      <c r="AM46" s="290" t="s">
        <v>166</v>
      </c>
      <c r="AN46" s="3">
        <v>5</v>
      </c>
      <c r="AO46" s="75"/>
      <c r="AP46" s="119">
        <v>9.25</v>
      </c>
      <c r="AQ46" s="120" t="s">
        <v>64</v>
      </c>
      <c r="AR46" s="119">
        <v>9.5</v>
      </c>
      <c r="AS46" s="118">
        <v>48</v>
      </c>
      <c r="AT46" s="118">
        <v>36.5</v>
      </c>
      <c r="AU46" s="3" t="s">
        <v>112</v>
      </c>
      <c r="AV46" s="129"/>
      <c r="AY46" s="191"/>
    </row>
    <row r="47" spans="1:51" ht="18">
      <c r="A47" s="189">
        <v>34</v>
      </c>
      <c r="B47" s="295" t="s">
        <v>302</v>
      </c>
      <c r="C47" s="295" t="s">
        <v>303</v>
      </c>
      <c r="D47" s="57" t="s">
        <v>166</v>
      </c>
      <c r="E47" s="57" t="s">
        <v>166</v>
      </c>
      <c r="F47" s="57" t="s">
        <v>166</v>
      </c>
      <c r="G47" s="57" t="s">
        <v>166</v>
      </c>
      <c r="H47" s="57">
        <v>6</v>
      </c>
      <c r="I47" s="57">
        <v>8</v>
      </c>
      <c r="J47" s="57">
        <v>6</v>
      </c>
      <c r="K47" s="57" t="s">
        <v>166</v>
      </c>
      <c r="L47" s="57">
        <v>5</v>
      </c>
      <c r="M47" s="57">
        <v>10</v>
      </c>
      <c r="N47" s="57">
        <v>5</v>
      </c>
      <c r="O47" s="57" t="s">
        <v>166</v>
      </c>
      <c r="P47" s="56" t="s">
        <v>64</v>
      </c>
      <c r="Q47" s="56" t="s">
        <v>64</v>
      </c>
      <c r="R47" s="56" t="s">
        <v>64</v>
      </c>
      <c r="S47" s="56" t="s">
        <v>64</v>
      </c>
      <c r="T47" s="56" t="s">
        <v>64</v>
      </c>
      <c r="U47" s="56" t="s">
        <v>64</v>
      </c>
      <c r="V47" s="56" t="s">
        <v>64</v>
      </c>
      <c r="W47" s="56" t="s">
        <v>64</v>
      </c>
      <c r="X47" s="56" t="s">
        <v>64</v>
      </c>
      <c r="Y47" s="56" t="s">
        <v>64</v>
      </c>
      <c r="Z47" s="56" t="s">
        <v>64</v>
      </c>
      <c r="AA47" s="56" t="s">
        <v>64</v>
      </c>
      <c r="AB47" s="290" t="s">
        <v>166</v>
      </c>
      <c r="AC47" s="290" t="s">
        <v>166</v>
      </c>
      <c r="AD47" s="290" t="s">
        <v>166</v>
      </c>
      <c r="AE47" s="290" t="s">
        <v>166</v>
      </c>
      <c r="AF47" s="290">
        <v>6</v>
      </c>
      <c r="AG47" s="290">
        <v>6</v>
      </c>
      <c r="AH47" s="290">
        <v>8</v>
      </c>
      <c r="AI47" s="290" t="s">
        <v>166</v>
      </c>
      <c r="AJ47" s="290">
        <v>5</v>
      </c>
      <c r="AK47" s="290">
        <v>6</v>
      </c>
      <c r="AL47" s="290">
        <v>7</v>
      </c>
      <c r="AM47" s="290" t="s">
        <v>166</v>
      </c>
      <c r="AN47" s="3">
        <v>5</v>
      </c>
      <c r="AO47" s="75"/>
      <c r="AP47" s="119">
        <v>10</v>
      </c>
      <c r="AQ47" s="120" t="s">
        <v>64</v>
      </c>
      <c r="AR47" s="119">
        <v>9.5</v>
      </c>
      <c r="AS47" s="118">
        <v>49</v>
      </c>
      <c r="AT47" s="118">
        <v>24</v>
      </c>
      <c r="AU47" s="3" t="s">
        <v>113</v>
      </c>
      <c r="AV47" s="129"/>
      <c r="AY47" s="191"/>
    </row>
    <row r="48" spans="1:51" ht="18">
      <c r="A48" s="189">
        <v>35</v>
      </c>
      <c r="B48" s="295" t="s">
        <v>304</v>
      </c>
      <c r="C48" s="295" t="s">
        <v>305</v>
      </c>
      <c r="D48" s="57">
        <v>5</v>
      </c>
      <c r="E48" s="57">
        <v>5</v>
      </c>
      <c r="F48" s="57">
        <v>10</v>
      </c>
      <c r="G48" s="57" t="s">
        <v>166</v>
      </c>
      <c r="H48" s="57" t="s">
        <v>166</v>
      </c>
      <c r="I48" s="57" t="s">
        <v>166</v>
      </c>
      <c r="J48" s="57" t="s">
        <v>166</v>
      </c>
      <c r="K48" s="57" t="s">
        <v>166</v>
      </c>
      <c r="L48" s="57">
        <v>5</v>
      </c>
      <c r="M48" s="57">
        <v>8</v>
      </c>
      <c r="N48" s="57">
        <v>5</v>
      </c>
      <c r="O48" s="57" t="s">
        <v>166</v>
      </c>
      <c r="P48" s="56">
        <v>4</v>
      </c>
      <c r="Q48" s="56">
        <v>6</v>
      </c>
      <c r="R48" s="56">
        <v>10</v>
      </c>
      <c r="S48" s="56" t="s">
        <v>166</v>
      </c>
      <c r="T48" s="56">
        <v>4</v>
      </c>
      <c r="U48" s="56">
        <v>6</v>
      </c>
      <c r="V48" s="56">
        <v>10</v>
      </c>
      <c r="W48" s="56" t="s">
        <v>166</v>
      </c>
      <c r="X48" s="56" t="s">
        <v>166</v>
      </c>
      <c r="Y48" s="56" t="s">
        <v>166</v>
      </c>
      <c r="Z48" s="56" t="s">
        <v>166</v>
      </c>
      <c r="AA48" s="56" t="s">
        <v>166</v>
      </c>
      <c r="AB48" s="290" t="s">
        <v>64</v>
      </c>
      <c r="AC48" s="290" t="s">
        <v>64</v>
      </c>
      <c r="AD48" s="290" t="s">
        <v>64</v>
      </c>
      <c r="AE48" s="290" t="s">
        <v>64</v>
      </c>
      <c r="AF48" s="290" t="s">
        <v>64</v>
      </c>
      <c r="AG48" s="290" t="s">
        <v>64</v>
      </c>
      <c r="AH48" s="290" t="s">
        <v>64</v>
      </c>
      <c r="AI48" s="290" t="s">
        <v>64</v>
      </c>
      <c r="AJ48" s="290" t="s">
        <v>64</v>
      </c>
      <c r="AK48" s="290" t="s">
        <v>64</v>
      </c>
      <c r="AL48" s="290" t="s">
        <v>64</v>
      </c>
      <c r="AM48" s="290" t="s">
        <v>64</v>
      </c>
      <c r="AN48" s="3">
        <v>4.75</v>
      </c>
      <c r="AO48" s="75"/>
      <c r="AP48" s="119">
        <v>9.5</v>
      </c>
      <c r="AQ48" s="120">
        <v>10</v>
      </c>
      <c r="AR48" s="119" t="s">
        <v>64</v>
      </c>
      <c r="AS48" s="118">
        <v>49</v>
      </c>
      <c r="AT48" s="118">
        <v>33.5</v>
      </c>
      <c r="AU48" s="3" t="s">
        <v>112</v>
      </c>
      <c r="AV48" s="129"/>
      <c r="AY48" s="191"/>
    </row>
    <row r="49" spans="1:51" ht="18">
      <c r="A49" s="189">
        <v>36</v>
      </c>
      <c r="B49" s="295" t="s">
        <v>306</v>
      </c>
      <c r="C49" s="295" t="s">
        <v>307</v>
      </c>
      <c r="D49" s="57">
        <v>4</v>
      </c>
      <c r="E49" s="57">
        <v>5</v>
      </c>
      <c r="F49" s="57">
        <v>8</v>
      </c>
      <c r="G49" s="57" t="s">
        <v>166</v>
      </c>
      <c r="H49" s="57" t="s">
        <v>166</v>
      </c>
      <c r="I49" s="57" t="s">
        <v>166</v>
      </c>
      <c r="J49" s="57" t="s">
        <v>166</v>
      </c>
      <c r="K49" s="57" t="s">
        <v>166</v>
      </c>
      <c r="L49" s="57">
        <v>5</v>
      </c>
      <c r="M49" s="57">
        <v>10</v>
      </c>
      <c r="N49" s="57">
        <v>5</v>
      </c>
      <c r="O49" s="57" t="s">
        <v>166</v>
      </c>
      <c r="P49" s="56">
        <v>4</v>
      </c>
      <c r="Q49" s="56">
        <v>0</v>
      </c>
      <c r="R49" s="56">
        <v>10</v>
      </c>
      <c r="S49" s="56" t="s">
        <v>166</v>
      </c>
      <c r="T49" s="56" t="s">
        <v>166</v>
      </c>
      <c r="U49" s="56" t="s">
        <v>166</v>
      </c>
      <c r="V49" s="56" t="s">
        <v>166</v>
      </c>
      <c r="W49" s="56" t="s">
        <v>166</v>
      </c>
      <c r="X49" s="56">
        <v>4</v>
      </c>
      <c r="Y49" s="56">
        <v>6</v>
      </c>
      <c r="Z49" s="56">
        <v>10</v>
      </c>
      <c r="AA49" s="56" t="s">
        <v>166</v>
      </c>
      <c r="AB49" s="290" t="s">
        <v>64</v>
      </c>
      <c r="AC49" s="290" t="s">
        <v>64</v>
      </c>
      <c r="AD49" s="290" t="s">
        <v>64</v>
      </c>
      <c r="AE49" s="290" t="s">
        <v>64</v>
      </c>
      <c r="AF49" s="290" t="s">
        <v>64</v>
      </c>
      <c r="AG49" s="290" t="s">
        <v>64</v>
      </c>
      <c r="AH49" s="290" t="s">
        <v>64</v>
      </c>
      <c r="AI49" s="290" t="s">
        <v>64</v>
      </c>
      <c r="AJ49" s="290" t="s">
        <v>64</v>
      </c>
      <c r="AK49" s="290" t="s">
        <v>64</v>
      </c>
      <c r="AL49" s="290" t="s">
        <v>64</v>
      </c>
      <c r="AM49" s="290" t="s">
        <v>64</v>
      </c>
      <c r="AN49" s="3">
        <v>4.75</v>
      </c>
      <c r="AO49" s="75"/>
      <c r="AP49" s="119">
        <v>9.25</v>
      </c>
      <c r="AQ49" s="120">
        <v>8.5</v>
      </c>
      <c r="AR49" s="119" t="s">
        <v>64</v>
      </c>
      <c r="AS49" s="118">
        <v>45</v>
      </c>
      <c r="AT49" s="118">
        <v>41</v>
      </c>
      <c r="AU49" s="3" t="s">
        <v>112</v>
      </c>
      <c r="AV49" s="129"/>
      <c r="AY49" s="191"/>
    </row>
    <row r="50" spans="1:51" ht="18">
      <c r="A50" s="189">
        <v>37</v>
      </c>
      <c r="B50" s="295" t="s">
        <v>308</v>
      </c>
      <c r="C50" s="295" t="s">
        <v>309</v>
      </c>
      <c r="D50" s="57">
        <v>5</v>
      </c>
      <c r="E50" s="57">
        <v>5</v>
      </c>
      <c r="F50" s="57">
        <v>8</v>
      </c>
      <c r="G50" s="57" t="s">
        <v>166</v>
      </c>
      <c r="H50" s="57" t="s">
        <v>166</v>
      </c>
      <c r="I50" s="57" t="s">
        <v>166</v>
      </c>
      <c r="J50" s="57" t="s">
        <v>166</v>
      </c>
      <c r="K50" s="57" t="s">
        <v>166</v>
      </c>
      <c r="L50" s="57">
        <v>6</v>
      </c>
      <c r="M50" s="57" t="s">
        <v>166</v>
      </c>
      <c r="N50" s="57">
        <v>6</v>
      </c>
      <c r="O50" s="57" t="s">
        <v>166</v>
      </c>
      <c r="P50" s="56">
        <v>4</v>
      </c>
      <c r="Q50" s="56">
        <v>3</v>
      </c>
      <c r="R50" s="56">
        <v>10</v>
      </c>
      <c r="S50" s="56" t="s">
        <v>166</v>
      </c>
      <c r="T50" s="56">
        <v>4</v>
      </c>
      <c r="U50" s="56">
        <v>5</v>
      </c>
      <c r="V50" s="56">
        <v>10</v>
      </c>
      <c r="W50" s="56" t="s">
        <v>166</v>
      </c>
      <c r="X50" s="56" t="s">
        <v>166</v>
      </c>
      <c r="Y50" s="56" t="s">
        <v>166</v>
      </c>
      <c r="Z50" s="56" t="s">
        <v>166</v>
      </c>
      <c r="AA50" s="56" t="s">
        <v>166</v>
      </c>
      <c r="AB50" s="290" t="s">
        <v>64</v>
      </c>
      <c r="AC50" s="290" t="s">
        <v>64</v>
      </c>
      <c r="AD50" s="290" t="s">
        <v>64</v>
      </c>
      <c r="AE50" s="290" t="s">
        <v>64</v>
      </c>
      <c r="AF50" s="290" t="s">
        <v>64</v>
      </c>
      <c r="AG50" s="290" t="s">
        <v>64</v>
      </c>
      <c r="AH50" s="290" t="s">
        <v>64</v>
      </c>
      <c r="AI50" s="290" t="s">
        <v>64</v>
      </c>
      <c r="AJ50" s="290" t="s">
        <v>64</v>
      </c>
      <c r="AK50" s="290" t="s">
        <v>64</v>
      </c>
      <c r="AL50" s="290" t="s">
        <v>64</v>
      </c>
      <c r="AM50" s="290" t="s">
        <v>64</v>
      </c>
      <c r="AN50" s="3">
        <v>4</v>
      </c>
      <c r="AO50" s="75"/>
      <c r="AP50" s="119">
        <v>7.5</v>
      </c>
      <c r="AQ50" s="120">
        <v>9</v>
      </c>
      <c r="AR50" s="119" t="s">
        <v>64</v>
      </c>
      <c r="AS50" s="118">
        <v>44</v>
      </c>
      <c r="AT50" s="118">
        <v>33</v>
      </c>
      <c r="AU50" s="3" t="s">
        <v>112</v>
      </c>
      <c r="AV50" s="129"/>
      <c r="AY50" s="191"/>
    </row>
    <row r="51" spans="1:51" ht="18">
      <c r="A51" s="189">
        <v>38</v>
      </c>
      <c r="B51" s="295" t="s">
        <v>310</v>
      </c>
      <c r="C51" s="295" t="s">
        <v>311</v>
      </c>
      <c r="D51" s="57">
        <v>5</v>
      </c>
      <c r="E51" s="57">
        <v>5</v>
      </c>
      <c r="F51" s="57">
        <v>9</v>
      </c>
      <c r="G51" s="57" t="s">
        <v>166</v>
      </c>
      <c r="H51" s="57">
        <v>6</v>
      </c>
      <c r="I51" s="57">
        <v>6</v>
      </c>
      <c r="J51" s="57">
        <v>6</v>
      </c>
      <c r="K51" s="57" t="s">
        <v>166</v>
      </c>
      <c r="L51" s="57">
        <v>5</v>
      </c>
      <c r="M51" s="57">
        <v>0</v>
      </c>
      <c r="N51" s="57">
        <v>5</v>
      </c>
      <c r="O51" s="57" t="s">
        <v>166</v>
      </c>
      <c r="P51" s="56" t="s">
        <v>64</v>
      </c>
      <c r="Q51" s="56" t="s">
        <v>64</v>
      </c>
      <c r="R51" s="56" t="s">
        <v>64</v>
      </c>
      <c r="S51" s="56" t="s">
        <v>64</v>
      </c>
      <c r="T51" s="56" t="s">
        <v>64</v>
      </c>
      <c r="U51" s="56" t="s">
        <v>64</v>
      </c>
      <c r="V51" s="56" t="s">
        <v>64</v>
      </c>
      <c r="W51" s="56" t="s">
        <v>64</v>
      </c>
      <c r="X51" s="56" t="s">
        <v>64</v>
      </c>
      <c r="Y51" s="56" t="s">
        <v>64</v>
      </c>
      <c r="Z51" s="56" t="s">
        <v>64</v>
      </c>
      <c r="AA51" s="56" t="s">
        <v>64</v>
      </c>
      <c r="AB51" s="290">
        <v>6</v>
      </c>
      <c r="AC51" s="290">
        <v>5</v>
      </c>
      <c r="AD51" s="290">
        <v>8</v>
      </c>
      <c r="AE51" s="290" t="s">
        <v>166</v>
      </c>
      <c r="AF51" s="290">
        <v>6</v>
      </c>
      <c r="AG51" s="290">
        <v>6</v>
      </c>
      <c r="AH51" s="290">
        <v>8</v>
      </c>
      <c r="AI51" s="290" t="s">
        <v>166</v>
      </c>
      <c r="AJ51" s="290" t="s">
        <v>166</v>
      </c>
      <c r="AK51" s="290" t="s">
        <v>166</v>
      </c>
      <c r="AL51" s="290" t="s">
        <v>166</v>
      </c>
      <c r="AM51" s="290" t="s">
        <v>166</v>
      </c>
      <c r="AN51" s="3">
        <v>4.5</v>
      </c>
      <c r="AO51" s="75"/>
      <c r="AP51" s="119">
        <v>9.25</v>
      </c>
      <c r="AQ51" s="120" t="s">
        <v>64</v>
      </c>
      <c r="AR51" s="119">
        <v>9.75</v>
      </c>
      <c r="AS51" s="118">
        <v>48</v>
      </c>
      <c r="AT51" s="118">
        <v>24</v>
      </c>
      <c r="AU51" s="3" t="s">
        <v>112</v>
      </c>
      <c r="AV51" s="129"/>
      <c r="AY51" s="191"/>
    </row>
    <row r="52" spans="1:51" ht="18">
      <c r="A52" s="189">
        <v>39</v>
      </c>
      <c r="B52" s="295" t="s">
        <v>312</v>
      </c>
      <c r="C52" s="295" t="s">
        <v>313</v>
      </c>
      <c r="D52" s="57">
        <v>5</v>
      </c>
      <c r="E52" s="57">
        <v>5</v>
      </c>
      <c r="F52" s="57">
        <v>9</v>
      </c>
      <c r="G52" s="57" t="s">
        <v>166</v>
      </c>
      <c r="H52" s="57">
        <v>6</v>
      </c>
      <c r="I52" s="57">
        <v>6</v>
      </c>
      <c r="J52" s="57">
        <v>6</v>
      </c>
      <c r="K52" s="57" t="s">
        <v>166</v>
      </c>
      <c r="L52" s="57" t="s">
        <v>166</v>
      </c>
      <c r="M52" s="57" t="s">
        <v>166</v>
      </c>
      <c r="N52" s="57" t="s">
        <v>166</v>
      </c>
      <c r="O52" s="57" t="s">
        <v>166</v>
      </c>
      <c r="P52" s="56">
        <v>4</v>
      </c>
      <c r="Q52" s="56">
        <v>0</v>
      </c>
      <c r="R52" s="56">
        <v>10</v>
      </c>
      <c r="S52" s="56" t="s">
        <v>166</v>
      </c>
      <c r="T52" s="56">
        <v>4</v>
      </c>
      <c r="U52" s="56">
        <v>5</v>
      </c>
      <c r="V52" s="56">
        <v>7</v>
      </c>
      <c r="W52" s="56" t="s">
        <v>166</v>
      </c>
      <c r="X52" s="56" t="s">
        <v>166</v>
      </c>
      <c r="Y52" s="56" t="s">
        <v>166</v>
      </c>
      <c r="Z52" s="56" t="s">
        <v>166</v>
      </c>
      <c r="AA52" s="56" t="s">
        <v>166</v>
      </c>
      <c r="AB52" s="290" t="s">
        <v>64</v>
      </c>
      <c r="AC52" s="290" t="s">
        <v>64</v>
      </c>
      <c r="AD52" s="290" t="s">
        <v>64</v>
      </c>
      <c r="AE52" s="290" t="s">
        <v>64</v>
      </c>
      <c r="AF52" s="290" t="s">
        <v>64</v>
      </c>
      <c r="AG52" s="290" t="s">
        <v>64</v>
      </c>
      <c r="AH52" s="290" t="s">
        <v>64</v>
      </c>
      <c r="AI52" s="290" t="s">
        <v>64</v>
      </c>
      <c r="AJ52" s="290" t="s">
        <v>64</v>
      </c>
      <c r="AK52" s="290" t="s">
        <v>64</v>
      </c>
      <c r="AL52" s="290" t="s">
        <v>64</v>
      </c>
      <c r="AM52" s="290" t="s">
        <v>64</v>
      </c>
      <c r="AN52" s="3">
        <v>4</v>
      </c>
      <c r="AO52" s="75"/>
      <c r="AP52" s="119">
        <v>9.25</v>
      </c>
      <c r="AQ52" s="120">
        <v>7.5</v>
      </c>
      <c r="AR52" s="119" t="s">
        <v>64</v>
      </c>
      <c r="AS52" s="118">
        <v>43</v>
      </c>
      <c r="AT52" s="118">
        <v>21</v>
      </c>
      <c r="AU52" s="3" t="s">
        <v>113</v>
      </c>
      <c r="AV52" s="129"/>
      <c r="AY52" s="191"/>
    </row>
    <row r="53" spans="1:51" ht="18">
      <c r="A53" s="189">
        <v>40</v>
      </c>
      <c r="B53" s="295" t="s">
        <v>314</v>
      </c>
      <c r="C53" s="295" t="s">
        <v>315</v>
      </c>
      <c r="D53" s="57">
        <v>5</v>
      </c>
      <c r="E53" s="57">
        <v>5</v>
      </c>
      <c r="F53" s="57">
        <v>8</v>
      </c>
      <c r="G53" s="57" t="s">
        <v>166</v>
      </c>
      <c r="H53" s="57" t="s">
        <v>166</v>
      </c>
      <c r="I53" s="57" t="s">
        <v>166</v>
      </c>
      <c r="J53" s="57" t="s">
        <v>166</v>
      </c>
      <c r="K53" s="57" t="s">
        <v>166</v>
      </c>
      <c r="L53" s="57">
        <v>5</v>
      </c>
      <c r="M53" s="57">
        <v>5</v>
      </c>
      <c r="N53" s="57">
        <v>5</v>
      </c>
      <c r="O53" s="57" t="s">
        <v>166</v>
      </c>
      <c r="P53" s="56" t="s">
        <v>64</v>
      </c>
      <c r="Q53" s="56" t="s">
        <v>64</v>
      </c>
      <c r="R53" s="56" t="s">
        <v>64</v>
      </c>
      <c r="S53" s="56" t="s">
        <v>64</v>
      </c>
      <c r="T53" s="56" t="s">
        <v>64</v>
      </c>
      <c r="U53" s="56" t="s">
        <v>64</v>
      </c>
      <c r="V53" s="56" t="s">
        <v>64</v>
      </c>
      <c r="W53" s="56" t="s">
        <v>64</v>
      </c>
      <c r="X53" s="56" t="s">
        <v>64</v>
      </c>
      <c r="Y53" s="56" t="s">
        <v>64</v>
      </c>
      <c r="Z53" s="56" t="s">
        <v>64</v>
      </c>
      <c r="AA53" s="56" t="s">
        <v>64</v>
      </c>
      <c r="AB53" s="290">
        <v>6</v>
      </c>
      <c r="AC53" s="290">
        <v>6</v>
      </c>
      <c r="AD53" s="290">
        <v>6</v>
      </c>
      <c r="AE53" s="290" t="s">
        <v>166</v>
      </c>
      <c r="AF53" s="290">
        <v>6</v>
      </c>
      <c r="AG53" s="290">
        <v>6</v>
      </c>
      <c r="AH53" s="290">
        <v>2</v>
      </c>
      <c r="AI53" s="290" t="s">
        <v>166</v>
      </c>
      <c r="AJ53" s="290" t="s">
        <v>166</v>
      </c>
      <c r="AK53" s="290" t="s">
        <v>166</v>
      </c>
      <c r="AL53" s="290" t="s">
        <v>166</v>
      </c>
      <c r="AM53" s="290" t="s">
        <v>166</v>
      </c>
      <c r="AN53" s="3">
        <v>4.25</v>
      </c>
      <c r="AO53" s="75"/>
      <c r="AP53" s="119">
        <v>8.25</v>
      </c>
      <c r="AQ53" s="120" t="s">
        <v>64</v>
      </c>
      <c r="AR53" s="119">
        <v>8</v>
      </c>
      <c r="AS53" s="118">
        <v>45</v>
      </c>
      <c r="AT53" s="118">
        <v>21.5</v>
      </c>
      <c r="AU53" s="3" t="s">
        <v>113</v>
      </c>
      <c r="AV53" s="129"/>
      <c r="AY53" s="191"/>
    </row>
    <row r="54" spans="1:51" ht="18">
      <c r="A54" s="189">
        <v>41</v>
      </c>
      <c r="B54" s="295" t="s">
        <v>316</v>
      </c>
      <c r="C54" s="295" t="s">
        <v>317</v>
      </c>
      <c r="D54" s="57" t="s">
        <v>166</v>
      </c>
      <c r="E54" s="57" t="s">
        <v>166</v>
      </c>
      <c r="F54" s="57" t="s">
        <v>166</v>
      </c>
      <c r="G54" s="57" t="s">
        <v>166</v>
      </c>
      <c r="H54" s="57">
        <v>6</v>
      </c>
      <c r="I54" s="57">
        <v>8</v>
      </c>
      <c r="J54" s="57">
        <v>6</v>
      </c>
      <c r="K54" s="57" t="s">
        <v>166</v>
      </c>
      <c r="L54" s="57">
        <v>5</v>
      </c>
      <c r="M54" s="57">
        <v>10</v>
      </c>
      <c r="N54" s="57">
        <v>5</v>
      </c>
      <c r="O54" s="57" t="s">
        <v>166</v>
      </c>
      <c r="P54" s="56">
        <v>4</v>
      </c>
      <c r="Q54" s="56">
        <v>6</v>
      </c>
      <c r="R54" s="56">
        <v>10</v>
      </c>
      <c r="S54" s="56" t="s">
        <v>166</v>
      </c>
      <c r="T54" s="56">
        <v>4</v>
      </c>
      <c r="U54" s="56">
        <v>6</v>
      </c>
      <c r="V54" s="56">
        <v>10</v>
      </c>
      <c r="W54" s="56" t="s">
        <v>166</v>
      </c>
      <c r="X54" s="56" t="s">
        <v>166</v>
      </c>
      <c r="Y54" s="56" t="s">
        <v>166</v>
      </c>
      <c r="Z54" s="56" t="s">
        <v>166</v>
      </c>
      <c r="AA54" s="56" t="s">
        <v>166</v>
      </c>
      <c r="AB54" s="290" t="s">
        <v>64</v>
      </c>
      <c r="AC54" s="290" t="s">
        <v>64</v>
      </c>
      <c r="AD54" s="290" t="s">
        <v>64</v>
      </c>
      <c r="AE54" s="290" t="s">
        <v>64</v>
      </c>
      <c r="AF54" s="290" t="s">
        <v>64</v>
      </c>
      <c r="AG54" s="290" t="s">
        <v>64</v>
      </c>
      <c r="AH54" s="290" t="s">
        <v>64</v>
      </c>
      <c r="AI54" s="290" t="s">
        <v>64</v>
      </c>
      <c r="AJ54" s="290" t="s">
        <v>64</v>
      </c>
      <c r="AK54" s="290" t="s">
        <v>64</v>
      </c>
      <c r="AL54" s="290" t="s">
        <v>64</v>
      </c>
      <c r="AM54" s="290" t="s">
        <v>64</v>
      </c>
      <c r="AN54" s="3">
        <v>4.25</v>
      </c>
      <c r="AO54" s="75"/>
      <c r="AP54" s="119">
        <v>10</v>
      </c>
      <c r="AQ54" s="120">
        <v>10</v>
      </c>
      <c r="AR54" s="119" t="s">
        <v>64</v>
      </c>
      <c r="AS54" s="118">
        <v>48</v>
      </c>
      <c r="AT54" s="118">
        <v>36</v>
      </c>
      <c r="AU54" s="3" t="s">
        <v>112</v>
      </c>
      <c r="AV54" s="129"/>
      <c r="AY54" s="191"/>
    </row>
    <row r="55" spans="1:51" ht="24.75" customHeight="1">
      <c r="A55" s="189">
        <v>42</v>
      </c>
      <c r="B55" s="295" t="s">
        <v>318</v>
      </c>
      <c r="C55" s="295" t="s">
        <v>319</v>
      </c>
      <c r="D55" s="57">
        <v>5</v>
      </c>
      <c r="E55" s="57">
        <v>5</v>
      </c>
      <c r="F55" s="57">
        <v>7</v>
      </c>
      <c r="G55" s="57" t="s">
        <v>166</v>
      </c>
      <c r="H55" s="57">
        <v>4</v>
      </c>
      <c r="I55" s="57">
        <v>8</v>
      </c>
      <c r="J55" s="57">
        <v>6</v>
      </c>
      <c r="K55" s="57" t="s">
        <v>166</v>
      </c>
      <c r="L55" s="57" t="s">
        <v>166</v>
      </c>
      <c r="M55" s="57" t="s">
        <v>166</v>
      </c>
      <c r="N55" s="57" t="s">
        <v>166</v>
      </c>
      <c r="O55" s="57" t="s">
        <v>166</v>
      </c>
      <c r="P55" s="56">
        <v>4</v>
      </c>
      <c r="Q55" s="56">
        <v>0</v>
      </c>
      <c r="R55" s="56">
        <v>10</v>
      </c>
      <c r="S55" s="56" t="s">
        <v>166</v>
      </c>
      <c r="T55" s="56">
        <v>4</v>
      </c>
      <c r="U55" s="56">
        <v>6</v>
      </c>
      <c r="V55" s="56">
        <v>10</v>
      </c>
      <c r="W55" s="56" t="s">
        <v>166</v>
      </c>
      <c r="X55" s="56" t="s">
        <v>166</v>
      </c>
      <c r="Y55" s="56" t="s">
        <v>166</v>
      </c>
      <c r="Z55" s="56" t="s">
        <v>166</v>
      </c>
      <c r="AA55" s="56" t="s">
        <v>166</v>
      </c>
      <c r="AB55" s="290" t="s">
        <v>64</v>
      </c>
      <c r="AC55" s="290" t="s">
        <v>64</v>
      </c>
      <c r="AD55" s="290" t="s">
        <v>64</v>
      </c>
      <c r="AE55" s="290" t="s">
        <v>64</v>
      </c>
      <c r="AF55" s="290" t="s">
        <v>64</v>
      </c>
      <c r="AG55" s="290" t="s">
        <v>64</v>
      </c>
      <c r="AH55" s="290" t="s">
        <v>64</v>
      </c>
      <c r="AI55" s="290" t="s">
        <v>64</v>
      </c>
      <c r="AJ55" s="290" t="s">
        <v>64</v>
      </c>
      <c r="AK55" s="290" t="s">
        <v>64</v>
      </c>
      <c r="AL55" s="290" t="s">
        <v>64</v>
      </c>
      <c r="AM55" s="290" t="s">
        <v>64</v>
      </c>
      <c r="AN55" s="3">
        <v>4.5</v>
      </c>
      <c r="AO55" s="75"/>
      <c r="AP55" s="119">
        <v>8.75</v>
      </c>
      <c r="AQ55" s="120">
        <v>8.5</v>
      </c>
      <c r="AR55" s="119" t="s">
        <v>64</v>
      </c>
      <c r="AS55" s="118">
        <v>47</v>
      </c>
      <c r="AT55" s="118">
        <v>32.5</v>
      </c>
      <c r="AU55" s="3" t="s">
        <v>112</v>
      </c>
      <c r="AV55" s="129"/>
      <c r="AY55" s="191"/>
    </row>
    <row r="56" spans="1:51" ht="18">
      <c r="A56" s="189">
        <v>43</v>
      </c>
      <c r="B56" s="295" t="s">
        <v>320</v>
      </c>
      <c r="C56" s="295" t="s">
        <v>321</v>
      </c>
      <c r="D56" s="57" t="s">
        <v>64</v>
      </c>
      <c r="E56" s="57" t="s">
        <v>64</v>
      </c>
      <c r="F56" s="57" t="s">
        <v>64</v>
      </c>
      <c r="G56" s="57" t="s">
        <v>64</v>
      </c>
      <c r="H56" s="57" t="s">
        <v>64</v>
      </c>
      <c r="I56" s="57" t="s">
        <v>64</v>
      </c>
      <c r="J56" s="57" t="s">
        <v>64</v>
      </c>
      <c r="K56" s="57" t="s">
        <v>64</v>
      </c>
      <c r="L56" s="57" t="s">
        <v>64</v>
      </c>
      <c r="M56" s="57" t="s">
        <v>64</v>
      </c>
      <c r="N56" s="57" t="s">
        <v>64</v>
      </c>
      <c r="O56" s="57" t="s">
        <v>64</v>
      </c>
      <c r="P56" s="56">
        <v>4</v>
      </c>
      <c r="Q56" s="56">
        <v>0</v>
      </c>
      <c r="R56" s="56">
        <v>10</v>
      </c>
      <c r="S56" s="56" t="s">
        <v>166</v>
      </c>
      <c r="T56" s="56">
        <v>4</v>
      </c>
      <c r="U56" s="56">
        <v>6</v>
      </c>
      <c r="V56" s="56">
        <v>10</v>
      </c>
      <c r="W56" s="56" t="s">
        <v>166</v>
      </c>
      <c r="X56" s="56" t="s">
        <v>166</v>
      </c>
      <c r="Y56" s="56" t="s">
        <v>166</v>
      </c>
      <c r="Z56" s="56" t="s">
        <v>166</v>
      </c>
      <c r="AA56" s="56" t="s">
        <v>166</v>
      </c>
      <c r="AB56" s="290">
        <v>6</v>
      </c>
      <c r="AC56" s="290">
        <v>6</v>
      </c>
      <c r="AD56" s="290">
        <v>4</v>
      </c>
      <c r="AE56" s="290" t="s">
        <v>166</v>
      </c>
      <c r="AF56" s="290">
        <v>6</v>
      </c>
      <c r="AG56" s="290">
        <v>6</v>
      </c>
      <c r="AH56" s="290">
        <v>8</v>
      </c>
      <c r="AI56" s="290" t="s">
        <v>166</v>
      </c>
      <c r="AJ56" s="290" t="s">
        <v>166</v>
      </c>
      <c r="AK56" s="290" t="s">
        <v>166</v>
      </c>
      <c r="AL56" s="290" t="s">
        <v>166</v>
      </c>
      <c r="AM56" s="290" t="s">
        <v>166</v>
      </c>
      <c r="AN56" s="3">
        <v>4</v>
      </c>
      <c r="AO56" s="75"/>
      <c r="AP56" s="119" t="s">
        <v>64</v>
      </c>
      <c r="AQ56" s="120">
        <v>8.5</v>
      </c>
      <c r="AR56" s="119">
        <v>9</v>
      </c>
      <c r="AS56" s="118">
        <v>47</v>
      </c>
      <c r="AT56" s="118">
        <v>32</v>
      </c>
      <c r="AU56" s="3" t="s">
        <v>112</v>
      </c>
      <c r="AV56" s="129"/>
      <c r="AY56" s="191"/>
    </row>
    <row r="57" spans="1:51" ht="18">
      <c r="A57" s="189">
        <v>44</v>
      </c>
      <c r="B57" s="295" t="s">
        <v>322</v>
      </c>
      <c r="C57" s="295" t="s">
        <v>323</v>
      </c>
      <c r="D57" s="57" t="s">
        <v>166</v>
      </c>
      <c r="E57" s="57" t="s">
        <v>166</v>
      </c>
      <c r="F57" s="57" t="s">
        <v>166</v>
      </c>
      <c r="G57" s="57" t="s">
        <v>166</v>
      </c>
      <c r="H57" s="57">
        <v>6</v>
      </c>
      <c r="I57" s="57">
        <v>8</v>
      </c>
      <c r="J57" s="57">
        <v>6</v>
      </c>
      <c r="K57" s="57" t="s">
        <v>166</v>
      </c>
      <c r="L57" s="57">
        <v>5</v>
      </c>
      <c r="M57" s="57">
        <v>9</v>
      </c>
      <c r="N57" s="57">
        <v>5</v>
      </c>
      <c r="O57" s="57" t="s">
        <v>166</v>
      </c>
      <c r="P57" s="56" t="s">
        <v>166</v>
      </c>
      <c r="Q57" s="56" t="s">
        <v>166</v>
      </c>
      <c r="R57" s="56" t="s">
        <v>166</v>
      </c>
      <c r="S57" s="56" t="s">
        <v>166</v>
      </c>
      <c r="T57" s="56">
        <v>4</v>
      </c>
      <c r="U57" s="56">
        <v>6</v>
      </c>
      <c r="V57" s="56">
        <v>8</v>
      </c>
      <c r="W57" s="56" t="s">
        <v>166</v>
      </c>
      <c r="X57" s="56">
        <v>4</v>
      </c>
      <c r="Y57" s="56">
        <v>6</v>
      </c>
      <c r="Z57" s="56">
        <v>5</v>
      </c>
      <c r="AA57" s="56" t="s">
        <v>166</v>
      </c>
      <c r="AB57" s="290" t="s">
        <v>64</v>
      </c>
      <c r="AC57" s="290" t="s">
        <v>64</v>
      </c>
      <c r="AD57" s="290" t="s">
        <v>64</v>
      </c>
      <c r="AE57" s="290" t="s">
        <v>64</v>
      </c>
      <c r="AF57" s="290" t="s">
        <v>64</v>
      </c>
      <c r="AG57" s="290" t="s">
        <v>64</v>
      </c>
      <c r="AH57" s="290" t="s">
        <v>64</v>
      </c>
      <c r="AI57" s="290" t="s">
        <v>64</v>
      </c>
      <c r="AJ57" s="290" t="s">
        <v>64</v>
      </c>
      <c r="AK57" s="290" t="s">
        <v>64</v>
      </c>
      <c r="AL57" s="290" t="s">
        <v>64</v>
      </c>
      <c r="AM57" s="290" t="s">
        <v>64</v>
      </c>
      <c r="AN57" s="3">
        <v>4.75</v>
      </c>
      <c r="AO57" s="75"/>
      <c r="AP57" s="119">
        <v>9.75</v>
      </c>
      <c r="AQ57" s="120">
        <v>8.25</v>
      </c>
      <c r="AR57" s="119" t="s">
        <v>64</v>
      </c>
      <c r="AS57" s="118">
        <v>46</v>
      </c>
      <c r="AT57" s="118">
        <v>24</v>
      </c>
      <c r="AU57" s="3" t="s">
        <v>113</v>
      </c>
      <c r="AV57" s="129"/>
      <c r="AY57" s="191"/>
    </row>
    <row r="58" spans="1:51" ht="18">
      <c r="A58" s="189">
        <v>45</v>
      </c>
      <c r="B58" s="295" t="s">
        <v>324</v>
      </c>
      <c r="C58" s="295" t="s">
        <v>325</v>
      </c>
      <c r="D58" s="57" t="s">
        <v>64</v>
      </c>
      <c r="E58" s="57" t="s">
        <v>64</v>
      </c>
      <c r="F58" s="57" t="s">
        <v>64</v>
      </c>
      <c r="G58" s="57" t="s">
        <v>64</v>
      </c>
      <c r="H58" s="57" t="s">
        <v>64</v>
      </c>
      <c r="I58" s="57" t="s">
        <v>64</v>
      </c>
      <c r="J58" s="57" t="s">
        <v>64</v>
      </c>
      <c r="K58" s="57" t="s">
        <v>64</v>
      </c>
      <c r="L58" s="57" t="s">
        <v>64</v>
      </c>
      <c r="M58" s="57" t="s">
        <v>64</v>
      </c>
      <c r="N58" s="57" t="s">
        <v>64</v>
      </c>
      <c r="O58" s="57" t="s">
        <v>64</v>
      </c>
      <c r="P58" s="56">
        <v>2</v>
      </c>
      <c r="Q58" s="56">
        <v>3</v>
      </c>
      <c r="R58" s="56">
        <v>9</v>
      </c>
      <c r="S58" s="56" t="s">
        <v>166</v>
      </c>
      <c r="T58" s="56">
        <v>4</v>
      </c>
      <c r="U58" s="56">
        <v>2</v>
      </c>
      <c r="V58" s="56">
        <v>4</v>
      </c>
      <c r="W58" s="56" t="s">
        <v>166</v>
      </c>
      <c r="X58" s="56" t="s">
        <v>166</v>
      </c>
      <c r="Y58" s="56" t="s">
        <v>166</v>
      </c>
      <c r="Z58" s="56" t="s">
        <v>166</v>
      </c>
      <c r="AA58" s="56" t="s">
        <v>166</v>
      </c>
      <c r="AB58" s="290">
        <v>4</v>
      </c>
      <c r="AC58" s="290">
        <v>6</v>
      </c>
      <c r="AD58" s="290">
        <v>4</v>
      </c>
      <c r="AE58" s="290" t="s">
        <v>166</v>
      </c>
      <c r="AF58" s="290" t="s">
        <v>326</v>
      </c>
      <c r="AG58" s="290">
        <v>6</v>
      </c>
      <c r="AH58" s="290">
        <v>5</v>
      </c>
      <c r="AI58" s="290" t="s">
        <v>166</v>
      </c>
      <c r="AJ58" s="290" t="s">
        <v>166</v>
      </c>
      <c r="AK58" s="290" t="s">
        <v>166</v>
      </c>
      <c r="AL58" s="290" t="s">
        <v>166</v>
      </c>
      <c r="AM58" s="290" t="s">
        <v>166</v>
      </c>
      <c r="AN58" s="3">
        <v>4.75</v>
      </c>
      <c r="AO58" s="75"/>
      <c r="AP58" s="119" t="s">
        <v>64</v>
      </c>
      <c r="AQ58" s="120">
        <v>6</v>
      </c>
      <c r="AR58" s="119">
        <v>6.25</v>
      </c>
      <c r="AS58" s="118">
        <v>40</v>
      </c>
      <c r="AT58" s="118">
        <v>35</v>
      </c>
      <c r="AU58" s="3" t="s">
        <v>112</v>
      </c>
      <c r="AV58" s="129"/>
      <c r="AY58" s="191"/>
    </row>
    <row r="59" spans="1:51" ht="18">
      <c r="A59" s="189">
        <v>46</v>
      </c>
      <c r="B59" s="295" t="s">
        <v>327</v>
      </c>
      <c r="C59" s="295" t="s">
        <v>328</v>
      </c>
      <c r="D59" s="57">
        <v>5</v>
      </c>
      <c r="E59" s="57">
        <v>5</v>
      </c>
      <c r="F59" s="57">
        <v>8</v>
      </c>
      <c r="G59" s="57" t="s">
        <v>166</v>
      </c>
      <c r="H59" s="57" t="s">
        <v>166</v>
      </c>
      <c r="I59" s="57" t="s">
        <v>166</v>
      </c>
      <c r="J59" s="57" t="s">
        <v>166</v>
      </c>
      <c r="K59" s="57" t="s">
        <v>166</v>
      </c>
      <c r="L59" s="57">
        <v>5</v>
      </c>
      <c r="M59" s="57">
        <v>8</v>
      </c>
      <c r="N59" s="57">
        <v>5</v>
      </c>
      <c r="O59" s="57" t="s">
        <v>166</v>
      </c>
      <c r="P59" s="56">
        <v>3</v>
      </c>
      <c r="Q59" s="56">
        <v>6</v>
      </c>
      <c r="R59" s="56">
        <v>10</v>
      </c>
      <c r="S59" s="56" t="s">
        <v>166</v>
      </c>
      <c r="T59" s="56">
        <v>4</v>
      </c>
      <c r="U59" s="56">
        <v>6</v>
      </c>
      <c r="V59" s="56">
        <v>9</v>
      </c>
      <c r="W59" s="56" t="s">
        <v>166</v>
      </c>
      <c r="X59" s="56" t="s">
        <v>166</v>
      </c>
      <c r="Y59" s="56" t="s">
        <v>166</v>
      </c>
      <c r="Z59" s="56" t="s">
        <v>166</v>
      </c>
      <c r="AA59" s="56" t="s">
        <v>166</v>
      </c>
      <c r="AB59" s="290" t="s">
        <v>64</v>
      </c>
      <c r="AC59" s="290" t="s">
        <v>64</v>
      </c>
      <c r="AD59" s="290" t="s">
        <v>64</v>
      </c>
      <c r="AE59" s="290" t="s">
        <v>64</v>
      </c>
      <c r="AF59" s="290" t="s">
        <v>64</v>
      </c>
      <c r="AG59" s="290" t="s">
        <v>64</v>
      </c>
      <c r="AH59" s="290" t="s">
        <v>64</v>
      </c>
      <c r="AI59" s="290" t="s">
        <v>64</v>
      </c>
      <c r="AJ59" s="290" t="s">
        <v>64</v>
      </c>
      <c r="AK59" s="290" t="s">
        <v>64</v>
      </c>
      <c r="AL59" s="290" t="s">
        <v>64</v>
      </c>
      <c r="AM59" s="290" t="s">
        <v>64</v>
      </c>
      <c r="AN59" s="3">
        <v>4.75</v>
      </c>
      <c r="AO59" s="75"/>
      <c r="AP59" s="119">
        <v>9</v>
      </c>
      <c r="AQ59" s="120">
        <v>9.5</v>
      </c>
      <c r="AR59" s="119" t="s">
        <v>64</v>
      </c>
      <c r="AS59" s="118">
        <v>48</v>
      </c>
      <c r="AT59" s="118">
        <v>38</v>
      </c>
      <c r="AU59" s="3" t="s">
        <v>112</v>
      </c>
      <c r="AY59" s="191"/>
    </row>
    <row r="60" spans="1:51" ht="15.75">
      <c r="A60" s="114">
        <v>47</v>
      </c>
      <c r="B60" s="296" t="s">
        <v>329</v>
      </c>
      <c r="C60" s="196" t="s">
        <v>330</v>
      </c>
      <c r="D60" s="139">
        <v>5</v>
      </c>
      <c r="E60" s="139">
        <v>5</v>
      </c>
      <c r="F60" s="139">
        <v>9</v>
      </c>
      <c r="G60" s="139" t="s">
        <v>166</v>
      </c>
      <c r="H60" s="139">
        <v>6</v>
      </c>
      <c r="I60" s="139">
        <v>5</v>
      </c>
      <c r="J60" s="139">
        <v>6</v>
      </c>
      <c r="K60" s="139" t="s">
        <v>166</v>
      </c>
      <c r="L60" s="139" t="s">
        <v>166</v>
      </c>
      <c r="M60" s="139" t="s">
        <v>166</v>
      </c>
      <c r="N60" s="139" t="s">
        <v>166</v>
      </c>
      <c r="O60" s="139" t="s">
        <v>166</v>
      </c>
      <c r="P60" s="137">
        <v>4</v>
      </c>
      <c r="Q60" s="137">
        <v>0</v>
      </c>
      <c r="R60" s="137">
        <v>10</v>
      </c>
      <c r="S60" s="137" t="s">
        <v>166</v>
      </c>
      <c r="T60" s="137">
        <v>4</v>
      </c>
      <c r="U60" s="137">
        <v>6</v>
      </c>
      <c r="V60" s="137">
        <v>10</v>
      </c>
      <c r="W60" s="137" t="s">
        <v>166</v>
      </c>
      <c r="X60" s="137" t="s">
        <v>166</v>
      </c>
      <c r="Y60" s="137" t="s">
        <v>166</v>
      </c>
      <c r="Z60" s="137" t="s">
        <v>166</v>
      </c>
      <c r="AA60" s="137" t="s">
        <v>166</v>
      </c>
      <c r="AB60" s="290">
        <v>6</v>
      </c>
      <c r="AC60" s="290">
        <v>6</v>
      </c>
      <c r="AD60" s="290">
        <v>8</v>
      </c>
      <c r="AE60" s="290" t="s">
        <v>166</v>
      </c>
      <c r="AF60" s="290">
        <v>6</v>
      </c>
      <c r="AG60" s="290">
        <v>6</v>
      </c>
      <c r="AH60" s="290">
        <v>7</v>
      </c>
      <c r="AI60" s="290" t="s">
        <v>166</v>
      </c>
      <c r="AJ60" s="290" t="s">
        <v>166</v>
      </c>
      <c r="AK60" s="290" t="s">
        <v>166</v>
      </c>
      <c r="AL60" s="290" t="s">
        <v>166</v>
      </c>
      <c r="AM60" s="290" t="s">
        <v>166</v>
      </c>
      <c r="AN60" s="75">
        <v>4.75</v>
      </c>
      <c r="AO60" s="75"/>
      <c r="AP60" s="75">
        <v>9</v>
      </c>
      <c r="AQ60" s="75">
        <v>8.5</v>
      </c>
      <c r="AR60" s="75">
        <v>9.75</v>
      </c>
      <c r="AS60" s="75">
        <v>46</v>
      </c>
      <c r="AT60" s="75">
        <v>38</v>
      </c>
      <c r="AU60" s="3" t="s">
        <v>112</v>
      </c>
      <c r="AV60" s="297"/>
      <c r="AY60" s="191"/>
    </row>
    <row r="61" spans="1:51" ht="15.75">
      <c r="A61" s="115">
        <v>48</v>
      </c>
      <c r="B61" s="296" t="s">
        <v>331</v>
      </c>
      <c r="C61" s="196" t="s">
        <v>332</v>
      </c>
      <c r="D61" s="139">
        <v>4</v>
      </c>
      <c r="E61" s="139">
        <v>5</v>
      </c>
      <c r="F61" s="139">
        <v>8</v>
      </c>
      <c r="G61" s="139" t="s">
        <v>166</v>
      </c>
      <c r="H61" s="139">
        <v>6</v>
      </c>
      <c r="I61" s="139">
        <v>6</v>
      </c>
      <c r="J61" s="139">
        <v>6</v>
      </c>
      <c r="K61" s="139" t="s">
        <v>166</v>
      </c>
      <c r="L61" s="139">
        <v>2</v>
      </c>
      <c r="M61" s="139" t="s">
        <v>166</v>
      </c>
      <c r="N61" s="139" t="s">
        <v>166</v>
      </c>
      <c r="O61" s="139" t="s">
        <v>166</v>
      </c>
      <c r="P61" s="137">
        <v>4</v>
      </c>
      <c r="Q61" s="137">
        <v>4</v>
      </c>
      <c r="R61" s="137">
        <v>10</v>
      </c>
      <c r="S61" s="137" t="s">
        <v>166</v>
      </c>
      <c r="T61" s="137">
        <v>0</v>
      </c>
      <c r="U61" s="137">
        <v>4</v>
      </c>
      <c r="V61" s="137">
        <v>10</v>
      </c>
      <c r="W61" s="137" t="s">
        <v>166</v>
      </c>
      <c r="X61" s="137" t="s">
        <v>166</v>
      </c>
      <c r="Y61" s="137" t="s">
        <v>166</v>
      </c>
      <c r="Z61" s="137" t="s">
        <v>166</v>
      </c>
      <c r="AA61" s="137" t="s">
        <v>166</v>
      </c>
      <c r="AB61" s="290" t="s">
        <v>64</v>
      </c>
      <c r="AC61" s="290" t="s">
        <v>64</v>
      </c>
      <c r="AD61" s="290" t="s">
        <v>64</v>
      </c>
      <c r="AE61" s="290" t="s">
        <v>64</v>
      </c>
      <c r="AF61" s="290" t="s">
        <v>64</v>
      </c>
      <c r="AG61" s="290" t="s">
        <v>64</v>
      </c>
      <c r="AH61" s="290" t="s">
        <v>64</v>
      </c>
      <c r="AI61" s="290" t="s">
        <v>64</v>
      </c>
      <c r="AJ61" s="290" t="s">
        <v>64</v>
      </c>
      <c r="AK61" s="290" t="s">
        <v>64</v>
      </c>
      <c r="AL61" s="290" t="s">
        <v>64</v>
      </c>
      <c r="AM61" s="290" t="s">
        <v>64</v>
      </c>
      <c r="AN61" s="75">
        <v>4.75</v>
      </c>
      <c r="AO61" s="75"/>
      <c r="AP61" s="75">
        <v>8.75</v>
      </c>
      <c r="AQ61" s="75">
        <v>8</v>
      </c>
      <c r="AR61" s="75" t="s">
        <v>64</v>
      </c>
      <c r="AS61" s="75">
        <v>46</v>
      </c>
      <c r="AT61" s="75">
        <v>35</v>
      </c>
      <c r="AU61" s="3" t="s">
        <v>112</v>
      </c>
      <c r="AV61" s="298"/>
      <c r="AY61" s="191"/>
    </row>
    <row r="62" spans="1:51" ht="15.75">
      <c r="A62" s="114">
        <v>49</v>
      </c>
      <c r="B62" s="296" t="s">
        <v>333</v>
      </c>
      <c r="C62" s="196" t="s">
        <v>334</v>
      </c>
      <c r="D62" s="139">
        <v>3</v>
      </c>
      <c r="E62" s="139">
        <v>5</v>
      </c>
      <c r="F62" s="139">
        <v>7</v>
      </c>
      <c r="G62" s="139" t="s">
        <v>166</v>
      </c>
      <c r="H62" s="139" t="s">
        <v>166</v>
      </c>
      <c r="I62" s="139" t="s">
        <v>166</v>
      </c>
      <c r="J62" s="139" t="s">
        <v>166</v>
      </c>
      <c r="K62" s="139" t="s">
        <v>166</v>
      </c>
      <c r="L62" s="139">
        <v>4</v>
      </c>
      <c r="M62" s="139">
        <v>6</v>
      </c>
      <c r="N62" s="139">
        <v>1</v>
      </c>
      <c r="O62" s="139" t="s">
        <v>166</v>
      </c>
      <c r="P62" s="137">
        <v>4</v>
      </c>
      <c r="Q62" s="137">
        <v>0</v>
      </c>
      <c r="R62" s="137">
        <v>6</v>
      </c>
      <c r="S62" s="137" t="s">
        <v>166</v>
      </c>
      <c r="T62" s="137">
        <v>4</v>
      </c>
      <c r="U62" s="137">
        <v>6</v>
      </c>
      <c r="V62" s="137">
        <v>10</v>
      </c>
      <c r="W62" s="137" t="s">
        <v>166</v>
      </c>
      <c r="X62" s="137" t="s">
        <v>166</v>
      </c>
      <c r="Y62" s="137" t="s">
        <v>166</v>
      </c>
      <c r="Z62" s="137" t="s">
        <v>166</v>
      </c>
      <c r="AA62" s="137" t="s">
        <v>166</v>
      </c>
      <c r="AB62" s="290" t="s">
        <v>64</v>
      </c>
      <c r="AC62" s="290" t="s">
        <v>64</v>
      </c>
      <c r="AD62" s="290" t="s">
        <v>64</v>
      </c>
      <c r="AE62" s="290" t="s">
        <v>64</v>
      </c>
      <c r="AF62" s="290" t="s">
        <v>64</v>
      </c>
      <c r="AG62" s="290" t="s">
        <v>64</v>
      </c>
      <c r="AH62" s="290" t="s">
        <v>64</v>
      </c>
      <c r="AI62" s="290" t="s">
        <v>64</v>
      </c>
      <c r="AJ62" s="290" t="s">
        <v>64</v>
      </c>
      <c r="AK62" s="290" t="s">
        <v>64</v>
      </c>
      <c r="AL62" s="290" t="s">
        <v>64</v>
      </c>
      <c r="AM62" s="290" t="s">
        <v>64</v>
      </c>
      <c r="AN62" s="75">
        <v>4.75</v>
      </c>
      <c r="AO62" s="75"/>
      <c r="AP62" s="75">
        <v>6.5</v>
      </c>
      <c r="AQ62" s="75">
        <v>7.5</v>
      </c>
      <c r="AR62" s="75" t="s">
        <v>64</v>
      </c>
      <c r="AS62" s="75">
        <v>43</v>
      </c>
      <c r="AT62" s="75">
        <v>34.5</v>
      </c>
      <c r="AU62" s="3" t="s">
        <v>112</v>
      </c>
      <c r="AV62" s="298"/>
      <c r="AY62" s="191"/>
    </row>
    <row r="63" spans="1:51" ht="15.75">
      <c r="A63" s="115">
        <v>50</v>
      </c>
      <c r="B63" s="296" t="s">
        <v>335</v>
      </c>
      <c r="C63" s="196" t="s">
        <v>336</v>
      </c>
      <c r="D63" s="139">
        <v>3</v>
      </c>
      <c r="E63" s="139">
        <v>5</v>
      </c>
      <c r="F63" s="139">
        <v>8</v>
      </c>
      <c r="G63" s="139" t="s">
        <v>166</v>
      </c>
      <c r="H63" s="139">
        <v>3</v>
      </c>
      <c r="I63" s="139">
        <v>6</v>
      </c>
      <c r="J63" s="139">
        <v>6</v>
      </c>
      <c r="K63" s="139" t="s">
        <v>166</v>
      </c>
      <c r="L63" s="139">
        <v>5</v>
      </c>
      <c r="M63" s="139">
        <v>10</v>
      </c>
      <c r="N63" s="139">
        <v>5</v>
      </c>
      <c r="O63" s="139" t="s">
        <v>166</v>
      </c>
      <c r="P63" s="137" t="s">
        <v>64</v>
      </c>
      <c r="Q63" s="137" t="s">
        <v>64</v>
      </c>
      <c r="R63" s="137" t="s">
        <v>64</v>
      </c>
      <c r="S63" s="137" t="s">
        <v>64</v>
      </c>
      <c r="T63" s="137" t="s">
        <v>64</v>
      </c>
      <c r="U63" s="137" t="s">
        <v>64</v>
      </c>
      <c r="V63" s="137" t="s">
        <v>64</v>
      </c>
      <c r="W63" s="137" t="s">
        <v>64</v>
      </c>
      <c r="X63" s="137" t="s">
        <v>64</v>
      </c>
      <c r="Y63" s="137" t="s">
        <v>64</v>
      </c>
      <c r="Z63" s="137" t="s">
        <v>64</v>
      </c>
      <c r="AA63" s="137" t="s">
        <v>64</v>
      </c>
      <c r="AB63" s="290">
        <v>6</v>
      </c>
      <c r="AC63" s="290">
        <v>6</v>
      </c>
      <c r="AD63" s="290" t="s">
        <v>166</v>
      </c>
      <c r="AE63" s="290" t="s">
        <v>166</v>
      </c>
      <c r="AF63" s="290">
        <v>4</v>
      </c>
      <c r="AG63" s="290">
        <v>6</v>
      </c>
      <c r="AH63" s="290" t="s">
        <v>166</v>
      </c>
      <c r="AI63" s="290" t="s">
        <v>166</v>
      </c>
      <c r="AJ63" s="290" t="s">
        <v>166</v>
      </c>
      <c r="AK63" s="290" t="s">
        <v>166</v>
      </c>
      <c r="AL63" s="290" t="s">
        <v>166</v>
      </c>
      <c r="AM63" s="290" t="s">
        <v>166</v>
      </c>
      <c r="AN63" s="75">
        <v>4</v>
      </c>
      <c r="AO63" s="75"/>
      <c r="AP63" s="75">
        <v>9</v>
      </c>
      <c r="AQ63" s="75" t="s">
        <v>64</v>
      </c>
      <c r="AR63" s="75">
        <v>5.5</v>
      </c>
      <c r="AS63" s="75">
        <v>44</v>
      </c>
      <c r="AT63" s="75">
        <v>35</v>
      </c>
      <c r="AU63" s="3" t="s">
        <v>112</v>
      </c>
      <c r="AV63" s="298"/>
      <c r="AY63" s="191"/>
    </row>
    <row r="64" spans="1:51" ht="15.75">
      <c r="A64" s="114">
        <v>51</v>
      </c>
      <c r="B64" s="296" t="s">
        <v>337</v>
      </c>
      <c r="C64" s="196" t="s">
        <v>338</v>
      </c>
      <c r="D64" s="139">
        <v>5</v>
      </c>
      <c r="E64" s="139">
        <v>5</v>
      </c>
      <c r="F64" s="139">
        <v>10</v>
      </c>
      <c r="G64" s="139" t="s">
        <v>166</v>
      </c>
      <c r="H64" s="139" t="s">
        <v>166</v>
      </c>
      <c r="I64" s="139" t="s">
        <v>166</v>
      </c>
      <c r="J64" s="139" t="s">
        <v>166</v>
      </c>
      <c r="K64" s="139" t="s">
        <v>166</v>
      </c>
      <c r="L64" s="139">
        <v>5</v>
      </c>
      <c r="M64" s="139">
        <v>9</v>
      </c>
      <c r="N64" s="139">
        <v>5</v>
      </c>
      <c r="O64" s="139" t="s">
        <v>166</v>
      </c>
      <c r="P64" s="137">
        <v>4</v>
      </c>
      <c r="Q64" s="137">
        <v>6</v>
      </c>
      <c r="R64" s="137">
        <v>10</v>
      </c>
      <c r="S64" s="137" t="s">
        <v>166</v>
      </c>
      <c r="T64" s="137">
        <v>3</v>
      </c>
      <c r="U64" s="137">
        <v>6</v>
      </c>
      <c r="V64" s="137">
        <v>10</v>
      </c>
      <c r="W64" s="137" t="s">
        <v>166</v>
      </c>
      <c r="X64" s="137" t="s">
        <v>166</v>
      </c>
      <c r="Y64" s="137" t="s">
        <v>166</v>
      </c>
      <c r="Z64" s="137" t="s">
        <v>166</v>
      </c>
      <c r="AA64" s="137" t="s">
        <v>166</v>
      </c>
      <c r="AB64" s="290" t="s">
        <v>64</v>
      </c>
      <c r="AC64" s="290" t="s">
        <v>64</v>
      </c>
      <c r="AD64" s="290" t="s">
        <v>64</v>
      </c>
      <c r="AE64" s="290" t="s">
        <v>64</v>
      </c>
      <c r="AF64" s="290" t="s">
        <v>64</v>
      </c>
      <c r="AG64" s="290" t="s">
        <v>64</v>
      </c>
      <c r="AH64" s="290" t="s">
        <v>64</v>
      </c>
      <c r="AI64" s="290" t="s">
        <v>64</v>
      </c>
      <c r="AJ64" s="290" t="s">
        <v>64</v>
      </c>
      <c r="AK64" s="290" t="s">
        <v>64</v>
      </c>
      <c r="AL64" s="290" t="s">
        <v>64</v>
      </c>
      <c r="AM64" s="290" t="s">
        <v>64</v>
      </c>
      <c r="AN64" s="75">
        <v>5</v>
      </c>
      <c r="AO64" s="75"/>
      <c r="AP64" s="75">
        <v>9.75</v>
      </c>
      <c r="AQ64" s="75">
        <v>9.75</v>
      </c>
      <c r="AR64" s="75" t="s">
        <v>64</v>
      </c>
      <c r="AS64" s="75">
        <v>48</v>
      </c>
      <c r="AT64" s="75">
        <v>38.5</v>
      </c>
      <c r="AU64" s="3" t="s">
        <v>112</v>
      </c>
      <c r="AV64" s="298"/>
      <c r="AY64" s="191"/>
    </row>
    <row r="65" spans="1:51" ht="15.75">
      <c r="A65" s="115">
        <v>52</v>
      </c>
      <c r="B65" s="296" t="s">
        <v>339</v>
      </c>
      <c r="C65" s="299" t="s">
        <v>340</v>
      </c>
      <c r="D65" s="139">
        <v>4</v>
      </c>
      <c r="E65" s="139">
        <v>5</v>
      </c>
      <c r="F65" s="139">
        <v>9</v>
      </c>
      <c r="G65" s="139" t="s">
        <v>166</v>
      </c>
      <c r="H65" s="139" t="s">
        <v>166</v>
      </c>
      <c r="I65" s="139" t="s">
        <v>166</v>
      </c>
      <c r="J65" s="139" t="s">
        <v>166</v>
      </c>
      <c r="K65" s="139" t="s">
        <v>166</v>
      </c>
      <c r="L65" s="139">
        <v>5</v>
      </c>
      <c r="M65" s="139">
        <v>10</v>
      </c>
      <c r="N65" s="139">
        <v>5</v>
      </c>
      <c r="O65" s="139" t="s">
        <v>166</v>
      </c>
      <c r="P65" s="137">
        <v>4</v>
      </c>
      <c r="Q65" s="137">
        <v>6</v>
      </c>
      <c r="R65" s="137">
        <v>9</v>
      </c>
      <c r="S65" s="137" t="s">
        <v>166</v>
      </c>
      <c r="T65" s="137">
        <v>1</v>
      </c>
      <c r="U65" s="137">
        <v>6</v>
      </c>
      <c r="V65" s="137">
        <v>2</v>
      </c>
      <c r="W65" s="137" t="s">
        <v>166</v>
      </c>
      <c r="X65" s="137" t="s">
        <v>166</v>
      </c>
      <c r="Y65" s="137" t="s">
        <v>166</v>
      </c>
      <c r="Z65" s="137" t="s">
        <v>166</v>
      </c>
      <c r="AA65" s="137" t="s">
        <v>166</v>
      </c>
      <c r="AB65" s="290" t="s">
        <v>64</v>
      </c>
      <c r="AC65" s="290" t="s">
        <v>64</v>
      </c>
      <c r="AD65" s="290" t="s">
        <v>64</v>
      </c>
      <c r="AE65" s="290" t="s">
        <v>64</v>
      </c>
      <c r="AF65" s="290" t="s">
        <v>64</v>
      </c>
      <c r="AG65" s="290" t="s">
        <v>64</v>
      </c>
      <c r="AH65" s="290" t="s">
        <v>64</v>
      </c>
      <c r="AI65" s="290" t="s">
        <v>64</v>
      </c>
      <c r="AJ65" s="290" t="s">
        <v>64</v>
      </c>
      <c r="AK65" s="290" t="s">
        <v>64</v>
      </c>
      <c r="AL65" s="290" t="s">
        <v>64</v>
      </c>
      <c r="AM65" s="290" t="s">
        <v>64</v>
      </c>
      <c r="AN65" s="75">
        <v>4.75</v>
      </c>
      <c r="AO65" s="75"/>
      <c r="AP65" s="75">
        <v>9.5</v>
      </c>
      <c r="AQ65" s="75">
        <v>7</v>
      </c>
      <c r="AR65" s="75" t="s">
        <v>64</v>
      </c>
      <c r="AS65" s="75">
        <v>45</v>
      </c>
      <c r="AT65" s="75">
        <v>35</v>
      </c>
      <c r="AU65" s="3" t="s">
        <v>112</v>
      </c>
      <c r="AV65" s="298"/>
      <c r="AY65" s="191"/>
    </row>
    <row r="66" spans="1:51" ht="15.75">
      <c r="A66" s="114">
        <v>53</v>
      </c>
      <c r="B66" s="197" t="s">
        <v>341</v>
      </c>
      <c r="C66" s="196" t="s">
        <v>342</v>
      </c>
      <c r="D66" s="139">
        <v>5</v>
      </c>
      <c r="E66" s="139">
        <v>5</v>
      </c>
      <c r="F66" s="139">
        <v>8</v>
      </c>
      <c r="G66" s="139" t="s">
        <v>166</v>
      </c>
      <c r="H66" s="139">
        <v>6</v>
      </c>
      <c r="I66" s="139">
        <v>6</v>
      </c>
      <c r="J66" s="139">
        <v>6</v>
      </c>
      <c r="K66" s="139" t="s">
        <v>166</v>
      </c>
      <c r="L66" s="139" t="s">
        <v>166</v>
      </c>
      <c r="M66" s="139" t="s">
        <v>166</v>
      </c>
      <c r="N66" s="139" t="s">
        <v>166</v>
      </c>
      <c r="O66" s="139" t="s">
        <v>166</v>
      </c>
      <c r="P66" s="137">
        <v>4</v>
      </c>
      <c r="Q66" s="137">
        <v>3</v>
      </c>
      <c r="R66" s="137" t="s">
        <v>166</v>
      </c>
      <c r="S66" s="137" t="s">
        <v>166</v>
      </c>
      <c r="T66" s="137">
        <v>4</v>
      </c>
      <c r="U66" s="137">
        <v>6</v>
      </c>
      <c r="V66" s="137">
        <v>9</v>
      </c>
      <c r="W66" s="137" t="s">
        <v>166</v>
      </c>
      <c r="X66" s="137" t="s">
        <v>166</v>
      </c>
      <c r="Y66" s="137">
        <v>6</v>
      </c>
      <c r="Z66" s="137">
        <v>7</v>
      </c>
      <c r="AA66" s="137" t="s">
        <v>166</v>
      </c>
      <c r="AB66" s="290" t="s">
        <v>64</v>
      </c>
      <c r="AC66" s="290" t="s">
        <v>64</v>
      </c>
      <c r="AD66" s="290" t="s">
        <v>64</v>
      </c>
      <c r="AE66" s="290" t="s">
        <v>64</v>
      </c>
      <c r="AF66" s="290" t="s">
        <v>64</v>
      </c>
      <c r="AG66" s="290" t="s">
        <v>64</v>
      </c>
      <c r="AH66" s="290" t="s">
        <v>64</v>
      </c>
      <c r="AI66" s="290" t="s">
        <v>64</v>
      </c>
      <c r="AJ66" s="290" t="s">
        <v>64</v>
      </c>
      <c r="AK66" s="290" t="s">
        <v>64</v>
      </c>
      <c r="AL66" s="290" t="s">
        <v>64</v>
      </c>
      <c r="AM66" s="290" t="s">
        <v>64</v>
      </c>
      <c r="AN66" s="75">
        <v>4.75</v>
      </c>
      <c r="AO66" s="75"/>
      <c r="AP66" s="75">
        <v>9</v>
      </c>
      <c r="AQ66" s="75">
        <v>8</v>
      </c>
      <c r="AR66" s="75" t="s">
        <v>64</v>
      </c>
      <c r="AS66" s="75">
        <v>47</v>
      </c>
      <c r="AT66" s="75">
        <v>27.5</v>
      </c>
      <c r="AU66" s="3" t="s">
        <v>112</v>
      </c>
      <c r="AV66" s="298"/>
      <c r="AY66" s="191"/>
    </row>
    <row r="67" spans="1:51" ht="15.75">
      <c r="A67" s="115">
        <v>54</v>
      </c>
      <c r="B67" s="197" t="s">
        <v>343</v>
      </c>
      <c r="C67" s="196" t="s">
        <v>344</v>
      </c>
      <c r="D67" s="139" t="s">
        <v>166</v>
      </c>
      <c r="E67" s="139" t="s">
        <v>166</v>
      </c>
      <c r="F67" s="139" t="s">
        <v>166</v>
      </c>
      <c r="G67" s="139" t="s">
        <v>166</v>
      </c>
      <c r="H67" s="139">
        <v>6</v>
      </c>
      <c r="I67" s="139">
        <v>8</v>
      </c>
      <c r="J67" s="139">
        <v>6</v>
      </c>
      <c r="K67" s="139" t="s">
        <v>166</v>
      </c>
      <c r="L67" s="139">
        <v>5</v>
      </c>
      <c r="M67" s="139">
        <v>10</v>
      </c>
      <c r="N67" s="139">
        <v>5</v>
      </c>
      <c r="O67" s="139" t="s">
        <v>166</v>
      </c>
      <c r="P67" s="137" t="s">
        <v>166</v>
      </c>
      <c r="Q67" s="137" t="s">
        <v>166</v>
      </c>
      <c r="R67" s="137" t="s">
        <v>166</v>
      </c>
      <c r="S67" s="137" t="s">
        <v>166</v>
      </c>
      <c r="T67" s="137">
        <v>4</v>
      </c>
      <c r="U67" s="137">
        <v>6</v>
      </c>
      <c r="V67" s="137">
        <v>10</v>
      </c>
      <c r="W67" s="137" t="s">
        <v>166</v>
      </c>
      <c r="X67" s="137">
        <v>3</v>
      </c>
      <c r="Y67" s="137">
        <v>6</v>
      </c>
      <c r="Z67" s="137">
        <v>8</v>
      </c>
      <c r="AA67" s="137" t="s">
        <v>166</v>
      </c>
      <c r="AB67" s="290" t="s">
        <v>64</v>
      </c>
      <c r="AC67" s="290" t="s">
        <v>64</v>
      </c>
      <c r="AD67" s="290" t="s">
        <v>64</v>
      </c>
      <c r="AE67" s="290" t="s">
        <v>64</v>
      </c>
      <c r="AF67" s="290" t="s">
        <v>64</v>
      </c>
      <c r="AG67" s="290" t="s">
        <v>64</v>
      </c>
      <c r="AH67" s="290" t="s">
        <v>64</v>
      </c>
      <c r="AI67" s="290" t="s">
        <v>64</v>
      </c>
      <c r="AJ67" s="290" t="s">
        <v>64</v>
      </c>
      <c r="AK67" s="290" t="s">
        <v>64</v>
      </c>
      <c r="AL67" s="290" t="s">
        <v>64</v>
      </c>
      <c r="AM67" s="290" t="s">
        <v>64</v>
      </c>
      <c r="AN67" s="75">
        <v>4.5</v>
      </c>
      <c r="AO67" s="75"/>
      <c r="AP67" s="75">
        <v>10</v>
      </c>
      <c r="AQ67" s="75">
        <v>9.25</v>
      </c>
      <c r="AR67" s="75" t="s">
        <v>64</v>
      </c>
      <c r="AS67" s="75">
        <v>48</v>
      </c>
      <c r="AT67" s="75">
        <v>41</v>
      </c>
      <c r="AU67" s="3" t="s">
        <v>112</v>
      </c>
      <c r="AV67" s="298"/>
      <c r="AY67" s="191"/>
    </row>
    <row r="68" spans="1:51" ht="18">
      <c r="A68" s="114">
        <v>55</v>
      </c>
      <c r="B68" s="198" t="s">
        <v>345</v>
      </c>
      <c r="C68" s="199" t="s">
        <v>346</v>
      </c>
      <c r="D68" s="139">
        <v>4</v>
      </c>
      <c r="E68" s="139">
        <v>5</v>
      </c>
      <c r="F68" s="139">
        <v>8</v>
      </c>
      <c r="G68" s="139" t="s">
        <v>166</v>
      </c>
      <c r="H68" s="139" t="s">
        <v>166</v>
      </c>
      <c r="I68" s="139" t="s">
        <v>166</v>
      </c>
      <c r="J68" s="139" t="s">
        <v>166</v>
      </c>
      <c r="K68" s="139" t="s">
        <v>166</v>
      </c>
      <c r="L68" s="139">
        <v>5</v>
      </c>
      <c r="M68" s="139">
        <v>8</v>
      </c>
      <c r="N68" s="139">
        <v>5</v>
      </c>
      <c r="O68" s="139" t="s">
        <v>166</v>
      </c>
      <c r="P68" s="137" t="s">
        <v>64</v>
      </c>
      <c r="Q68" s="137" t="s">
        <v>64</v>
      </c>
      <c r="R68" s="137" t="s">
        <v>64</v>
      </c>
      <c r="S68" s="137" t="s">
        <v>64</v>
      </c>
      <c r="T68" s="137" t="s">
        <v>64</v>
      </c>
      <c r="U68" s="137" t="s">
        <v>64</v>
      </c>
      <c r="V68" s="137" t="s">
        <v>64</v>
      </c>
      <c r="W68" s="137" t="s">
        <v>64</v>
      </c>
      <c r="X68" s="137" t="s">
        <v>64</v>
      </c>
      <c r="Y68" s="137" t="s">
        <v>64</v>
      </c>
      <c r="Z68" s="137" t="s">
        <v>64</v>
      </c>
      <c r="AA68" s="137" t="s">
        <v>64</v>
      </c>
      <c r="AB68" s="290" t="s">
        <v>166</v>
      </c>
      <c r="AC68" s="290">
        <v>6</v>
      </c>
      <c r="AD68" s="290" t="s">
        <v>166</v>
      </c>
      <c r="AE68" s="290" t="s">
        <v>166</v>
      </c>
      <c r="AF68" s="290" t="s">
        <v>326</v>
      </c>
      <c r="AG68" s="290">
        <v>6</v>
      </c>
      <c r="AH68" s="290" t="s">
        <v>166</v>
      </c>
      <c r="AI68" s="290" t="s">
        <v>166</v>
      </c>
      <c r="AJ68" s="290" t="s">
        <v>166</v>
      </c>
      <c r="AK68" s="290">
        <v>6</v>
      </c>
      <c r="AL68" s="290" t="s">
        <v>166</v>
      </c>
      <c r="AM68" s="290" t="s">
        <v>166</v>
      </c>
      <c r="AN68" s="75">
        <v>4.5</v>
      </c>
      <c r="AO68" s="75"/>
      <c r="AP68" s="75">
        <v>8.75</v>
      </c>
      <c r="AQ68" s="75" t="s">
        <v>64</v>
      </c>
      <c r="AR68" s="75">
        <v>4.5</v>
      </c>
      <c r="AS68" s="75">
        <v>42</v>
      </c>
      <c r="AT68" s="75">
        <v>34</v>
      </c>
      <c r="AU68" s="3" t="s">
        <v>112</v>
      </c>
      <c r="AV68" s="298"/>
      <c r="AY68" s="191"/>
    </row>
    <row r="69" spans="1:51" ht="18">
      <c r="A69" s="115">
        <v>56</v>
      </c>
      <c r="B69" s="198" t="s">
        <v>347</v>
      </c>
      <c r="C69" s="199" t="s">
        <v>348</v>
      </c>
      <c r="D69" s="139" t="s">
        <v>166</v>
      </c>
      <c r="E69" s="139" t="s">
        <v>166</v>
      </c>
      <c r="F69" s="139" t="s">
        <v>166</v>
      </c>
      <c r="G69" s="139" t="s">
        <v>166</v>
      </c>
      <c r="H69" s="139">
        <v>3</v>
      </c>
      <c r="I69" s="139">
        <v>8</v>
      </c>
      <c r="J69" s="139">
        <v>6</v>
      </c>
      <c r="K69" s="139" t="s">
        <v>166</v>
      </c>
      <c r="L69" s="139">
        <v>4</v>
      </c>
      <c r="M69" s="139">
        <v>6</v>
      </c>
      <c r="N69" s="139">
        <v>5</v>
      </c>
      <c r="O69" s="139" t="s">
        <v>166</v>
      </c>
      <c r="P69" s="137" t="s">
        <v>64</v>
      </c>
      <c r="Q69" s="137" t="s">
        <v>64</v>
      </c>
      <c r="R69" s="137" t="s">
        <v>64</v>
      </c>
      <c r="S69" s="137" t="s">
        <v>64</v>
      </c>
      <c r="T69" s="137" t="s">
        <v>64</v>
      </c>
      <c r="U69" s="137" t="s">
        <v>64</v>
      </c>
      <c r="V69" s="137" t="s">
        <v>64</v>
      </c>
      <c r="W69" s="137" t="s">
        <v>64</v>
      </c>
      <c r="X69" s="137" t="s">
        <v>64</v>
      </c>
      <c r="Y69" s="137" t="s">
        <v>64</v>
      </c>
      <c r="Z69" s="137" t="s">
        <v>64</v>
      </c>
      <c r="AA69" s="137" t="s">
        <v>64</v>
      </c>
      <c r="AB69" s="290">
        <v>5</v>
      </c>
      <c r="AC69" s="290">
        <v>6</v>
      </c>
      <c r="AD69" s="290">
        <v>5</v>
      </c>
      <c r="AE69" s="290" t="s">
        <v>166</v>
      </c>
      <c r="AF69" s="290">
        <v>6</v>
      </c>
      <c r="AG69" s="290">
        <v>4</v>
      </c>
      <c r="AH69" s="290">
        <v>5</v>
      </c>
      <c r="AI69" s="290" t="s">
        <v>166</v>
      </c>
      <c r="AJ69" s="290" t="s">
        <v>166</v>
      </c>
      <c r="AK69" s="290" t="s">
        <v>166</v>
      </c>
      <c r="AL69" s="290" t="s">
        <v>166</v>
      </c>
      <c r="AM69" s="290" t="s">
        <v>166</v>
      </c>
      <c r="AN69" s="75">
        <v>3.75</v>
      </c>
      <c r="AO69" s="75"/>
      <c r="AP69" s="75">
        <v>8</v>
      </c>
      <c r="AQ69" s="75" t="s">
        <v>64</v>
      </c>
      <c r="AR69" s="75">
        <v>7.5</v>
      </c>
      <c r="AS69" s="75">
        <v>39</v>
      </c>
      <c r="AT69" s="75">
        <v>28.5</v>
      </c>
      <c r="AU69" s="3" t="s">
        <v>113</v>
      </c>
      <c r="AV69" s="298"/>
      <c r="AY69" s="191"/>
    </row>
    <row r="70" spans="1:51" ht="18">
      <c r="A70" s="114">
        <v>57</v>
      </c>
      <c r="B70" s="198" t="s">
        <v>349</v>
      </c>
      <c r="C70" s="199" t="s">
        <v>350</v>
      </c>
      <c r="D70" s="139" t="s">
        <v>166</v>
      </c>
      <c r="E70" s="139" t="s">
        <v>166</v>
      </c>
      <c r="F70" s="139" t="s">
        <v>166</v>
      </c>
      <c r="G70" s="139" t="s">
        <v>166</v>
      </c>
      <c r="H70" s="139">
        <v>6</v>
      </c>
      <c r="I70" s="139">
        <v>8</v>
      </c>
      <c r="J70" s="139">
        <v>1</v>
      </c>
      <c r="K70" s="139" t="s">
        <v>166</v>
      </c>
      <c r="L70" s="139">
        <v>5</v>
      </c>
      <c r="M70" s="139">
        <v>6</v>
      </c>
      <c r="N70" s="139">
        <v>5</v>
      </c>
      <c r="O70" s="139" t="s">
        <v>166</v>
      </c>
      <c r="P70" s="137">
        <v>4</v>
      </c>
      <c r="Q70" s="137">
        <v>0</v>
      </c>
      <c r="R70" s="137">
        <v>10</v>
      </c>
      <c r="S70" s="137" t="s">
        <v>166</v>
      </c>
      <c r="T70" s="137">
        <v>4</v>
      </c>
      <c r="U70" s="137">
        <v>4</v>
      </c>
      <c r="V70" s="137">
        <v>10</v>
      </c>
      <c r="W70" s="137" t="s">
        <v>166</v>
      </c>
      <c r="X70" s="137" t="s">
        <v>166</v>
      </c>
      <c r="Y70" s="137" t="s">
        <v>166</v>
      </c>
      <c r="Z70" s="137" t="s">
        <v>166</v>
      </c>
      <c r="AA70" s="137" t="s">
        <v>166</v>
      </c>
      <c r="AB70" s="290" t="s">
        <v>64</v>
      </c>
      <c r="AC70" s="290" t="s">
        <v>64</v>
      </c>
      <c r="AD70" s="290" t="s">
        <v>64</v>
      </c>
      <c r="AE70" s="290" t="s">
        <v>64</v>
      </c>
      <c r="AF70" s="290" t="s">
        <v>64</v>
      </c>
      <c r="AG70" s="290" t="s">
        <v>64</v>
      </c>
      <c r="AH70" s="290" t="s">
        <v>64</v>
      </c>
      <c r="AI70" s="290" t="s">
        <v>64</v>
      </c>
      <c r="AJ70" s="290" t="s">
        <v>64</v>
      </c>
      <c r="AK70" s="290" t="s">
        <v>64</v>
      </c>
      <c r="AL70" s="290" t="s">
        <v>64</v>
      </c>
      <c r="AM70" s="290" t="s">
        <v>64</v>
      </c>
      <c r="AN70" s="75">
        <v>4.5</v>
      </c>
      <c r="AO70" s="75"/>
      <c r="AP70" s="75">
        <v>7.75</v>
      </c>
      <c r="AQ70" s="75">
        <v>8</v>
      </c>
      <c r="AR70" s="75" t="s">
        <v>64</v>
      </c>
      <c r="AS70" s="75">
        <v>43</v>
      </c>
      <c r="AT70" s="75">
        <v>40</v>
      </c>
      <c r="AU70" s="3" t="s">
        <v>112</v>
      </c>
      <c r="AV70" s="298"/>
      <c r="AY70" s="191"/>
    </row>
    <row r="71" spans="1:51" ht="18">
      <c r="A71" s="116">
        <v>58</v>
      </c>
      <c r="B71" s="198" t="s">
        <v>351</v>
      </c>
      <c r="C71" s="199" t="s">
        <v>352</v>
      </c>
      <c r="D71" s="139">
        <v>4</v>
      </c>
      <c r="E71" s="139">
        <v>5</v>
      </c>
      <c r="F71" s="139">
        <v>5</v>
      </c>
      <c r="G71" s="139" t="s">
        <v>166</v>
      </c>
      <c r="H71" s="139" t="s">
        <v>166</v>
      </c>
      <c r="I71" s="139" t="s">
        <v>166</v>
      </c>
      <c r="J71" s="139" t="s">
        <v>166</v>
      </c>
      <c r="K71" s="139" t="s">
        <v>166</v>
      </c>
      <c r="L71" s="139">
        <v>5</v>
      </c>
      <c r="M71" s="139">
        <v>4</v>
      </c>
      <c r="N71" s="139">
        <v>5</v>
      </c>
      <c r="O71" s="139" t="s">
        <v>166</v>
      </c>
      <c r="P71" s="137">
        <v>4</v>
      </c>
      <c r="Q71" s="137">
        <v>0</v>
      </c>
      <c r="R71" s="137">
        <v>8</v>
      </c>
      <c r="S71" s="137" t="s">
        <v>166</v>
      </c>
      <c r="T71" s="137">
        <v>2</v>
      </c>
      <c r="U71" s="137">
        <v>4</v>
      </c>
      <c r="V71" s="137">
        <v>5</v>
      </c>
      <c r="W71" s="137" t="s">
        <v>166</v>
      </c>
      <c r="X71" s="137" t="s">
        <v>166</v>
      </c>
      <c r="Y71" s="137" t="s">
        <v>166</v>
      </c>
      <c r="Z71" s="137" t="s">
        <v>166</v>
      </c>
      <c r="AA71" s="137" t="s">
        <v>166</v>
      </c>
      <c r="AB71" s="290" t="s">
        <v>64</v>
      </c>
      <c r="AC71" s="290" t="s">
        <v>64</v>
      </c>
      <c r="AD71" s="290" t="s">
        <v>64</v>
      </c>
      <c r="AE71" s="290" t="s">
        <v>64</v>
      </c>
      <c r="AF71" s="290" t="s">
        <v>64</v>
      </c>
      <c r="AG71" s="290" t="s">
        <v>64</v>
      </c>
      <c r="AH71" s="290" t="s">
        <v>64</v>
      </c>
      <c r="AI71" s="290" t="s">
        <v>64</v>
      </c>
      <c r="AJ71" s="290" t="s">
        <v>64</v>
      </c>
      <c r="AK71" s="290" t="s">
        <v>64</v>
      </c>
      <c r="AL71" s="290" t="s">
        <v>64</v>
      </c>
      <c r="AM71" s="290" t="s">
        <v>64</v>
      </c>
      <c r="AN71" s="75">
        <v>3.75</v>
      </c>
      <c r="AO71" s="75"/>
      <c r="AP71" s="75">
        <v>7</v>
      </c>
      <c r="AQ71" s="75">
        <v>5.5</v>
      </c>
      <c r="AR71" s="75" t="s">
        <v>64</v>
      </c>
      <c r="AS71" s="75">
        <v>41</v>
      </c>
      <c r="AT71" s="75">
        <v>23</v>
      </c>
      <c r="AU71" s="3" t="s">
        <v>113</v>
      </c>
      <c r="AV71" s="298"/>
      <c r="AY71" s="191"/>
    </row>
    <row r="72" spans="1:51" ht="18">
      <c r="A72" s="116">
        <v>59</v>
      </c>
      <c r="B72" s="203"/>
      <c r="C72" s="204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75"/>
      <c r="AO72" s="75"/>
      <c r="AP72" s="75"/>
      <c r="AQ72" s="75"/>
      <c r="AR72" s="75"/>
      <c r="AS72" s="75"/>
      <c r="AT72" s="141"/>
      <c r="AU72" s="3"/>
    </row>
    <row r="73" spans="1:51" ht="18">
      <c r="A73" s="117">
        <v>60</v>
      </c>
      <c r="B73" s="203"/>
      <c r="C73" s="204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75"/>
      <c r="AO73" s="75"/>
      <c r="AP73" s="75"/>
      <c r="AQ73" s="75"/>
      <c r="AR73" s="75"/>
      <c r="AS73" s="75"/>
      <c r="AT73" s="141"/>
      <c r="AU73" s="3"/>
    </row>
    <row r="74" spans="1:51" ht="18">
      <c r="A74" s="117">
        <v>61</v>
      </c>
      <c r="B74" s="203"/>
      <c r="C74" s="204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75"/>
      <c r="AO74" s="75"/>
      <c r="AP74" s="75"/>
      <c r="AQ74" s="75"/>
      <c r="AR74" s="75"/>
      <c r="AS74" s="75"/>
      <c r="AT74" s="141"/>
      <c r="AU74" s="3"/>
    </row>
    <row r="75" spans="1:51" ht="18">
      <c r="A75" s="1">
        <v>62</v>
      </c>
      <c r="B75" s="205"/>
      <c r="C75" s="206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75"/>
      <c r="AO75" s="75"/>
      <c r="AP75" s="75"/>
      <c r="AQ75" s="75"/>
      <c r="AR75" s="75"/>
      <c r="AS75" s="75"/>
      <c r="AT75" s="141"/>
      <c r="AU75" s="3"/>
    </row>
    <row r="76" spans="1:51" ht="18">
      <c r="A76" s="1">
        <v>63</v>
      </c>
      <c r="B76" s="205"/>
      <c r="C76" s="206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75"/>
      <c r="AO76" s="75"/>
      <c r="AP76" s="75"/>
      <c r="AQ76" s="75"/>
      <c r="AR76" s="75"/>
      <c r="AS76" s="75"/>
      <c r="AT76" s="141"/>
      <c r="AU76" s="3"/>
    </row>
    <row r="77" spans="1:51" ht="18">
      <c r="A77" s="1">
        <v>64</v>
      </c>
      <c r="B77" s="205"/>
      <c r="C77" s="206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75"/>
      <c r="AO77" s="75"/>
      <c r="AP77" s="75"/>
      <c r="AQ77" s="75"/>
      <c r="AR77" s="75"/>
      <c r="AS77" s="75"/>
      <c r="AT77" s="141"/>
      <c r="AU77" s="3"/>
    </row>
    <row r="78" spans="1:51" ht="18">
      <c r="A78" s="1">
        <v>65</v>
      </c>
      <c r="B78" s="205"/>
      <c r="C78" s="207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75"/>
      <c r="AO78" s="75"/>
      <c r="AP78" s="75"/>
      <c r="AQ78" s="75"/>
      <c r="AR78" s="75"/>
      <c r="AS78" s="75"/>
      <c r="AT78" s="141"/>
      <c r="AU78" s="3"/>
    </row>
    <row r="79" spans="1:51" ht="33" customHeight="1" thickBot="1">
      <c r="B79" s="202" t="s">
        <v>167</v>
      </c>
      <c r="C79" s="74" t="s">
        <v>194</v>
      </c>
      <c r="D79" s="228">
        <f>COUNTIFS(D14:D78,"&lt;&gt;AB",D14:D78,"&lt;&gt;NA",D14:D78,"&lt;&gt;")</f>
        <v>35</v>
      </c>
      <c r="E79" s="228">
        <f t="shared" ref="E79:AT79" si="1">COUNTIFS(E14:E78,"&lt;&gt;AB",E14:E78,"&lt;&gt;NA",E14:E78,"&lt;&gt;")</f>
        <v>35</v>
      </c>
      <c r="F79" s="228">
        <f t="shared" si="1"/>
        <v>35</v>
      </c>
      <c r="G79" s="228">
        <f t="shared" si="1"/>
        <v>0</v>
      </c>
      <c r="H79" s="228">
        <f t="shared" si="1"/>
        <v>29</v>
      </c>
      <c r="I79" s="228">
        <f t="shared" si="1"/>
        <v>29</v>
      </c>
      <c r="J79" s="228">
        <f t="shared" si="1"/>
        <v>29</v>
      </c>
      <c r="K79" s="228">
        <f t="shared" si="1"/>
        <v>0</v>
      </c>
      <c r="L79" s="228">
        <f t="shared" si="1"/>
        <v>41</v>
      </c>
      <c r="M79" s="228">
        <f t="shared" si="1"/>
        <v>38</v>
      </c>
      <c r="N79" s="228">
        <f t="shared" si="1"/>
        <v>40</v>
      </c>
      <c r="O79" s="228">
        <f t="shared" si="1"/>
        <v>0</v>
      </c>
      <c r="P79" s="228">
        <f t="shared" si="1"/>
        <v>34</v>
      </c>
      <c r="Q79" s="228">
        <f t="shared" si="1"/>
        <v>34</v>
      </c>
      <c r="R79" s="228">
        <f t="shared" si="1"/>
        <v>32</v>
      </c>
      <c r="S79" s="228">
        <f t="shared" si="1"/>
        <v>0</v>
      </c>
      <c r="T79" s="228">
        <f t="shared" si="1"/>
        <v>36</v>
      </c>
      <c r="U79" s="228">
        <f t="shared" si="1"/>
        <v>35</v>
      </c>
      <c r="V79" s="228">
        <f t="shared" si="1"/>
        <v>34</v>
      </c>
      <c r="W79" s="228">
        <f t="shared" si="1"/>
        <v>0</v>
      </c>
      <c r="X79" s="228">
        <f t="shared" si="1"/>
        <v>12</v>
      </c>
      <c r="Y79" s="228">
        <f t="shared" si="1"/>
        <v>14</v>
      </c>
      <c r="Z79" s="228">
        <f t="shared" si="1"/>
        <v>14</v>
      </c>
      <c r="AA79" s="228">
        <f t="shared" si="1"/>
        <v>0</v>
      </c>
      <c r="AB79" s="228">
        <f t="shared" si="1"/>
        <v>16</v>
      </c>
      <c r="AC79" s="228">
        <f t="shared" si="1"/>
        <v>19</v>
      </c>
      <c r="AD79" s="228">
        <f t="shared" si="1"/>
        <v>16</v>
      </c>
      <c r="AE79" s="228">
        <f t="shared" si="1"/>
        <v>0</v>
      </c>
      <c r="AF79" s="228">
        <f t="shared" si="1"/>
        <v>28</v>
      </c>
      <c r="AG79" s="228">
        <f t="shared" si="1"/>
        <v>28</v>
      </c>
      <c r="AH79" s="228">
        <f t="shared" si="1"/>
        <v>23</v>
      </c>
      <c r="AI79" s="228">
        <f t="shared" si="1"/>
        <v>0</v>
      </c>
      <c r="AJ79" s="228">
        <f t="shared" si="1"/>
        <v>11</v>
      </c>
      <c r="AK79" s="228">
        <f t="shared" si="1"/>
        <v>13</v>
      </c>
      <c r="AL79" s="228">
        <f t="shared" si="1"/>
        <v>11</v>
      </c>
      <c r="AM79" s="228">
        <f t="shared" si="1"/>
        <v>0</v>
      </c>
      <c r="AN79" s="228">
        <f t="shared" si="1"/>
        <v>58</v>
      </c>
      <c r="AO79" s="228">
        <f t="shared" si="1"/>
        <v>0</v>
      </c>
      <c r="AP79" s="228">
        <f t="shared" si="1"/>
        <v>49</v>
      </c>
      <c r="AQ79" s="228">
        <f t="shared" si="1"/>
        <v>41</v>
      </c>
      <c r="AR79" s="228">
        <f t="shared" si="1"/>
        <v>28</v>
      </c>
      <c r="AS79" s="228">
        <f t="shared" si="1"/>
        <v>58</v>
      </c>
      <c r="AT79" s="228">
        <f t="shared" si="1"/>
        <v>58</v>
      </c>
      <c r="AU79" s="3"/>
    </row>
    <row r="80" spans="1:51" ht="27.75" customHeight="1" thickBot="1">
      <c r="B80" s="201">
        <f>COUNTIF(B14:B78,"&lt;&gt;"&amp;"")</f>
        <v>58</v>
      </c>
      <c r="C80" s="229" t="s">
        <v>218</v>
      </c>
      <c r="D80" s="230">
        <f>SUMIF(D14:D78,"&gt;="&amp;D12,D14:D78)</f>
        <v>152</v>
      </c>
      <c r="E80" s="230">
        <f t="shared" ref="E80:AT80" si="2">SUMIF(E14:E78,"&gt;="&amp;E12,E14:E78)</f>
        <v>163</v>
      </c>
      <c r="F80" s="230">
        <f t="shared" si="2"/>
        <v>285</v>
      </c>
      <c r="G80" s="230">
        <f t="shared" si="2"/>
        <v>0</v>
      </c>
      <c r="H80" s="230">
        <f t="shared" si="2"/>
        <v>122</v>
      </c>
      <c r="I80" s="230">
        <f t="shared" si="2"/>
        <v>212</v>
      </c>
      <c r="J80" s="230">
        <f t="shared" si="2"/>
        <v>160</v>
      </c>
      <c r="K80" s="230">
        <f t="shared" si="2"/>
        <v>0</v>
      </c>
      <c r="L80" s="230">
        <f t="shared" si="2"/>
        <v>191</v>
      </c>
      <c r="M80" s="230">
        <f t="shared" si="2"/>
        <v>280</v>
      </c>
      <c r="N80" s="230">
        <f t="shared" si="2"/>
        <v>196</v>
      </c>
      <c r="O80" s="230">
        <f t="shared" si="2"/>
        <v>0</v>
      </c>
      <c r="P80" s="230">
        <f t="shared" si="2"/>
        <v>130</v>
      </c>
      <c r="Q80" s="230">
        <f t="shared" si="2"/>
        <v>76</v>
      </c>
      <c r="R80" s="230">
        <f t="shared" si="2"/>
        <v>297</v>
      </c>
      <c r="S80" s="230">
        <f t="shared" si="2"/>
        <v>0</v>
      </c>
      <c r="T80" s="230">
        <f t="shared" si="2"/>
        <v>126</v>
      </c>
      <c r="U80" s="230">
        <f t="shared" si="2"/>
        <v>193</v>
      </c>
      <c r="V80" s="230">
        <f t="shared" si="2"/>
        <v>295</v>
      </c>
      <c r="W80" s="230">
        <f t="shared" si="2"/>
        <v>0</v>
      </c>
      <c r="X80" s="230">
        <f t="shared" si="2"/>
        <v>38</v>
      </c>
      <c r="Y80" s="230">
        <f t="shared" si="2"/>
        <v>84</v>
      </c>
      <c r="Z80" s="230">
        <f t="shared" si="2"/>
        <v>80</v>
      </c>
      <c r="AA80" s="230">
        <f t="shared" si="2"/>
        <v>0</v>
      </c>
      <c r="AB80" s="230">
        <f t="shared" si="2"/>
        <v>85</v>
      </c>
      <c r="AC80" s="230">
        <f t="shared" si="2"/>
        <v>106</v>
      </c>
      <c r="AD80" s="230">
        <f t="shared" si="2"/>
        <v>58</v>
      </c>
      <c r="AE80" s="230">
        <f t="shared" si="2"/>
        <v>0</v>
      </c>
      <c r="AF80" s="230">
        <f t="shared" si="2"/>
        <v>147</v>
      </c>
      <c r="AG80" s="230">
        <f t="shared" si="2"/>
        <v>152</v>
      </c>
      <c r="AH80" s="230">
        <f t="shared" si="2"/>
        <v>141</v>
      </c>
      <c r="AI80" s="230">
        <f t="shared" si="2"/>
        <v>0</v>
      </c>
      <c r="AJ80" s="230">
        <f t="shared" si="2"/>
        <v>63</v>
      </c>
      <c r="AK80" s="230">
        <f t="shared" si="2"/>
        <v>71</v>
      </c>
      <c r="AL80" s="230">
        <f t="shared" si="2"/>
        <v>51</v>
      </c>
      <c r="AM80" s="230">
        <f t="shared" si="2"/>
        <v>0</v>
      </c>
      <c r="AN80" s="230">
        <f t="shared" si="2"/>
        <v>267.75</v>
      </c>
      <c r="AO80" s="230">
        <f t="shared" si="2"/>
        <v>0</v>
      </c>
      <c r="AP80" s="230">
        <f t="shared" si="2"/>
        <v>434.25</v>
      </c>
      <c r="AQ80" s="230">
        <f t="shared" si="2"/>
        <v>324</v>
      </c>
      <c r="AR80" s="230">
        <f t="shared" si="2"/>
        <v>201.25</v>
      </c>
      <c r="AS80" s="230">
        <f t="shared" si="2"/>
        <v>2644</v>
      </c>
      <c r="AT80" s="230">
        <f t="shared" si="2"/>
        <v>1933.5</v>
      </c>
      <c r="AU80" s="3"/>
    </row>
    <row r="81" spans="2:47" ht="35.25" customHeight="1" thickBot="1">
      <c r="B81" s="16"/>
      <c r="C81" s="231" t="s">
        <v>195</v>
      </c>
      <c r="D81" s="232">
        <f>IF(D79&lt;&gt;0,((D80/D79)/D11)*100,0)</f>
        <v>86.857142857142861</v>
      </c>
      <c r="E81" s="233">
        <f t="shared" ref="E81:AT81" si="3">IF(E79&lt;&gt;0,((E80/E79)/E11)*100,0)</f>
        <v>93.142857142857153</v>
      </c>
      <c r="F81" s="233">
        <f t="shared" si="3"/>
        <v>81.428571428571431</v>
      </c>
      <c r="G81" s="233">
        <f t="shared" si="3"/>
        <v>0</v>
      </c>
      <c r="H81" s="233">
        <f t="shared" si="3"/>
        <v>70.114942528735639</v>
      </c>
      <c r="I81" s="233">
        <f t="shared" si="3"/>
        <v>91.379310344827587</v>
      </c>
      <c r="J81" s="233">
        <f t="shared" si="3"/>
        <v>91.954022988505756</v>
      </c>
      <c r="K81" s="233">
        <f t="shared" si="3"/>
        <v>0</v>
      </c>
      <c r="L81" s="233">
        <f t="shared" si="3"/>
        <v>93.17073170731706</v>
      </c>
      <c r="M81" s="233">
        <f t="shared" si="3"/>
        <v>73.68421052631578</v>
      </c>
      <c r="N81" s="233">
        <f t="shared" si="3"/>
        <v>98.000000000000014</v>
      </c>
      <c r="O81" s="233">
        <f t="shared" si="3"/>
        <v>0</v>
      </c>
      <c r="P81" s="233">
        <f t="shared" si="3"/>
        <v>95.588235294117652</v>
      </c>
      <c r="Q81" s="233">
        <f t="shared" si="3"/>
        <v>37.254901960784316</v>
      </c>
      <c r="R81" s="233">
        <f t="shared" si="3"/>
        <v>92.8125</v>
      </c>
      <c r="S81" s="233">
        <f t="shared" si="3"/>
        <v>0</v>
      </c>
      <c r="T81" s="233">
        <f t="shared" si="3"/>
        <v>87.5</v>
      </c>
      <c r="U81" s="233">
        <f t="shared" si="3"/>
        <v>91.904761904761898</v>
      </c>
      <c r="V81" s="233">
        <f t="shared" si="3"/>
        <v>86.764705882352928</v>
      </c>
      <c r="W81" s="233">
        <f t="shared" si="3"/>
        <v>0</v>
      </c>
      <c r="X81" s="233">
        <f t="shared" si="3"/>
        <v>79.166666666666657</v>
      </c>
      <c r="Y81" s="233">
        <f t="shared" si="3"/>
        <v>100</v>
      </c>
      <c r="Z81" s="233">
        <f t="shared" si="3"/>
        <v>57.142857142857139</v>
      </c>
      <c r="AA81" s="233">
        <f t="shared" si="3"/>
        <v>0</v>
      </c>
      <c r="AB81" s="233">
        <f t="shared" si="3"/>
        <v>88.541666666666657</v>
      </c>
      <c r="AC81" s="233">
        <f t="shared" si="3"/>
        <v>92.982456140350862</v>
      </c>
      <c r="AD81" s="233">
        <f t="shared" si="3"/>
        <v>45.3125</v>
      </c>
      <c r="AE81" s="233">
        <f t="shared" si="3"/>
        <v>0</v>
      </c>
      <c r="AF81" s="233">
        <f t="shared" si="3"/>
        <v>87.5</v>
      </c>
      <c r="AG81" s="233">
        <f t="shared" si="3"/>
        <v>90.476190476190482</v>
      </c>
      <c r="AH81" s="233">
        <f t="shared" si="3"/>
        <v>76.630434782608688</v>
      </c>
      <c r="AI81" s="233">
        <f t="shared" si="3"/>
        <v>0</v>
      </c>
      <c r="AJ81" s="233">
        <f t="shared" si="3"/>
        <v>95.454545454545453</v>
      </c>
      <c r="AK81" s="233">
        <f t="shared" si="3"/>
        <v>91.025641025641022</v>
      </c>
      <c r="AL81" s="233">
        <f t="shared" si="3"/>
        <v>57.95454545454546</v>
      </c>
      <c r="AM81" s="233">
        <f t="shared" si="3"/>
        <v>0</v>
      </c>
      <c r="AN81" s="234">
        <f t="shared" si="3"/>
        <v>92.327586206896555</v>
      </c>
      <c r="AO81" s="234">
        <f t="shared" si="3"/>
        <v>0</v>
      </c>
      <c r="AP81" s="234">
        <f t="shared" si="3"/>
        <v>88.622448979591823</v>
      </c>
      <c r="AQ81" s="234">
        <f t="shared" si="3"/>
        <v>79.024390243902445</v>
      </c>
      <c r="AR81" s="234">
        <f t="shared" si="3"/>
        <v>71.875</v>
      </c>
      <c r="AS81" s="234">
        <f t="shared" si="3"/>
        <v>91.172413793103445</v>
      </c>
      <c r="AT81" s="234">
        <f t="shared" si="3"/>
        <v>66.672413793103445</v>
      </c>
      <c r="AU81" s="235">
        <f>(COUNTIF(AU14:AU78,"=S")*10+COUNTIF(AU14:AU78,"=A")*9+COUNTIF(AU14:AU78,"=B")*8+COUNTIF(AU14:AU78,"=C")*7+COUNTIF(AU14:AU78,"=D")*5+COUNTIF(AU14:AU78,"=E")*4)/(10*COUNTIF(AU14:AU78,"&lt;&gt;"&amp;""))*100</f>
        <v>86.379310344827587</v>
      </c>
    </row>
    <row r="82" spans="2:47" ht="61.5" customHeight="1">
      <c r="C82" s="19"/>
    </row>
    <row r="83" spans="2:47" ht="17.25" customHeight="1">
      <c r="C83" s="19"/>
    </row>
    <row r="86" spans="2:47">
      <c r="AS86" s="142"/>
      <c r="AT86" s="142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5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5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5"/>
    </row>
    <row r="143" spans="4:4">
      <c r="D143" s="4"/>
    </row>
    <row r="144" spans="4:4">
      <c r="D144" s="4"/>
    </row>
  </sheetData>
  <mergeCells count="11">
    <mergeCell ref="P10:AA10"/>
    <mergeCell ref="AB10:AK10"/>
    <mergeCell ref="A5:B5"/>
    <mergeCell ref="A1:E1"/>
    <mergeCell ref="A2:E2"/>
    <mergeCell ref="A3:E3"/>
    <mergeCell ref="A4:E4"/>
    <mergeCell ref="D10:O10"/>
    <mergeCell ref="C5:E5"/>
    <mergeCell ref="C6:E6"/>
    <mergeCell ref="A6:B6"/>
  </mergeCells>
  <conditionalFormatting sqref="C45:C46 C15:C43">
    <cfRule type="containsText" dxfId="9" priority="1" stopIfTrue="1" operator="containsText" text="F">
      <formula>NOT(ISERROR(SEARCH("F",C15)))</formula>
    </cfRule>
  </conditionalFormatting>
  <pageMargins left="0.2" right="0.2" top="0.47" bottom="0.37" header="0.3" footer="0.3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85"/>
  <sheetViews>
    <sheetView topLeftCell="A56" zoomScale="80" zoomScaleNormal="80" workbookViewId="0">
      <selection activeCell="U83" sqref="U83"/>
    </sheetView>
  </sheetViews>
  <sheetFormatPr defaultRowHeight="15"/>
  <cols>
    <col min="1" max="1" width="6.7109375" bestFit="1" customWidth="1"/>
    <col min="2" max="2" width="12.42578125" bestFit="1" customWidth="1"/>
    <col min="3" max="3" width="29.28515625" bestFit="1" customWidth="1"/>
    <col min="4" max="5" width="4.28515625" customWidth="1"/>
    <col min="6" max="6" width="4.7109375" customWidth="1"/>
    <col min="7" max="7" width="4.5703125" style="17" customWidth="1"/>
    <col min="8" max="8" width="4.85546875" style="17" customWidth="1"/>
    <col min="9" max="9" width="3.85546875" style="17" customWidth="1"/>
    <col min="10" max="26" width="3.85546875" customWidth="1"/>
    <col min="27" max="29" width="3.85546875" style="17" customWidth="1"/>
    <col min="30" max="83" width="3.85546875" customWidth="1"/>
  </cols>
  <sheetData>
    <row r="1" spans="1:83" ht="23.25">
      <c r="P1" s="51" t="s">
        <v>36</v>
      </c>
    </row>
    <row r="4" spans="1:83" ht="15.75">
      <c r="C4" s="43" t="s">
        <v>17</v>
      </c>
      <c r="D4" s="3" t="s">
        <v>44</v>
      </c>
      <c r="E4" s="3" t="s">
        <v>59</v>
      </c>
      <c r="F4" s="3" t="s">
        <v>59</v>
      </c>
      <c r="G4" s="3" t="s">
        <v>59</v>
      </c>
      <c r="H4" s="3" t="s">
        <v>59</v>
      </c>
      <c r="I4" s="3" t="s">
        <v>59</v>
      </c>
      <c r="J4" s="3" t="s">
        <v>44</v>
      </c>
      <c r="K4" s="3" t="s">
        <v>59</v>
      </c>
      <c r="L4" s="3" t="s">
        <v>59</v>
      </c>
      <c r="M4" s="3" t="s">
        <v>44</v>
      </c>
      <c r="N4" s="3" t="s">
        <v>59</v>
      </c>
      <c r="O4" s="3" t="s">
        <v>44</v>
      </c>
      <c r="P4" s="3" t="s">
        <v>59</v>
      </c>
      <c r="Q4" s="3" t="s">
        <v>59</v>
      </c>
      <c r="R4" s="3" t="s">
        <v>59</v>
      </c>
      <c r="S4" s="3" t="s">
        <v>44</v>
      </c>
      <c r="T4" s="3" t="s">
        <v>59</v>
      </c>
      <c r="U4" s="3" t="s">
        <v>44</v>
      </c>
      <c r="V4" s="3" t="s">
        <v>59</v>
      </c>
      <c r="W4" s="3" t="s">
        <v>59</v>
      </c>
      <c r="X4" s="3" t="s">
        <v>59</v>
      </c>
      <c r="Y4" s="3" t="s">
        <v>44</v>
      </c>
      <c r="Z4" s="3" t="s">
        <v>59</v>
      </c>
      <c r="AA4" s="3" t="s">
        <v>59</v>
      </c>
      <c r="AB4" s="3" t="s">
        <v>44</v>
      </c>
      <c r="AC4" s="3" t="s">
        <v>59</v>
      </c>
      <c r="AD4" s="3" t="s">
        <v>59</v>
      </c>
      <c r="AE4" s="3" t="s">
        <v>59</v>
      </c>
      <c r="AF4" s="3" t="s">
        <v>44</v>
      </c>
      <c r="AG4" s="3" t="s">
        <v>59</v>
      </c>
      <c r="AH4" s="3" t="s">
        <v>44</v>
      </c>
      <c r="AI4" s="3" t="s">
        <v>44</v>
      </c>
      <c r="AJ4" s="3" t="s">
        <v>59</v>
      </c>
      <c r="AK4" s="3" t="s">
        <v>44</v>
      </c>
      <c r="AL4" s="3" t="s">
        <v>44</v>
      </c>
      <c r="AM4" s="3" t="s">
        <v>44</v>
      </c>
      <c r="AN4" s="3" t="s">
        <v>44</v>
      </c>
      <c r="AO4" s="3" t="s">
        <v>44</v>
      </c>
      <c r="AP4" s="3" t="s">
        <v>59</v>
      </c>
      <c r="AQ4" s="3" t="s">
        <v>59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>
      <c r="C5" s="44" t="s">
        <v>16</v>
      </c>
      <c r="D5" s="3">
        <v>2</v>
      </c>
      <c r="E5" s="3">
        <v>1</v>
      </c>
      <c r="F5" s="3">
        <v>2</v>
      </c>
      <c r="G5" s="3">
        <v>1</v>
      </c>
      <c r="H5" s="3">
        <v>1</v>
      </c>
      <c r="I5" s="3">
        <v>1</v>
      </c>
      <c r="J5" s="3">
        <v>3</v>
      </c>
      <c r="K5" s="3">
        <v>3</v>
      </c>
      <c r="L5" s="3">
        <v>1</v>
      </c>
      <c r="M5" s="3">
        <v>3</v>
      </c>
      <c r="N5" s="3">
        <v>1</v>
      </c>
      <c r="O5" s="3">
        <v>3</v>
      </c>
      <c r="P5" s="3">
        <v>3</v>
      </c>
      <c r="Q5" s="3">
        <v>3</v>
      </c>
      <c r="R5" s="3">
        <v>1</v>
      </c>
      <c r="S5" s="3">
        <v>2</v>
      </c>
      <c r="T5" s="3">
        <v>2</v>
      </c>
      <c r="U5" s="3">
        <v>2</v>
      </c>
      <c r="V5" s="3">
        <v>1</v>
      </c>
      <c r="W5" s="3">
        <v>1</v>
      </c>
      <c r="X5" s="3">
        <v>1</v>
      </c>
      <c r="Y5" s="3">
        <v>2</v>
      </c>
      <c r="Z5" s="3">
        <v>1</v>
      </c>
      <c r="AA5" s="3">
        <v>1</v>
      </c>
      <c r="AB5" s="3">
        <v>2</v>
      </c>
      <c r="AC5" s="3">
        <v>1</v>
      </c>
      <c r="AD5" s="3">
        <v>1</v>
      </c>
      <c r="AE5" s="3">
        <v>3</v>
      </c>
      <c r="AF5" s="3">
        <v>3</v>
      </c>
      <c r="AG5" s="3">
        <v>1</v>
      </c>
      <c r="AH5" s="3">
        <v>3</v>
      </c>
      <c r="AI5" s="3">
        <v>3</v>
      </c>
      <c r="AJ5" s="3">
        <v>3</v>
      </c>
      <c r="AK5" s="3">
        <v>3</v>
      </c>
      <c r="AL5" s="3">
        <v>2</v>
      </c>
      <c r="AM5" s="3">
        <v>2</v>
      </c>
      <c r="AN5" s="3">
        <v>2</v>
      </c>
      <c r="AO5" s="3">
        <v>2</v>
      </c>
      <c r="AP5" s="3">
        <v>3</v>
      </c>
      <c r="AQ5" s="3">
        <v>1</v>
      </c>
      <c r="AR5" s="3">
        <v>1</v>
      </c>
      <c r="AS5" s="3">
        <v>2</v>
      </c>
      <c r="AT5" s="3">
        <v>1</v>
      </c>
      <c r="AU5" s="3">
        <v>2</v>
      </c>
      <c r="AV5" s="3">
        <v>3</v>
      </c>
      <c r="AW5" s="3">
        <v>4</v>
      </c>
      <c r="AX5" s="3">
        <v>5</v>
      </c>
      <c r="AY5" s="3">
        <v>1</v>
      </c>
      <c r="AZ5" s="3">
        <v>2</v>
      </c>
      <c r="BA5" s="3">
        <v>3</v>
      </c>
      <c r="BB5" s="3">
        <v>4</v>
      </c>
      <c r="BC5" s="3">
        <v>5</v>
      </c>
      <c r="BD5" s="3">
        <v>1</v>
      </c>
      <c r="BE5" s="3">
        <v>2</v>
      </c>
      <c r="BF5" s="3">
        <v>3</v>
      </c>
      <c r="BG5" s="3">
        <v>4</v>
      </c>
      <c r="BH5" s="3">
        <v>5</v>
      </c>
      <c r="BI5" s="3">
        <v>1</v>
      </c>
      <c r="BJ5" s="3">
        <v>2</v>
      </c>
      <c r="BK5" s="3">
        <v>3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spans="1:83" ht="15.75">
      <c r="C6" s="45" t="s">
        <v>15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6">
        <v>1</v>
      </c>
      <c r="AA6" s="36">
        <v>1</v>
      </c>
      <c r="AB6" s="36">
        <v>1</v>
      </c>
      <c r="AC6" s="36">
        <v>1</v>
      </c>
      <c r="AD6" s="36">
        <v>1</v>
      </c>
      <c r="AE6" s="36">
        <v>1</v>
      </c>
      <c r="AF6" s="36">
        <v>1</v>
      </c>
      <c r="AG6" s="36">
        <v>1</v>
      </c>
      <c r="AH6" s="36">
        <v>1</v>
      </c>
      <c r="AI6" s="36">
        <v>1</v>
      </c>
      <c r="AJ6" s="36">
        <v>1</v>
      </c>
      <c r="AK6" s="36">
        <v>1</v>
      </c>
      <c r="AL6" s="36">
        <v>1</v>
      </c>
      <c r="AM6" s="36">
        <v>1</v>
      </c>
      <c r="AN6" s="36">
        <v>1</v>
      </c>
      <c r="AO6" s="36">
        <v>1</v>
      </c>
      <c r="AP6" s="36">
        <v>1</v>
      </c>
      <c r="AQ6" s="36">
        <v>1</v>
      </c>
      <c r="AR6" s="41">
        <v>1</v>
      </c>
      <c r="AS6" s="41">
        <v>1</v>
      </c>
      <c r="AT6" s="41">
        <v>1</v>
      </c>
      <c r="AU6" s="41">
        <v>1</v>
      </c>
      <c r="AV6" s="41">
        <v>1</v>
      </c>
      <c r="AW6" s="41">
        <v>1</v>
      </c>
      <c r="AX6" s="41">
        <v>1</v>
      </c>
      <c r="AY6" s="41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41">
        <v>1</v>
      </c>
      <c r="BF6" s="41">
        <v>1</v>
      </c>
      <c r="BG6" s="41">
        <v>1</v>
      </c>
      <c r="BH6" s="41">
        <v>1</v>
      </c>
      <c r="BI6" s="41">
        <v>1</v>
      </c>
      <c r="BJ6" s="41">
        <v>1</v>
      </c>
      <c r="BK6" s="41">
        <v>1</v>
      </c>
      <c r="BL6" s="41">
        <v>1</v>
      </c>
      <c r="BM6" s="41">
        <v>1</v>
      </c>
      <c r="BN6" s="41">
        <v>1</v>
      </c>
      <c r="BO6" s="41">
        <v>1</v>
      </c>
      <c r="BP6" s="41">
        <v>1</v>
      </c>
      <c r="BQ6" s="41">
        <v>1</v>
      </c>
      <c r="BR6" s="41">
        <v>1</v>
      </c>
      <c r="BS6" s="41">
        <v>1</v>
      </c>
      <c r="BT6" s="41">
        <v>1</v>
      </c>
      <c r="BU6" s="41">
        <v>1</v>
      </c>
      <c r="BV6" s="41">
        <v>1</v>
      </c>
      <c r="BW6" s="41">
        <v>1</v>
      </c>
      <c r="BX6" s="41">
        <v>1</v>
      </c>
      <c r="BY6" s="41">
        <v>1</v>
      </c>
      <c r="BZ6" s="41">
        <v>1</v>
      </c>
      <c r="CA6" s="41">
        <v>1</v>
      </c>
      <c r="CB6" s="41">
        <v>1</v>
      </c>
      <c r="CC6" s="41">
        <v>1</v>
      </c>
      <c r="CD6" s="41">
        <v>1</v>
      </c>
      <c r="CE6" s="41">
        <v>1</v>
      </c>
    </row>
    <row r="7" spans="1:83" ht="15.75">
      <c r="C7" s="42"/>
      <c r="D7" s="322" t="s">
        <v>39</v>
      </c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1" t="s">
        <v>40</v>
      </c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2" t="s">
        <v>41</v>
      </c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322"/>
      <c r="BH7" s="322"/>
      <c r="BI7" s="322"/>
      <c r="BJ7" s="322"/>
      <c r="BK7" s="322"/>
      <c r="BL7" s="321" t="s">
        <v>42</v>
      </c>
      <c r="BM7" s="321"/>
      <c r="BN7" s="321"/>
      <c r="BO7" s="321"/>
      <c r="BP7" s="321"/>
      <c r="BQ7" s="321"/>
      <c r="BR7" s="321"/>
      <c r="BS7" s="321"/>
      <c r="BT7" s="321"/>
      <c r="BU7" s="321"/>
      <c r="BV7" s="321"/>
      <c r="BW7" s="321"/>
      <c r="BX7" s="321"/>
      <c r="BY7" s="321"/>
      <c r="BZ7" s="321"/>
      <c r="CA7" s="321"/>
      <c r="CB7" s="321"/>
      <c r="CC7" s="321"/>
      <c r="CD7" s="321"/>
      <c r="CE7" s="321"/>
    </row>
    <row r="8" spans="1:83">
      <c r="A8" s="9" t="s">
        <v>3</v>
      </c>
      <c r="B8" s="9" t="s">
        <v>2</v>
      </c>
      <c r="C8" s="40" t="s">
        <v>4</v>
      </c>
      <c r="D8" s="36">
        <v>1</v>
      </c>
      <c r="E8" s="3">
        <v>2</v>
      </c>
      <c r="F8" s="3">
        <v>3</v>
      </c>
      <c r="G8" s="3">
        <v>4</v>
      </c>
      <c r="H8" s="36">
        <v>5</v>
      </c>
      <c r="I8" s="3">
        <v>6</v>
      </c>
      <c r="J8" s="3">
        <v>7</v>
      </c>
      <c r="K8" s="3">
        <v>8</v>
      </c>
      <c r="L8" s="36">
        <v>9</v>
      </c>
      <c r="M8" s="3">
        <v>10</v>
      </c>
      <c r="N8" s="3">
        <v>11</v>
      </c>
      <c r="O8" s="3">
        <v>12</v>
      </c>
      <c r="P8" s="36">
        <v>13</v>
      </c>
      <c r="Q8" s="3">
        <v>14</v>
      </c>
      <c r="R8" s="3">
        <v>15</v>
      </c>
      <c r="S8" s="3">
        <v>16</v>
      </c>
      <c r="T8" s="36">
        <v>17</v>
      </c>
      <c r="U8" s="3">
        <v>18</v>
      </c>
      <c r="V8" s="3">
        <v>19</v>
      </c>
      <c r="W8" s="3">
        <v>20</v>
      </c>
      <c r="X8" s="36">
        <v>1</v>
      </c>
      <c r="Y8" s="3">
        <v>2</v>
      </c>
      <c r="Z8" s="3">
        <v>3</v>
      </c>
      <c r="AA8" s="3">
        <v>4</v>
      </c>
      <c r="AB8" s="36">
        <v>5</v>
      </c>
      <c r="AC8" s="3">
        <v>6</v>
      </c>
      <c r="AD8" s="3">
        <v>7</v>
      </c>
      <c r="AE8" s="3">
        <v>8</v>
      </c>
      <c r="AF8" s="36">
        <v>9</v>
      </c>
      <c r="AG8" s="3">
        <v>10</v>
      </c>
      <c r="AH8" s="3">
        <v>11</v>
      </c>
      <c r="AI8" s="3">
        <v>12</v>
      </c>
      <c r="AJ8" s="36">
        <v>13</v>
      </c>
      <c r="AK8" s="3">
        <v>14</v>
      </c>
      <c r="AL8" s="3">
        <v>15</v>
      </c>
      <c r="AM8" s="3">
        <v>16</v>
      </c>
      <c r="AN8" s="36">
        <v>17</v>
      </c>
      <c r="AO8" s="3">
        <v>18</v>
      </c>
      <c r="AP8" s="3">
        <v>19</v>
      </c>
      <c r="AQ8" s="3">
        <v>20</v>
      </c>
      <c r="AR8" s="41">
        <v>1</v>
      </c>
      <c r="AS8" s="3">
        <v>2</v>
      </c>
      <c r="AT8" s="3">
        <v>3</v>
      </c>
      <c r="AU8" s="3">
        <v>4</v>
      </c>
      <c r="AV8" s="41">
        <v>5</v>
      </c>
      <c r="AW8" s="3">
        <v>6</v>
      </c>
      <c r="AX8" s="3">
        <v>7</v>
      </c>
      <c r="AY8" s="3">
        <v>8</v>
      </c>
      <c r="AZ8" s="41">
        <v>9</v>
      </c>
      <c r="BA8" s="3">
        <v>10</v>
      </c>
      <c r="BB8" s="3">
        <v>11</v>
      </c>
      <c r="BC8" s="3">
        <v>12</v>
      </c>
      <c r="BD8" s="41">
        <v>13</v>
      </c>
      <c r="BE8" s="3">
        <v>14</v>
      </c>
      <c r="BF8" s="3">
        <v>15</v>
      </c>
      <c r="BG8" s="3">
        <v>16</v>
      </c>
      <c r="BH8" s="41">
        <v>17</v>
      </c>
      <c r="BI8" s="3">
        <v>18</v>
      </c>
      <c r="BJ8" s="3">
        <v>19</v>
      </c>
      <c r="BK8" s="3">
        <v>20</v>
      </c>
      <c r="BL8" s="41">
        <v>1</v>
      </c>
      <c r="BM8" s="3">
        <v>2</v>
      </c>
      <c r="BN8" s="3">
        <v>3</v>
      </c>
      <c r="BO8" s="3">
        <v>4</v>
      </c>
      <c r="BP8" s="41">
        <v>5</v>
      </c>
      <c r="BQ8" s="3">
        <v>6</v>
      </c>
      <c r="BR8" s="3">
        <v>7</v>
      </c>
      <c r="BS8" s="3">
        <v>8</v>
      </c>
      <c r="BT8" s="41">
        <v>9</v>
      </c>
      <c r="BU8" s="3">
        <v>10</v>
      </c>
      <c r="BV8" s="3">
        <v>11</v>
      </c>
      <c r="BW8" s="3">
        <v>12</v>
      </c>
      <c r="BX8" s="41">
        <v>13</v>
      </c>
      <c r="BY8" s="3">
        <v>14</v>
      </c>
      <c r="BZ8" s="3">
        <v>15</v>
      </c>
      <c r="CA8" s="3">
        <v>16</v>
      </c>
      <c r="CB8" s="41">
        <v>17</v>
      </c>
      <c r="CC8" s="3">
        <v>18</v>
      </c>
      <c r="CD8" s="3">
        <v>19</v>
      </c>
      <c r="CE8" s="3">
        <v>20</v>
      </c>
    </row>
    <row r="9" spans="1:83">
      <c r="A9" s="1">
        <v>1</v>
      </c>
      <c r="B9" s="52"/>
      <c r="C9" s="5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spans="1:83">
      <c r="A10" s="1">
        <v>2</v>
      </c>
      <c r="B10" s="52"/>
      <c r="C10" s="5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83">
      <c r="A11" s="1">
        <v>3</v>
      </c>
      <c r="B11" s="52"/>
      <c r="C11" s="5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</row>
    <row r="12" spans="1:83">
      <c r="A12" s="1">
        <v>4</v>
      </c>
      <c r="B12" s="52"/>
      <c r="C12" s="5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</row>
    <row r="13" spans="1:83">
      <c r="A13" s="1">
        <v>5</v>
      </c>
      <c r="B13" s="52"/>
      <c r="C13" s="5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</row>
    <row r="14" spans="1:83">
      <c r="A14" s="1">
        <v>6</v>
      </c>
      <c r="B14" s="52"/>
      <c r="C14" s="5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1:83">
      <c r="A15" s="1">
        <v>7</v>
      </c>
      <c r="B15" s="52"/>
      <c r="C15" s="5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1:83">
      <c r="A16" s="1">
        <v>8</v>
      </c>
      <c r="B16" s="52"/>
      <c r="C16" s="5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83">
      <c r="A17" s="1">
        <v>9</v>
      </c>
      <c r="B17" s="52"/>
      <c r="C17" s="5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</row>
    <row r="18" spans="1:83">
      <c r="A18" s="1">
        <v>10</v>
      </c>
      <c r="B18" s="52"/>
      <c r="C18" s="5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spans="1:83">
      <c r="A19" s="1">
        <v>11</v>
      </c>
      <c r="B19" s="52"/>
      <c r="C19" s="5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>
      <c r="A20" s="1">
        <v>12</v>
      </c>
      <c r="B20" s="52"/>
      <c r="C20" s="5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spans="1:83">
      <c r="A21" s="1">
        <v>13</v>
      </c>
      <c r="B21" s="52"/>
      <c r="C21" s="5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spans="1:83">
      <c r="A22" s="1">
        <v>14</v>
      </c>
      <c r="B22" s="52"/>
      <c r="C22" s="5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</row>
    <row r="23" spans="1:83">
      <c r="A23" s="1">
        <v>15</v>
      </c>
      <c r="B23" s="52"/>
      <c r="C23" s="5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1:83">
      <c r="A24" s="1">
        <v>16</v>
      </c>
      <c r="B24" s="52"/>
      <c r="C24" s="5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</row>
    <row r="25" spans="1:83">
      <c r="A25" s="1">
        <v>17</v>
      </c>
      <c r="B25" s="52"/>
      <c r="C25" s="5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</row>
    <row r="26" spans="1:83">
      <c r="A26" s="1">
        <v>18</v>
      </c>
      <c r="B26" s="52"/>
      <c r="C26" s="5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</row>
    <row r="27" spans="1:83">
      <c r="A27" s="1">
        <v>19</v>
      </c>
      <c r="B27" s="52"/>
      <c r="C27" s="5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</row>
    <row r="28" spans="1:83">
      <c r="A28" s="1">
        <v>20</v>
      </c>
      <c r="B28" s="52"/>
      <c r="C28" s="5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>
      <c r="A29" s="1">
        <v>21</v>
      </c>
      <c r="B29" s="52"/>
      <c r="C29" s="5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>
      <c r="A30" s="1">
        <v>22</v>
      </c>
      <c r="B30" s="52"/>
      <c r="C30" s="5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>
      <c r="A31" s="1">
        <v>23</v>
      </c>
      <c r="B31" s="52"/>
      <c r="C31" s="5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>
      <c r="A32" s="1">
        <v>24</v>
      </c>
      <c r="B32" s="52"/>
      <c r="C32" s="5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3" spans="1:83">
      <c r="A33" s="1">
        <v>25</v>
      </c>
      <c r="B33" s="52"/>
      <c r="C33" s="5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</row>
    <row r="34" spans="1:83">
      <c r="A34" s="1">
        <v>26</v>
      </c>
      <c r="B34" s="52"/>
      <c r="C34" s="5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1:83">
      <c r="A35" s="1">
        <v>27</v>
      </c>
      <c r="B35" s="52"/>
      <c r="C35" s="5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spans="1:83">
      <c r="A36" s="1">
        <v>28</v>
      </c>
      <c r="B36" s="52"/>
      <c r="C36" s="5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spans="1:83">
      <c r="A37" s="1">
        <v>29</v>
      </c>
      <c r="B37" s="52"/>
      <c r="C37" s="5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spans="1:83">
      <c r="A38" s="1">
        <v>30</v>
      </c>
      <c r="B38" s="52"/>
      <c r="C38" s="5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spans="1:83">
      <c r="A39" s="1">
        <v>31</v>
      </c>
      <c r="B39" s="52"/>
      <c r="C39" s="5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spans="1:83">
      <c r="A40" s="1">
        <v>32</v>
      </c>
      <c r="B40" s="52"/>
      <c r="C40" s="5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spans="1:83">
      <c r="A41" s="1">
        <v>33</v>
      </c>
      <c r="B41" s="52"/>
      <c r="C41" s="5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spans="1:83">
      <c r="A42" s="1">
        <v>34</v>
      </c>
      <c r="B42" s="52"/>
      <c r="C42" s="5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spans="1:83">
      <c r="A43" s="1">
        <v>35</v>
      </c>
      <c r="B43" s="52"/>
      <c r="C43" s="5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spans="1:83">
      <c r="A44" s="1">
        <v>36</v>
      </c>
      <c r="B44" s="52"/>
      <c r="C44" s="5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spans="1:83">
      <c r="A45" s="1">
        <v>37</v>
      </c>
      <c r="B45" s="52"/>
      <c r="C45" s="5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spans="1:83">
      <c r="A46" s="1">
        <v>38</v>
      </c>
      <c r="B46" s="52"/>
      <c r="C46" s="5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</row>
    <row r="47" spans="1:83">
      <c r="A47" s="1">
        <v>39</v>
      </c>
      <c r="B47" s="52"/>
      <c r="C47" s="5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1:83">
      <c r="A48" s="1">
        <v>40</v>
      </c>
      <c r="B48" s="52"/>
      <c r="C48" s="5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1:83">
      <c r="A49" s="1">
        <v>41</v>
      </c>
      <c r="B49" s="52"/>
      <c r="C49" s="5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1:83">
      <c r="A50" s="1">
        <v>42</v>
      </c>
      <c r="B50" s="52"/>
      <c r="C50" s="5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1:83">
      <c r="A51" s="1">
        <v>43</v>
      </c>
      <c r="B51" s="52"/>
      <c r="C51" s="5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1:83">
      <c r="A52" s="1">
        <v>44</v>
      </c>
      <c r="B52" s="52"/>
      <c r="C52" s="5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1:83">
      <c r="A53" s="1">
        <v>45</v>
      </c>
      <c r="B53" s="52"/>
      <c r="C53" s="5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1:83">
      <c r="A54" s="1">
        <v>46</v>
      </c>
      <c r="B54" s="52"/>
      <c r="C54" s="5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1:83">
      <c r="A55" s="1">
        <v>47</v>
      </c>
      <c r="B55" s="52"/>
      <c r="C55" s="5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1:83">
      <c r="A56" s="1">
        <v>48</v>
      </c>
      <c r="B56" s="52"/>
      <c r="C56" s="5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1:83">
      <c r="A57" s="1">
        <v>49</v>
      </c>
      <c r="B57" s="52"/>
      <c r="C57" s="5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1:83">
      <c r="A58" s="1">
        <v>50</v>
      </c>
      <c r="B58" s="53"/>
      <c r="C58" s="5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1:83">
      <c r="A59" s="1">
        <v>51</v>
      </c>
      <c r="B59" s="53"/>
      <c r="C59" s="5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1:83">
      <c r="A60" s="1">
        <v>52</v>
      </c>
      <c r="B60" s="53"/>
      <c r="C60" s="5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1:83">
      <c r="A61" s="1">
        <v>53</v>
      </c>
      <c r="B61" s="53"/>
      <c r="C61" s="5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>
      <c r="A62" s="1">
        <v>54</v>
      </c>
      <c r="B62" s="53"/>
      <c r="C62" s="5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1:83">
      <c r="A63" s="1">
        <v>55</v>
      </c>
      <c r="B63" s="53"/>
      <c r="C63" s="5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1:83">
      <c r="A64" s="1">
        <v>56</v>
      </c>
      <c r="B64" s="53"/>
      <c r="C64" s="5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1:83">
      <c r="A65" s="1">
        <v>57</v>
      </c>
      <c r="B65" s="53"/>
      <c r="C65" s="5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>
      <c r="A66" s="1">
        <v>58</v>
      </c>
      <c r="B66" s="53"/>
      <c r="C66" s="5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spans="1:83">
      <c r="A67" s="1">
        <v>59</v>
      </c>
      <c r="B67" s="53"/>
      <c r="C67" s="5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  <row r="68" spans="1:83">
      <c r="A68" s="1">
        <v>60</v>
      </c>
      <c r="B68" s="53"/>
      <c r="C68" s="5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</row>
    <row r="69" spans="1:83">
      <c r="A69" s="1">
        <v>61</v>
      </c>
      <c r="B69" s="53"/>
      <c r="C69" s="5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</row>
    <row r="70" spans="1:83">
      <c r="A70" s="1">
        <v>62</v>
      </c>
      <c r="B70" s="53"/>
      <c r="C70" s="5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</row>
    <row r="71" spans="1:83">
      <c r="A71" s="1">
        <v>63</v>
      </c>
      <c r="B71" s="53"/>
      <c r="C71" s="5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</row>
    <row r="72" spans="1:83">
      <c r="A72" s="1">
        <v>64</v>
      </c>
      <c r="B72" s="53"/>
      <c r="C72" s="5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</row>
    <row r="73" spans="1:83">
      <c r="A73" s="1">
        <v>65</v>
      </c>
      <c r="B73" s="53"/>
      <c r="C73" s="5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</row>
    <row r="74" spans="1:83" ht="26.25">
      <c r="C74" s="74" t="s">
        <v>194</v>
      </c>
      <c r="D74" s="49">
        <f>COUNTIFS(D9:D73,"&lt;&gt;AB",D9:D73,"&lt;&gt;NA",D9:D73,"&lt;&gt;")</f>
        <v>0</v>
      </c>
      <c r="E74" s="49">
        <f t="shared" ref="E74:BP74" si="0">COUNTIFS(E9:E73,"&lt;&gt;AB",E9:E73,"&lt;&gt;NA",E9:E73,"&lt;&gt;")</f>
        <v>0</v>
      </c>
      <c r="F74" s="49">
        <f t="shared" si="0"/>
        <v>0</v>
      </c>
      <c r="G74" s="49">
        <f t="shared" si="0"/>
        <v>0</v>
      </c>
      <c r="H74" s="49">
        <f t="shared" si="0"/>
        <v>0</v>
      </c>
      <c r="I74" s="49">
        <f t="shared" si="0"/>
        <v>0</v>
      </c>
      <c r="J74" s="49">
        <f t="shared" si="0"/>
        <v>0</v>
      </c>
      <c r="K74" s="49">
        <f t="shared" si="0"/>
        <v>0</v>
      </c>
      <c r="L74" s="49">
        <f t="shared" si="0"/>
        <v>0</v>
      </c>
      <c r="M74" s="49">
        <f t="shared" si="0"/>
        <v>0</v>
      </c>
      <c r="N74" s="49">
        <f t="shared" si="0"/>
        <v>0</v>
      </c>
      <c r="O74" s="49">
        <f t="shared" si="0"/>
        <v>0</v>
      </c>
      <c r="P74" s="49">
        <f t="shared" si="0"/>
        <v>0</v>
      </c>
      <c r="Q74" s="49">
        <f t="shared" si="0"/>
        <v>0</v>
      </c>
      <c r="R74" s="49">
        <f t="shared" si="0"/>
        <v>0</v>
      </c>
      <c r="S74" s="49">
        <f t="shared" si="0"/>
        <v>0</v>
      </c>
      <c r="T74" s="49">
        <f t="shared" si="0"/>
        <v>0</v>
      </c>
      <c r="U74" s="49">
        <f t="shared" si="0"/>
        <v>0</v>
      </c>
      <c r="V74" s="49">
        <f t="shared" si="0"/>
        <v>0</v>
      </c>
      <c r="W74" s="49">
        <f t="shared" si="0"/>
        <v>0</v>
      </c>
      <c r="X74" s="49">
        <f t="shared" si="0"/>
        <v>0</v>
      </c>
      <c r="Y74" s="49">
        <f t="shared" si="0"/>
        <v>0</v>
      </c>
      <c r="Z74" s="49">
        <f t="shared" si="0"/>
        <v>0</v>
      </c>
      <c r="AA74" s="49">
        <f t="shared" si="0"/>
        <v>0</v>
      </c>
      <c r="AB74" s="49">
        <f t="shared" si="0"/>
        <v>0</v>
      </c>
      <c r="AC74" s="49">
        <f t="shared" si="0"/>
        <v>0</v>
      </c>
      <c r="AD74" s="49">
        <f t="shared" si="0"/>
        <v>0</v>
      </c>
      <c r="AE74" s="49">
        <f t="shared" si="0"/>
        <v>0</v>
      </c>
      <c r="AF74" s="49">
        <f t="shared" si="0"/>
        <v>0</v>
      </c>
      <c r="AG74" s="49">
        <f t="shared" si="0"/>
        <v>0</v>
      </c>
      <c r="AH74" s="49">
        <f t="shared" si="0"/>
        <v>0</v>
      </c>
      <c r="AI74" s="49">
        <f t="shared" si="0"/>
        <v>0</v>
      </c>
      <c r="AJ74" s="49">
        <f t="shared" si="0"/>
        <v>0</v>
      </c>
      <c r="AK74" s="49">
        <f t="shared" si="0"/>
        <v>0</v>
      </c>
      <c r="AL74" s="49">
        <f t="shared" si="0"/>
        <v>0</v>
      </c>
      <c r="AM74" s="49">
        <f t="shared" si="0"/>
        <v>0</v>
      </c>
      <c r="AN74" s="49">
        <f t="shared" si="0"/>
        <v>0</v>
      </c>
      <c r="AO74" s="49">
        <f t="shared" si="0"/>
        <v>0</v>
      </c>
      <c r="AP74" s="49">
        <f t="shared" si="0"/>
        <v>0</v>
      </c>
      <c r="AQ74" s="49">
        <f t="shared" si="0"/>
        <v>0</v>
      </c>
      <c r="AR74" s="49">
        <f t="shared" si="0"/>
        <v>0</v>
      </c>
      <c r="AS74" s="49">
        <f t="shared" si="0"/>
        <v>0</v>
      </c>
      <c r="AT74" s="49">
        <f t="shared" si="0"/>
        <v>0</v>
      </c>
      <c r="AU74" s="49">
        <f t="shared" si="0"/>
        <v>0</v>
      </c>
      <c r="AV74" s="49">
        <f t="shared" si="0"/>
        <v>0</v>
      </c>
      <c r="AW74" s="49">
        <f t="shared" si="0"/>
        <v>0</v>
      </c>
      <c r="AX74" s="49">
        <f t="shared" si="0"/>
        <v>0</v>
      </c>
      <c r="AY74" s="49">
        <f t="shared" si="0"/>
        <v>0</v>
      </c>
      <c r="AZ74" s="49">
        <f t="shared" si="0"/>
        <v>0</v>
      </c>
      <c r="BA74" s="49">
        <f t="shared" si="0"/>
        <v>0</v>
      </c>
      <c r="BB74" s="49">
        <f t="shared" si="0"/>
        <v>0</v>
      </c>
      <c r="BC74" s="49">
        <f t="shared" si="0"/>
        <v>0</v>
      </c>
      <c r="BD74" s="49">
        <f t="shared" si="0"/>
        <v>0</v>
      </c>
      <c r="BE74" s="49">
        <f t="shared" si="0"/>
        <v>0</v>
      </c>
      <c r="BF74" s="49">
        <f t="shared" si="0"/>
        <v>0</v>
      </c>
      <c r="BG74" s="49">
        <f t="shared" si="0"/>
        <v>0</v>
      </c>
      <c r="BH74" s="49">
        <f t="shared" si="0"/>
        <v>0</v>
      </c>
      <c r="BI74" s="49">
        <f t="shared" si="0"/>
        <v>0</v>
      </c>
      <c r="BJ74" s="49">
        <f t="shared" si="0"/>
        <v>0</v>
      </c>
      <c r="BK74" s="49">
        <f t="shared" si="0"/>
        <v>0</v>
      </c>
      <c r="BL74" s="49">
        <f t="shared" si="0"/>
        <v>0</v>
      </c>
      <c r="BM74" s="49">
        <f t="shared" si="0"/>
        <v>0</v>
      </c>
      <c r="BN74" s="49">
        <f t="shared" si="0"/>
        <v>0</v>
      </c>
      <c r="BO74" s="49">
        <f t="shared" si="0"/>
        <v>0</v>
      </c>
      <c r="BP74" s="49">
        <f t="shared" si="0"/>
        <v>0</v>
      </c>
      <c r="BQ74" s="49">
        <f t="shared" ref="BQ74:CE74" si="1">COUNTIFS(BQ9:BQ73,"&lt;&gt;AB",BQ9:BQ73,"&lt;&gt;NA",BQ9:BQ73,"&lt;&gt;")</f>
        <v>0</v>
      </c>
      <c r="BR74" s="49">
        <f t="shared" si="1"/>
        <v>0</v>
      </c>
      <c r="BS74" s="49">
        <f t="shared" si="1"/>
        <v>0</v>
      </c>
      <c r="BT74" s="49">
        <f t="shared" si="1"/>
        <v>0</v>
      </c>
      <c r="BU74" s="49">
        <f t="shared" si="1"/>
        <v>0</v>
      </c>
      <c r="BV74" s="49">
        <f t="shared" si="1"/>
        <v>0</v>
      </c>
      <c r="BW74" s="49">
        <f t="shared" si="1"/>
        <v>0</v>
      </c>
      <c r="BX74" s="49">
        <f t="shared" si="1"/>
        <v>0</v>
      </c>
      <c r="BY74" s="49">
        <f t="shared" si="1"/>
        <v>0</v>
      </c>
      <c r="BZ74" s="49">
        <f t="shared" si="1"/>
        <v>0</v>
      </c>
      <c r="CA74" s="49">
        <f t="shared" si="1"/>
        <v>0</v>
      </c>
      <c r="CB74" s="49">
        <f t="shared" si="1"/>
        <v>0</v>
      </c>
      <c r="CC74" s="49">
        <f t="shared" si="1"/>
        <v>0</v>
      </c>
      <c r="CD74" s="49">
        <f t="shared" si="1"/>
        <v>0</v>
      </c>
      <c r="CE74" s="49">
        <f t="shared" si="1"/>
        <v>0</v>
      </c>
    </row>
    <row r="75" spans="1:83" ht="23.25" customHeight="1">
      <c r="C75" s="229" t="s">
        <v>218</v>
      </c>
      <c r="D75" s="49">
        <f>SUM(D9:D73)</f>
        <v>0</v>
      </c>
      <c r="E75" s="49">
        <f t="shared" ref="E75:BP75" si="2">SUM(E9:E73)</f>
        <v>0</v>
      </c>
      <c r="F75" s="49">
        <f t="shared" si="2"/>
        <v>0</v>
      </c>
      <c r="G75" s="49">
        <f t="shared" si="2"/>
        <v>0</v>
      </c>
      <c r="H75" s="49">
        <f t="shared" si="2"/>
        <v>0</v>
      </c>
      <c r="I75" s="49">
        <f t="shared" si="2"/>
        <v>0</v>
      </c>
      <c r="J75" s="49">
        <f t="shared" si="2"/>
        <v>0</v>
      </c>
      <c r="K75" s="49">
        <f t="shared" si="2"/>
        <v>0</v>
      </c>
      <c r="L75" s="49">
        <f t="shared" si="2"/>
        <v>0</v>
      </c>
      <c r="M75" s="49">
        <f t="shared" si="2"/>
        <v>0</v>
      </c>
      <c r="N75" s="49">
        <f t="shared" si="2"/>
        <v>0</v>
      </c>
      <c r="O75" s="49">
        <f t="shared" si="2"/>
        <v>0</v>
      </c>
      <c r="P75" s="49">
        <f t="shared" si="2"/>
        <v>0</v>
      </c>
      <c r="Q75" s="49">
        <f t="shared" si="2"/>
        <v>0</v>
      </c>
      <c r="R75" s="49">
        <f t="shared" si="2"/>
        <v>0</v>
      </c>
      <c r="S75" s="49">
        <f t="shared" si="2"/>
        <v>0</v>
      </c>
      <c r="T75" s="49">
        <f t="shared" si="2"/>
        <v>0</v>
      </c>
      <c r="U75" s="49">
        <f t="shared" si="2"/>
        <v>0</v>
      </c>
      <c r="V75" s="49">
        <f t="shared" si="2"/>
        <v>0</v>
      </c>
      <c r="W75" s="49">
        <f t="shared" si="2"/>
        <v>0</v>
      </c>
      <c r="X75" s="49">
        <f t="shared" si="2"/>
        <v>0</v>
      </c>
      <c r="Y75" s="49">
        <f t="shared" si="2"/>
        <v>0</v>
      </c>
      <c r="Z75" s="49">
        <f t="shared" si="2"/>
        <v>0</v>
      </c>
      <c r="AA75" s="49">
        <f t="shared" si="2"/>
        <v>0</v>
      </c>
      <c r="AB75" s="49">
        <f t="shared" si="2"/>
        <v>0</v>
      </c>
      <c r="AC75" s="49">
        <f t="shared" si="2"/>
        <v>0</v>
      </c>
      <c r="AD75" s="49">
        <f t="shared" si="2"/>
        <v>0</v>
      </c>
      <c r="AE75" s="49">
        <f t="shared" si="2"/>
        <v>0</v>
      </c>
      <c r="AF75" s="49">
        <f t="shared" si="2"/>
        <v>0</v>
      </c>
      <c r="AG75" s="49">
        <f t="shared" si="2"/>
        <v>0</v>
      </c>
      <c r="AH75" s="49">
        <f t="shared" si="2"/>
        <v>0</v>
      </c>
      <c r="AI75" s="49">
        <f t="shared" si="2"/>
        <v>0</v>
      </c>
      <c r="AJ75" s="49">
        <f t="shared" si="2"/>
        <v>0</v>
      </c>
      <c r="AK75" s="49">
        <f t="shared" si="2"/>
        <v>0</v>
      </c>
      <c r="AL75" s="49">
        <f t="shared" si="2"/>
        <v>0</v>
      </c>
      <c r="AM75" s="49">
        <f t="shared" si="2"/>
        <v>0</v>
      </c>
      <c r="AN75" s="49">
        <f t="shared" si="2"/>
        <v>0</v>
      </c>
      <c r="AO75" s="49">
        <f t="shared" si="2"/>
        <v>0</v>
      </c>
      <c r="AP75" s="49">
        <f t="shared" si="2"/>
        <v>0</v>
      </c>
      <c r="AQ75" s="49">
        <f t="shared" si="2"/>
        <v>0</v>
      </c>
      <c r="AR75" s="49">
        <f t="shared" si="2"/>
        <v>0</v>
      </c>
      <c r="AS75" s="49">
        <f t="shared" si="2"/>
        <v>0</v>
      </c>
      <c r="AT75" s="49">
        <f t="shared" si="2"/>
        <v>0</v>
      </c>
      <c r="AU75" s="49">
        <f t="shared" si="2"/>
        <v>0</v>
      </c>
      <c r="AV75" s="49">
        <f t="shared" si="2"/>
        <v>0</v>
      </c>
      <c r="AW75" s="49">
        <f t="shared" si="2"/>
        <v>0</v>
      </c>
      <c r="AX75" s="49">
        <f t="shared" si="2"/>
        <v>0</v>
      </c>
      <c r="AY75" s="49">
        <f t="shared" si="2"/>
        <v>0</v>
      </c>
      <c r="AZ75" s="49">
        <f t="shared" si="2"/>
        <v>0</v>
      </c>
      <c r="BA75" s="49">
        <f t="shared" si="2"/>
        <v>0</v>
      </c>
      <c r="BB75" s="49">
        <f t="shared" si="2"/>
        <v>0</v>
      </c>
      <c r="BC75" s="49">
        <f t="shared" si="2"/>
        <v>0</v>
      </c>
      <c r="BD75" s="49">
        <f t="shared" si="2"/>
        <v>0</v>
      </c>
      <c r="BE75" s="49">
        <f t="shared" si="2"/>
        <v>0</v>
      </c>
      <c r="BF75" s="49">
        <f t="shared" si="2"/>
        <v>0</v>
      </c>
      <c r="BG75" s="49">
        <f t="shared" si="2"/>
        <v>0</v>
      </c>
      <c r="BH75" s="49">
        <f t="shared" si="2"/>
        <v>0</v>
      </c>
      <c r="BI75" s="49">
        <f t="shared" si="2"/>
        <v>0</v>
      </c>
      <c r="BJ75" s="49">
        <f t="shared" si="2"/>
        <v>0</v>
      </c>
      <c r="BK75" s="49">
        <f t="shared" si="2"/>
        <v>0</v>
      </c>
      <c r="BL75" s="49">
        <f t="shared" si="2"/>
        <v>0</v>
      </c>
      <c r="BM75" s="49">
        <f t="shared" si="2"/>
        <v>0</v>
      </c>
      <c r="BN75" s="49">
        <f t="shared" si="2"/>
        <v>0</v>
      </c>
      <c r="BO75" s="49">
        <f t="shared" si="2"/>
        <v>0</v>
      </c>
      <c r="BP75" s="49">
        <f t="shared" si="2"/>
        <v>0</v>
      </c>
      <c r="BQ75" s="49">
        <f t="shared" ref="BQ75:CE75" si="3">SUM(BQ9:BQ73)</f>
        <v>0</v>
      </c>
      <c r="BR75" s="49">
        <f t="shared" si="3"/>
        <v>0</v>
      </c>
      <c r="BS75" s="49">
        <f t="shared" si="3"/>
        <v>0</v>
      </c>
      <c r="BT75" s="49">
        <f t="shared" si="3"/>
        <v>0</v>
      </c>
      <c r="BU75" s="49">
        <f t="shared" si="3"/>
        <v>0</v>
      </c>
      <c r="BV75" s="49">
        <f t="shared" si="3"/>
        <v>0</v>
      </c>
      <c r="BW75" s="49">
        <f t="shared" si="3"/>
        <v>0</v>
      </c>
      <c r="BX75" s="49">
        <f t="shared" si="3"/>
        <v>0</v>
      </c>
      <c r="BY75" s="49">
        <f t="shared" si="3"/>
        <v>0</v>
      </c>
      <c r="BZ75" s="49">
        <f t="shared" si="3"/>
        <v>0</v>
      </c>
      <c r="CA75" s="49">
        <f t="shared" si="3"/>
        <v>0</v>
      </c>
      <c r="CB75" s="49">
        <f t="shared" si="3"/>
        <v>0</v>
      </c>
      <c r="CC75" s="49">
        <f t="shared" si="3"/>
        <v>0</v>
      </c>
      <c r="CD75" s="49">
        <f t="shared" si="3"/>
        <v>0</v>
      </c>
      <c r="CE75" s="49">
        <f t="shared" si="3"/>
        <v>0</v>
      </c>
    </row>
    <row r="76" spans="1:83">
      <c r="B76" s="16"/>
      <c r="C76" s="231" t="s">
        <v>195</v>
      </c>
      <c r="D76" s="50">
        <f t="shared" ref="D76:BO76" si="4">IF(D74&lt;&gt;0,((D75/D74)/D6)*100,0)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 t="shared" si="4"/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50">
        <f t="shared" si="4"/>
        <v>0</v>
      </c>
      <c r="AG76" s="50">
        <f t="shared" si="4"/>
        <v>0</v>
      </c>
      <c r="AH76" s="50">
        <f t="shared" si="4"/>
        <v>0</v>
      </c>
      <c r="AI76" s="50">
        <f t="shared" si="4"/>
        <v>0</v>
      </c>
      <c r="AJ76" s="50">
        <f t="shared" si="4"/>
        <v>0</v>
      </c>
      <c r="AK76" s="50">
        <f t="shared" si="4"/>
        <v>0</v>
      </c>
      <c r="AL76" s="50">
        <f t="shared" si="4"/>
        <v>0</v>
      </c>
      <c r="AM76" s="50">
        <f t="shared" si="4"/>
        <v>0</v>
      </c>
      <c r="AN76" s="50">
        <f t="shared" si="4"/>
        <v>0</v>
      </c>
      <c r="AO76" s="50">
        <f t="shared" si="4"/>
        <v>0</v>
      </c>
      <c r="AP76" s="50">
        <f t="shared" si="4"/>
        <v>0</v>
      </c>
      <c r="AQ76" s="50">
        <f t="shared" si="4"/>
        <v>0</v>
      </c>
      <c r="AR76" s="50">
        <f t="shared" si="4"/>
        <v>0</v>
      </c>
      <c r="AS76" s="50">
        <f t="shared" si="4"/>
        <v>0</v>
      </c>
      <c r="AT76" s="50">
        <f t="shared" si="4"/>
        <v>0</v>
      </c>
      <c r="AU76" s="50">
        <f t="shared" si="4"/>
        <v>0</v>
      </c>
      <c r="AV76" s="50">
        <f t="shared" si="4"/>
        <v>0</v>
      </c>
      <c r="AW76" s="50">
        <f t="shared" si="4"/>
        <v>0</v>
      </c>
      <c r="AX76" s="50">
        <f t="shared" si="4"/>
        <v>0</v>
      </c>
      <c r="AY76" s="50">
        <f t="shared" si="4"/>
        <v>0</v>
      </c>
      <c r="AZ76" s="50">
        <f t="shared" si="4"/>
        <v>0</v>
      </c>
      <c r="BA76" s="50">
        <f t="shared" si="4"/>
        <v>0</v>
      </c>
      <c r="BB76" s="50">
        <f t="shared" si="4"/>
        <v>0</v>
      </c>
      <c r="BC76" s="50">
        <f t="shared" si="4"/>
        <v>0</v>
      </c>
      <c r="BD76" s="50">
        <f t="shared" si="4"/>
        <v>0</v>
      </c>
      <c r="BE76" s="50">
        <f t="shared" si="4"/>
        <v>0</v>
      </c>
      <c r="BF76" s="50">
        <f t="shared" si="4"/>
        <v>0</v>
      </c>
      <c r="BG76" s="50">
        <f t="shared" si="4"/>
        <v>0</v>
      </c>
      <c r="BH76" s="50">
        <f t="shared" si="4"/>
        <v>0</v>
      </c>
      <c r="BI76" s="50">
        <f t="shared" si="4"/>
        <v>0</v>
      </c>
      <c r="BJ76" s="50">
        <f t="shared" si="4"/>
        <v>0</v>
      </c>
      <c r="BK76" s="50">
        <f t="shared" si="4"/>
        <v>0</v>
      </c>
      <c r="BL76" s="50">
        <f t="shared" si="4"/>
        <v>0</v>
      </c>
      <c r="BM76" s="50">
        <f t="shared" si="4"/>
        <v>0</v>
      </c>
      <c r="BN76" s="50">
        <f t="shared" si="4"/>
        <v>0</v>
      </c>
      <c r="BO76" s="50">
        <f t="shared" si="4"/>
        <v>0</v>
      </c>
      <c r="BP76" s="50">
        <f t="shared" ref="BP76:CE76" si="5">IF(BP74&lt;&gt;0,((BP75/BP74)/BP6)*100,0)</f>
        <v>0</v>
      </c>
      <c r="BQ76" s="50">
        <f t="shared" si="5"/>
        <v>0</v>
      </c>
      <c r="BR76" s="50">
        <f t="shared" si="5"/>
        <v>0</v>
      </c>
      <c r="BS76" s="50">
        <f t="shared" si="5"/>
        <v>0</v>
      </c>
      <c r="BT76" s="50">
        <f t="shared" si="5"/>
        <v>0</v>
      </c>
      <c r="BU76" s="50">
        <f t="shared" si="5"/>
        <v>0</v>
      </c>
      <c r="BV76" s="50">
        <f t="shared" si="5"/>
        <v>0</v>
      </c>
      <c r="BW76" s="50">
        <f t="shared" si="5"/>
        <v>0</v>
      </c>
      <c r="BX76" s="50">
        <f t="shared" si="5"/>
        <v>0</v>
      </c>
      <c r="BY76" s="50">
        <f t="shared" si="5"/>
        <v>0</v>
      </c>
      <c r="BZ76" s="50">
        <f t="shared" si="5"/>
        <v>0</v>
      </c>
      <c r="CA76" s="50">
        <f t="shared" si="5"/>
        <v>0</v>
      </c>
      <c r="CB76" s="50">
        <f t="shared" si="5"/>
        <v>0</v>
      </c>
      <c r="CC76" s="50">
        <f t="shared" si="5"/>
        <v>0</v>
      </c>
      <c r="CD76" s="50">
        <f t="shared" si="5"/>
        <v>0</v>
      </c>
      <c r="CE76" s="50">
        <f t="shared" si="5"/>
        <v>0</v>
      </c>
    </row>
    <row r="79" spans="1:83" ht="45">
      <c r="C79" s="39" t="s">
        <v>26</v>
      </c>
      <c r="D79" s="37" t="s">
        <v>27</v>
      </c>
      <c r="E79" s="37" t="s">
        <v>28</v>
      </c>
      <c r="F79" s="37" t="s">
        <v>29</v>
      </c>
      <c r="G79" s="37" t="s">
        <v>30</v>
      </c>
      <c r="H79" s="37" t="s">
        <v>31</v>
      </c>
      <c r="I79" s="37" t="s">
        <v>63</v>
      </c>
      <c r="J79" s="37" t="s">
        <v>65</v>
      </c>
      <c r="K79" s="37" t="s">
        <v>68</v>
      </c>
      <c r="L79" s="37" t="s">
        <v>76</v>
      </c>
      <c r="M79" s="37" t="s">
        <v>77</v>
      </c>
      <c r="Y79" s="17"/>
      <c r="Z79" s="17"/>
      <c r="AB79"/>
      <c r="AC79"/>
    </row>
    <row r="80" spans="1:83" ht="15.75">
      <c r="C80" s="46" t="s">
        <v>38</v>
      </c>
      <c r="D80" s="47">
        <f>IF(COUNTIFS($D$5:$AQ$5,"=1",$D$76:$AQ$76,"&lt;&gt;0")=0,0,SUMIF($D$5:$AQ$5,"=1",$D$76:$AQ$76)/COUNTIFS($D$5:$AQ$5,"=1",$D$76:$AQ$76,"&lt;&gt;0"))</f>
        <v>0</v>
      </c>
      <c r="E80" s="47">
        <f>IF(COUNTIFS($D$5:$AQ$5,"=2",$D$76:$AQ$76,"&lt;&gt;0")=0,0,SUMIF($D$5:$AQ$5,"=2",$D$76:$AQ$76)/COUNTIFS($D$5:$AQ$5,"=2",$D$76:$AQ$76,"&lt;&gt;0"))</f>
        <v>0</v>
      </c>
      <c r="F80" s="47">
        <f>IF(COUNTIFS($D$5:$AQ$5,"=3",$D$76:$AQ$76,"&lt;&gt;0")=0,0,SUMIF($D$5:$AQ$5,"=3",$D$76:$AQ$76)/COUNTIFS($D$5:$AQ$5,"=3",$D$76:$AQ$76,"&lt;&gt;0"))</f>
        <v>0</v>
      </c>
      <c r="G80" s="47">
        <f>IF(COUNTIFS($D$5:$AQ$5,"=4",$D$76:$AQ$76,"&lt;&gt;0")=0,0,SUMIF($D$5:$AQ$5,"=4",$D$76:$AQ$76)/COUNTIFS($D$5:$AQ$5,"=4",$D$76:$AQ$76,"&lt;&gt;0"))</f>
        <v>0</v>
      </c>
      <c r="H80" s="47">
        <f>IF(COUNTIFS($D$5:$AQ$5,"=5",$D$76:$AQ$76,"&lt;&gt;0")=0,0,SUMIF($D$5:$AQ$5,"=5",$D$76:$AQ$76)/COUNTIFS($D$5:$AQ$5,"=5",$D$76:$AQ$76,"&lt;&gt;0"))</f>
        <v>0</v>
      </c>
      <c r="I80" s="47">
        <f>IF(COUNTIFS($D$5:$AQ$5,"=6",$D$76:$AQ$76,"&lt;&gt;0")=0,0,SUMIF($D$5:$AQ$5,"=6",$D$76:$AQ$76)/COUNTIFS($D$5:$AQ$5,"=6",$D$76:$AQ$76,"&lt;&gt;0"))</f>
        <v>0</v>
      </c>
      <c r="J80" s="47">
        <f>IF(COUNTIFS($D$5:$AQ$5,"=7",$D$76:$AQ$76,"&lt;&gt;0")=0,0,SUMIF($D$5:$AQ$5,"=7",$D$76:$AQ$76)/COUNTIFS($D$5:$AQ$5,"=7",$D$76:$AQ$76,"&lt;&gt;0"))</f>
        <v>0</v>
      </c>
      <c r="K80" s="47">
        <f>IF(COUNTIFS($D$5:$AQ$5,"=8",$D$76:$AQ$76,"&lt;&gt;0")=0,0,SUMIF($D$5:$AQ$5,"=8",$D$76:$AQ$76)/COUNTIFS($D$5:$AQ$5,"=8",$D$76:$AQ$76,"&lt;&gt;0"))</f>
        <v>0</v>
      </c>
      <c r="L80" s="47">
        <f>IF(COUNTIFS($D$5:$AQ$5,"=9",$D$76:$AQ$76,"&lt;&gt;0")=0,0,SUMIF($D$5:$AQ$5,"=9",$D$76:$AQ$76)/COUNTIFS($D$5:$AQ$5,"=9",$D$76:$AQ$76,"&lt;&gt;0"))</f>
        <v>0</v>
      </c>
      <c r="M80" s="47">
        <f>IF(COUNTIFS($D$5:$AQ$5,"=10",$D$76:$AQ$76,"&lt;&gt;0")=0,0,SUMIF($D$5:$AQ$5,"=10",$D$76:$AQ$76)/COUNTIFS($D$5:$AQ$5,"=10",$D$76:$AQ$76,"&lt;&gt;0"))</f>
        <v>0</v>
      </c>
      <c r="W80" s="17"/>
      <c r="X80" s="17"/>
      <c r="Y80" s="17"/>
      <c r="AA80"/>
      <c r="AB80"/>
      <c r="AC80"/>
    </row>
    <row r="81" spans="3:29">
      <c r="E81" s="17"/>
      <c r="F81" s="17"/>
      <c r="H81"/>
      <c r="I81"/>
      <c r="Y81" s="17"/>
      <c r="Z81" s="17"/>
      <c r="AB81"/>
      <c r="AC81"/>
    </row>
    <row r="82" spans="3:29">
      <c r="E82" s="17"/>
      <c r="F82" s="17"/>
      <c r="H82"/>
      <c r="I82"/>
      <c r="Y82" s="17"/>
      <c r="Z82" s="17"/>
      <c r="AB82"/>
      <c r="AC82"/>
    </row>
    <row r="83" spans="3:29">
      <c r="E83" s="17"/>
      <c r="F83" s="17"/>
      <c r="H83"/>
      <c r="I83"/>
      <c r="Y83" s="17"/>
      <c r="Z83" s="17"/>
      <c r="AB83"/>
      <c r="AC83"/>
    </row>
    <row r="84" spans="3:29" ht="30">
      <c r="C84" s="39" t="s">
        <v>57</v>
      </c>
      <c r="D84" s="37" t="s">
        <v>45</v>
      </c>
      <c r="E84" s="37" t="s">
        <v>46</v>
      </c>
      <c r="F84" s="37" t="s">
        <v>47</v>
      </c>
      <c r="G84" s="37" t="s">
        <v>48</v>
      </c>
      <c r="H84" s="37" t="s">
        <v>49</v>
      </c>
      <c r="I84" s="37" t="s">
        <v>50</v>
      </c>
      <c r="J84" s="37" t="s">
        <v>51</v>
      </c>
      <c r="K84" s="37" t="s">
        <v>52</v>
      </c>
      <c r="L84" s="37" t="s">
        <v>53</v>
      </c>
      <c r="M84" s="37" t="s">
        <v>54</v>
      </c>
      <c r="N84" s="37" t="s">
        <v>55</v>
      </c>
      <c r="O84" s="37" t="s">
        <v>56</v>
      </c>
      <c r="Y84" s="17"/>
      <c r="Z84" s="17"/>
      <c r="AB84"/>
      <c r="AC84"/>
    </row>
    <row r="85" spans="3:29" ht="18.75">
      <c r="C85" s="38" t="s">
        <v>25</v>
      </c>
      <c r="D85" s="21">
        <f>IF(COUNTIFS($D$4:$O$4,"=*1*",$D76:$O76,"&lt;&gt;0")=0,0,SUMIF($D$4:$O$4,"=*1*",$D76:$O76)/COUNTIFS($D$4:$O$4,"=*1*",$D76:$O76,"&lt;&gt;0"))</f>
        <v>0</v>
      </c>
      <c r="E85" s="21">
        <f>IF(COUNTIFS($D$4:$O$4,"=*2*",$D76:$O76,"&lt;&gt;0")=0,0,SUMIF($D$4:$O$4,"=*2*",$D76:$O76)/COUNTIFS($D$4:$O$4,"=*2*",$D76:$O76,"&lt;&gt;0"))</f>
        <v>0</v>
      </c>
      <c r="F85" s="21">
        <f>IF(COUNTIFS($D$4:$O$4,"=*3*",$D76:$O76,"&lt;&gt;0")=0,0,SUMIF($D$4:$O$4,"=*3*",$D76:$O76)/COUNTIFS($D$4:$O$4,"=*3*",$D76:$O76,"&lt;&gt;0"))</f>
        <v>0</v>
      </c>
      <c r="G85" s="21">
        <f>IF(COUNTIFS($D$4:$O$4,"=*4*",$D76:$O76,"&lt;&gt;0")=0,0,SUMIF($D$4:$O$4,"=*4*",$D76:$O76)/COUNTIFS($D$4:$O$4,"=*4*",$D76:$O76,"&lt;&gt;0"))</f>
        <v>0</v>
      </c>
      <c r="H85" s="21">
        <f>IF(COUNTIFS($D$4:$O$4,"=*5*",$D76:$O76,"&lt;&gt;0")=0,0,SUMIF($D$4:$O$4,"=*5*",$D76:$O76)/COUNTIFS($D$4:$O$4,"=*5*",$D76:$O76,"&lt;&gt;0"))</f>
        <v>0</v>
      </c>
      <c r="I85" s="21">
        <f>IF(COUNTIFS($D$4:$O$4,"=*6*",$D76:$O76,"&lt;&gt;0")=0,0,SUMIF($D$4:$O$4,"=*6*",$D76:$O76)/COUNTIFS($D$4:$O$4,"=*6*",$D76:$O76,"&lt;&gt;0"))</f>
        <v>0</v>
      </c>
      <c r="J85" s="21">
        <f>IF(COUNTIFS($D$4:$O$4,"=*7*",$D76:$O76,"&lt;&gt;0")=0,0,SUMIF($D$4:$O$4,"=*7*",$D76:$O76)/COUNTIFS($D$4:$O$4,"=*7*",$D76:$O76,"&lt;&gt;0"))</f>
        <v>0</v>
      </c>
      <c r="K85" s="21">
        <f>IF(COUNTIFS($D$4:$O$4,"=*8*",$D76:$O76,"&lt;&gt;0")=0,0,SUMIF($D$4:$O$4,"=*8*",$D76:$O76)/COUNTIFS($D$4:$O$4,"=*8*",$D76:$O76,"&lt;&gt;0"))</f>
        <v>0</v>
      </c>
      <c r="L85" s="21">
        <f>IF(COUNTIFS($D$4:$O$4,"=*9*",$D76:$O76,"&lt;&gt;0")=0,0,SUMIF($D$4:$O$4,"=*9*",$D76:$O76)/COUNTIFS($D$4:$O$4,"=*9*",$D76:$O76,"&lt;&gt;0"))</f>
        <v>0</v>
      </c>
      <c r="M85" s="21">
        <f>IF(COUNTIFS($D$4:$O$4,"=*10*",$D76:$O76,"&lt;&gt;0")=0,0,SUMIF($D$4:$O$4,"=*10*",$D76:$O76)/COUNTIFS($D$4:$O$4,"=*10*",$D76:$O76,"&lt;&gt;0"))</f>
        <v>0</v>
      </c>
      <c r="N85" s="21">
        <f>IF(COUNTIFS($D$4:$O$4,"=*11*",$D76:$O76,"&lt;&gt;0")=0,0,SUMIF($D$4:$O$4,"=*11*",$D76:$O76)/COUNTIFS($D$4:$O$4,"=*11*",$D76:$O76,"&lt;&gt;0"))</f>
        <v>0</v>
      </c>
      <c r="O85" s="21">
        <f>IF(COUNTIFS($D$4:$O$4,"=*12*",$D76:$O76,"&lt;&gt;0")=0,0,SUMIF($D$4:$O$4,"=*12*",$D76:$O76)/COUNTIFS($D$4:$O$4,"=*12*",$D76:$O76,"&lt;&gt;0"))</f>
        <v>0</v>
      </c>
      <c r="Y85" s="17"/>
      <c r="Z85" s="17"/>
      <c r="AB85"/>
      <c r="AC85"/>
    </row>
  </sheetData>
  <mergeCells count="4">
    <mergeCell ref="X7:AQ7"/>
    <mergeCell ref="D7:W7"/>
    <mergeCell ref="AR7:BK7"/>
    <mergeCell ref="BL7:CE7"/>
  </mergeCells>
  <conditionalFormatting sqref="C34:C35 C9:C32 C58:C73">
    <cfRule type="containsText" dxfId="8" priority="2" stopIfTrue="1" operator="containsText" text="F">
      <formula>NOT(ISERROR(SEARCH("F",C9)))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85"/>
  <sheetViews>
    <sheetView workbookViewId="0">
      <selection activeCell="D6" sqref="D6"/>
    </sheetView>
  </sheetViews>
  <sheetFormatPr defaultRowHeight="15"/>
  <cols>
    <col min="1" max="1" width="6.7109375" bestFit="1" customWidth="1"/>
    <col min="2" max="2" width="12.42578125" bestFit="1" customWidth="1"/>
    <col min="3" max="3" width="29.28515625" bestFit="1" customWidth="1"/>
    <col min="4" max="4" width="3.85546875" customWidth="1"/>
    <col min="5" max="5" width="4.28515625" customWidth="1"/>
    <col min="6" max="6" width="4.7109375" customWidth="1"/>
    <col min="7" max="9" width="3.85546875" style="17" customWidth="1"/>
    <col min="10" max="26" width="3.85546875" customWidth="1"/>
    <col min="27" max="29" width="3.85546875" style="17" customWidth="1"/>
    <col min="30" max="83" width="3.85546875" customWidth="1"/>
  </cols>
  <sheetData>
    <row r="1" spans="1:83" ht="23.25">
      <c r="P1" s="51" t="s">
        <v>37</v>
      </c>
    </row>
    <row r="4" spans="1:83" ht="15.75">
      <c r="C4" s="43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>
      <c r="C5" s="44" t="s">
        <v>16</v>
      </c>
      <c r="D5" s="3">
        <v>1</v>
      </c>
      <c r="E5" s="3">
        <v>2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1</v>
      </c>
      <c r="L5" s="3">
        <v>2</v>
      </c>
      <c r="M5" s="3">
        <v>3</v>
      </c>
      <c r="N5" s="3">
        <v>4</v>
      </c>
      <c r="O5" s="3">
        <v>5</v>
      </c>
      <c r="P5" s="3">
        <v>1</v>
      </c>
      <c r="Q5" s="3">
        <v>2</v>
      </c>
      <c r="R5" s="3">
        <v>3</v>
      </c>
      <c r="S5" s="3">
        <v>4</v>
      </c>
      <c r="T5" s="3">
        <v>5</v>
      </c>
      <c r="U5" s="3">
        <v>1</v>
      </c>
      <c r="V5" s="3">
        <v>2</v>
      </c>
      <c r="W5" s="3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>
        <v>1</v>
      </c>
      <c r="AS5" s="3">
        <v>2</v>
      </c>
      <c r="AT5" s="3">
        <v>1</v>
      </c>
      <c r="AU5" s="3">
        <v>2</v>
      </c>
      <c r="AV5" s="3">
        <v>3</v>
      </c>
      <c r="AW5" s="3">
        <v>4</v>
      </c>
      <c r="AX5" s="3">
        <v>5</v>
      </c>
      <c r="AY5" s="3">
        <v>1</v>
      </c>
      <c r="AZ5" s="3">
        <v>2</v>
      </c>
      <c r="BA5" s="3">
        <v>3</v>
      </c>
      <c r="BB5" s="3">
        <v>4</v>
      </c>
      <c r="BC5" s="3">
        <v>5</v>
      </c>
      <c r="BD5" s="3">
        <v>1</v>
      </c>
      <c r="BE5" s="3">
        <v>2</v>
      </c>
      <c r="BF5" s="3">
        <v>3</v>
      </c>
      <c r="BG5" s="3">
        <v>4</v>
      </c>
      <c r="BH5" s="3">
        <v>5</v>
      </c>
      <c r="BI5" s="3">
        <v>1</v>
      </c>
      <c r="BJ5" s="3">
        <v>2</v>
      </c>
      <c r="BK5" s="3">
        <v>3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spans="1:83" ht="15.75">
      <c r="C6" s="45" t="s">
        <v>15</v>
      </c>
      <c r="D6" s="41">
        <v>1</v>
      </c>
      <c r="E6" s="41">
        <v>1</v>
      </c>
      <c r="F6" s="41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Q6" s="41">
        <v>1</v>
      </c>
      <c r="R6" s="41">
        <v>1</v>
      </c>
      <c r="S6" s="41">
        <v>1</v>
      </c>
      <c r="T6" s="41">
        <v>1</v>
      </c>
      <c r="U6" s="41">
        <v>1</v>
      </c>
      <c r="V6" s="41">
        <v>1</v>
      </c>
      <c r="W6" s="41">
        <v>1</v>
      </c>
      <c r="X6" s="41">
        <v>1</v>
      </c>
      <c r="Y6" s="41">
        <v>1</v>
      </c>
      <c r="Z6" s="41">
        <v>1</v>
      </c>
      <c r="AA6" s="41">
        <v>1</v>
      </c>
      <c r="AB6" s="41">
        <v>1</v>
      </c>
      <c r="AC6" s="41">
        <v>1</v>
      </c>
      <c r="AD6" s="41">
        <v>1</v>
      </c>
      <c r="AE6" s="41">
        <v>1</v>
      </c>
      <c r="AF6" s="41">
        <v>1</v>
      </c>
      <c r="AG6" s="41">
        <v>1</v>
      </c>
      <c r="AH6" s="41">
        <v>1</v>
      </c>
      <c r="AI6" s="41">
        <v>1</v>
      </c>
      <c r="AJ6" s="41">
        <v>1</v>
      </c>
      <c r="AK6" s="41">
        <v>1</v>
      </c>
      <c r="AL6" s="41">
        <v>1</v>
      </c>
      <c r="AM6" s="41">
        <v>1</v>
      </c>
      <c r="AN6" s="41">
        <v>1</v>
      </c>
      <c r="AO6" s="41">
        <v>1</v>
      </c>
      <c r="AP6" s="41">
        <v>1</v>
      </c>
      <c r="AQ6" s="41">
        <v>1</v>
      </c>
      <c r="AR6" s="41">
        <v>1</v>
      </c>
      <c r="AS6" s="41">
        <v>1</v>
      </c>
      <c r="AT6" s="41">
        <v>1</v>
      </c>
      <c r="AU6" s="41">
        <v>1</v>
      </c>
      <c r="AV6" s="41">
        <v>1</v>
      </c>
      <c r="AW6" s="41">
        <v>1</v>
      </c>
      <c r="AX6" s="41">
        <v>1</v>
      </c>
      <c r="AY6" s="41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41">
        <v>1</v>
      </c>
      <c r="BF6" s="41">
        <v>1</v>
      </c>
      <c r="BG6" s="41">
        <v>1</v>
      </c>
      <c r="BH6" s="41">
        <v>1</v>
      </c>
      <c r="BI6" s="41">
        <v>1</v>
      </c>
      <c r="BJ6" s="41">
        <v>1</v>
      </c>
      <c r="BK6" s="41">
        <v>1</v>
      </c>
      <c r="BL6" s="41">
        <v>1</v>
      </c>
      <c r="BM6" s="41">
        <v>1</v>
      </c>
      <c r="BN6" s="41">
        <v>1</v>
      </c>
      <c r="BO6" s="41">
        <v>1</v>
      </c>
      <c r="BP6" s="41">
        <v>1</v>
      </c>
      <c r="BQ6" s="41">
        <v>1</v>
      </c>
      <c r="BR6" s="41">
        <v>1</v>
      </c>
      <c r="BS6" s="41">
        <v>1</v>
      </c>
      <c r="BT6" s="41">
        <v>1</v>
      </c>
      <c r="BU6" s="41">
        <v>1</v>
      </c>
      <c r="BV6" s="41">
        <v>1</v>
      </c>
      <c r="BW6" s="41">
        <v>1</v>
      </c>
      <c r="BX6" s="41">
        <v>1</v>
      </c>
      <c r="BY6" s="41">
        <v>1</v>
      </c>
      <c r="BZ6" s="41">
        <v>1</v>
      </c>
      <c r="CA6" s="41">
        <v>1</v>
      </c>
      <c r="CB6" s="41">
        <v>1</v>
      </c>
      <c r="CC6" s="41">
        <v>1</v>
      </c>
      <c r="CD6" s="41">
        <v>1</v>
      </c>
      <c r="CE6" s="41">
        <v>1</v>
      </c>
    </row>
    <row r="7" spans="1:83" ht="15.75">
      <c r="C7" s="42"/>
      <c r="D7" s="322" t="s">
        <v>39</v>
      </c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1" t="s">
        <v>40</v>
      </c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2" t="s">
        <v>41</v>
      </c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322"/>
      <c r="BH7" s="322"/>
      <c r="BI7" s="322"/>
      <c r="BJ7" s="322"/>
      <c r="BK7" s="322"/>
      <c r="BL7" s="321" t="s">
        <v>42</v>
      </c>
      <c r="BM7" s="321"/>
      <c r="BN7" s="321"/>
      <c r="BO7" s="321"/>
      <c r="BP7" s="321"/>
      <c r="BQ7" s="321"/>
      <c r="BR7" s="321"/>
      <c r="BS7" s="321"/>
      <c r="BT7" s="321"/>
      <c r="BU7" s="321"/>
      <c r="BV7" s="321"/>
      <c r="BW7" s="321"/>
      <c r="BX7" s="321"/>
      <c r="BY7" s="321"/>
      <c r="BZ7" s="321"/>
      <c r="CA7" s="321"/>
      <c r="CB7" s="321"/>
      <c r="CC7" s="321"/>
      <c r="CD7" s="321"/>
      <c r="CE7" s="321"/>
    </row>
    <row r="8" spans="1:83">
      <c r="A8" s="9" t="s">
        <v>3</v>
      </c>
      <c r="B8" s="9" t="s">
        <v>2</v>
      </c>
      <c r="C8" s="40" t="s">
        <v>4</v>
      </c>
      <c r="D8" s="41">
        <v>1</v>
      </c>
      <c r="E8" s="3">
        <v>2</v>
      </c>
      <c r="F8" s="3">
        <v>3</v>
      </c>
      <c r="G8" s="3">
        <v>4</v>
      </c>
      <c r="H8" s="41">
        <v>5</v>
      </c>
      <c r="I8" s="3">
        <v>6</v>
      </c>
      <c r="J8" s="3">
        <v>7</v>
      </c>
      <c r="K8" s="3">
        <v>8</v>
      </c>
      <c r="L8" s="41">
        <v>9</v>
      </c>
      <c r="M8" s="3">
        <v>10</v>
      </c>
      <c r="N8" s="3">
        <v>11</v>
      </c>
      <c r="O8" s="3">
        <v>12</v>
      </c>
      <c r="P8" s="41">
        <v>13</v>
      </c>
      <c r="Q8" s="3">
        <v>14</v>
      </c>
      <c r="R8" s="3">
        <v>15</v>
      </c>
      <c r="S8" s="3">
        <v>16</v>
      </c>
      <c r="T8" s="41">
        <v>17</v>
      </c>
      <c r="U8" s="3">
        <v>18</v>
      </c>
      <c r="V8" s="3">
        <v>19</v>
      </c>
      <c r="W8" s="3">
        <v>20</v>
      </c>
      <c r="X8" s="41">
        <v>1</v>
      </c>
      <c r="Y8" s="3">
        <v>2</v>
      </c>
      <c r="Z8" s="3">
        <v>3</v>
      </c>
      <c r="AA8" s="3">
        <v>4</v>
      </c>
      <c r="AB8" s="41">
        <v>5</v>
      </c>
      <c r="AC8" s="3">
        <v>6</v>
      </c>
      <c r="AD8" s="3">
        <v>7</v>
      </c>
      <c r="AE8" s="3">
        <v>8</v>
      </c>
      <c r="AF8" s="41">
        <v>9</v>
      </c>
      <c r="AG8" s="3">
        <v>10</v>
      </c>
      <c r="AH8" s="3">
        <v>11</v>
      </c>
      <c r="AI8" s="3">
        <v>12</v>
      </c>
      <c r="AJ8" s="41">
        <v>13</v>
      </c>
      <c r="AK8" s="3">
        <v>14</v>
      </c>
      <c r="AL8" s="3">
        <v>15</v>
      </c>
      <c r="AM8" s="3">
        <v>16</v>
      </c>
      <c r="AN8" s="41">
        <v>17</v>
      </c>
      <c r="AO8" s="3">
        <v>18</v>
      </c>
      <c r="AP8" s="3">
        <v>19</v>
      </c>
      <c r="AQ8" s="3">
        <v>20</v>
      </c>
      <c r="AR8" s="41">
        <v>1</v>
      </c>
      <c r="AS8" s="3">
        <v>2</v>
      </c>
      <c r="AT8" s="3">
        <v>3</v>
      </c>
      <c r="AU8" s="3">
        <v>4</v>
      </c>
      <c r="AV8" s="41">
        <v>5</v>
      </c>
      <c r="AW8" s="3">
        <v>6</v>
      </c>
      <c r="AX8" s="3">
        <v>7</v>
      </c>
      <c r="AY8" s="3">
        <v>8</v>
      </c>
      <c r="AZ8" s="41">
        <v>9</v>
      </c>
      <c r="BA8" s="3">
        <v>10</v>
      </c>
      <c r="BB8" s="3">
        <v>11</v>
      </c>
      <c r="BC8" s="3">
        <v>12</v>
      </c>
      <c r="BD8" s="41">
        <v>13</v>
      </c>
      <c r="BE8" s="3">
        <v>14</v>
      </c>
      <c r="BF8" s="3">
        <v>15</v>
      </c>
      <c r="BG8" s="3">
        <v>16</v>
      </c>
      <c r="BH8" s="41">
        <v>17</v>
      </c>
      <c r="BI8" s="3">
        <v>18</v>
      </c>
      <c r="BJ8" s="3">
        <v>19</v>
      </c>
      <c r="BK8" s="3">
        <v>20</v>
      </c>
      <c r="BL8" s="41">
        <v>1</v>
      </c>
      <c r="BM8" s="3">
        <v>2</v>
      </c>
      <c r="BN8" s="3">
        <v>3</v>
      </c>
      <c r="BO8" s="3">
        <v>4</v>
      </c>
      <c r="BP8" s="41">
        <v>5</v>
      </c>
      <c r="BQ8" s="3">
        <v>6</v>
      </c>
      <c r="BR8" s="3">
        <v>7</v>
      </c>
      <c r="BS8" s="3">
        <v>8</v>
      </c>
      <c r="BT8" s="41">
        <v>9</v>
      </c>
      <c r="BU8" s="3">
        <v>10</v>
      </c>
      <c r="BV8" s="3">
        <v>11</v>
      </c>
      <c r="BW8" s="3">
        <v>12</v>
      </c>
      <c r="BX8" s="41">
        <v>13</v>
      </c>
      <c r="BY8" s="3">
        <v>14</v>
      </c>
      <c r="BZ8" s="3">
        <v>15</v>
      </c>
      <c r="CA8" s="3">
        <v>16</v>
      </c>
      <c r="CB8" s="41">
        <v>17</v>
      </c>
      <c r="CC8" s="3">
        <v>18</v>
      </c>
      <c r="CD8" s="3">
        <v>19</v>
      </c>
      <c r="CE8" s="3">
        <v>20</v>
      </c>
    </row>
    <row r="9" spans="1:83">
      <c r="A9" s="1">
        <v>1</v>
      </c>
      <c r="B9" s="27"/>
      <c r="C9" s="2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spans="1:83">
      <c r="A10" s="1">
        <v>2</v>
      </c>
      <c r="B10" s="27"/>
      <c r="C10" s="2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83">
      <c r="A11" s="1">
        <v>3</v>
      </c>
      <c r="B11" s="27"/>
      <c r="C11" s="2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</row>
    <row r="12" spans="1:83">
      <c r="A12" s="1">
        <v>4</v>
      </c>
      <c r="B12" s="27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</row>
    <row r="13" spans="1:83">
      <c r="A13" s="1">
        <v>5</v>
      </c>
      <c r="B13" s="27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</row>
    <row r="14" spans="1:83">
      <c r="A14" s="1">
        <v>6</v>
      </c>
      <c r="B14" s="27"/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1:83">
      <c r="A15" s="1">
        <v>7</v>
      </c>
      <c r="B15" s="27"/>
      <c r="C15" s="2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1:83">
      <c r="A16" s="1">
        <v>8</v>
      </c>
      <c r="B16" s="27"/>
      <c r="C16" s="2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83">
      <c r="A17" s="1">
        <v>9</v>
      </c>
      <c r="B17" s="27"/>
      <c r="C17" s="2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</row>
    <row r="18" spans="1:83">
      <c r="A18" s="1">
        <v>10</v>
      </c>
      <c r="B18" s="27"/>
      <c r="C18" s="2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spans="1:83">
      <c r="A19" s="1">
        <v>11</v>
      </c>
      <c r="B19" s="27"/>
      <c r="C19" s="2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>
      <c r="A20" s="1">
        <v>12</v>
      </c>
      <c r="B20" s="27"/>
      <c r="C20" s="2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spans="1:83">
      <c r="A21" s="1">
        <v>13</v>
      </c>
      <c r="B21" s="27"/>
      <c r="C21" s="2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spans="1:83">
      <c r="A22" s="1">
        <v>14</v>
      </c>
      <c r="B22" s="27"/>
      <c r="C22" s="2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</row>
    <row r="23" spans="1:83">
      <c r="A23" s="1">
        <v>15</v>
      </c>
      <c r="B23" s="27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1:83">
      <c r="A24" s="1">
        <v>16</v>
      </c>
      <c r="B24" s="27"/>
      <c r="C24" s="2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</row>
    <row r="25" spans="1:83">
      <c r="A25" s="1">
        <v>17</v>
      </c>
      <c r="B25" s="27"/>
      <c r="C25" s="2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</row>
    <row r="26" spans="1:83">
      <c r="A26" s="1">
        <v>18</v>
      </c>
      <c r="B26" s="27"/>
      <c r="C26" s="3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</row>
    <row r="27" spans="1:83">
      <c r="A27" s="1">
        <v>19</v>
      </c>
      <c r="B27" s="27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</row>
    <row r="28" spans="1:83">
      <c r="A28" s="1">
        <v>20</v>
      </c>
      <c r="B28" s="27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>
      <c r="A29" s="1">
        <v>21</v>
      </c>
      <c r="B29" s="27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>
      <c r="A30" s="1">
        <v>22</v>
      </c>
      <c r="B30" s="27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>
      <c r="A31" s="1">
        <v>23</v>
      </c>
      <c r="B31" s="27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>
      <c r="A32" s="1">
        <v>24</v>
      </c>
      <c r="B32" s="27"/>
      <c r="C32" s="2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3" spans="1:83">
      <c r="A33" s="1">
        <v>25</v>
      </c>
      <c r="B33" s="27"/>
      <c r="C33" s="2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</row>
    <row r="34" spans="1:83">
      <c r="A34" s="1">
        <v>26</v>
      </c>
      <c r="B34" s="27"/>
      <c r="C34" s="2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1:83">
      <c r="A35" s="1">
        <v>27</v>
      </c>
      <c r="B35" s="27"/>
      <c r="C35" s="2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spans="1:83">
      <c r="A36" s="1">
        <v>28</v>
      </c>
      <c r="B36" s="27"/>
      <c r="C36" s="2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spans="1:83">
      <c r="A37" s="1">
        <v>29</v>
      </c>
      <c r="B37" s="27"/>
      <c r="C37" s="2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spans="1:83">
      <c r="A38" s="1">
        <v>30</v>
      </c>
      <c r="B38" s="27"/>
      <c r="C38" s="2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spans="1:83">
      <c r="A39" s="1">
        <v>31</v>
      </c>
      <c r="B39" s="27"/>
      <c r="C39" s="2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spans="1:83">
      <c r="A40" s="1">
        <v>32</v>
      </c>
      <c r="B40" s="27"/>
      <c r="C40" s="2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spans="1:83">
      <c r="A41" s="1">
        <v>33</v>
      </c>
      <c r="B41" s="27"/>
      <c r="C41" s="2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spans="1:83">
      <c r="A42" s="1">
        <v>34</v>
      </c>
      <c r="B42" s="27"/>
      <c r="C42" s="2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spans="1:83">
      <c r="A43" s="1">
        <v>35</v>
      </c>
      <c r="B43" s="27"/>
      <c r="C43" s="2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spans="1:83">
      <c r="A44" s="1">
        <v>36</v>
      </c>
      <c r="B44" s="27"/>
      <c r="C44" s="2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spans="1:83">
      <c r="A45" s="1">
        <v>37</v>
      </c>
      <c r="B45" s="27"/>
      <c r="C45" s="2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spans="1:83">
      <c r="A46" s="1">
        <v>38</v>
      </c>
      <c r="B46" s="27"/>
      <c r="C46" s="2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</row>
    <row r="47" spans="1:83">
      <c r="A47" s="1">
        <v>39</v>
      </c>
      <c r="B47" s="27"/>
      <c r="C47" s="2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1:83">
      <c r="A48" s="1">
        <v>40</v>
      </c>
      <c r="B48" s="27"/>
      <c r="C48" s="2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1:83">
      <c r="A49" s="1">
        <v>41</v>
      </c>
      <c r="B49" s="27"/>
      <c r="C49" s="2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1:83">
      <c r="A50" s="1">
        <v>42</v>
      </c>
      <c r="B50" s="27"/>
      <c r="C50" s="2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1:83">
      <c r="A51" s="1">
        <v>43</v>
      </c>
      <c r="B51" s="27"/>
      <c r="C51" s="2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1:83">
      <c r="A52" s="1">
        <v>44</v>
      </c>
      <c r="B52" s="27"/>
      <c r="C52" s="2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1:83">
      <c r="A53" s="1">
        <v>45</v>
      </c>
      <c r="B53" s="27"/>
      <c r="C53" s="2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1:83">
      <c r="A54" s="1">
        <v>46</v>
      </c>
      <c r="B54" s="27"/>
      <c r="C54" s="2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1:83">
      <c r="A55" s="1">
        <v>47</v>
      </c>
      <c r="B55" s="27"/>
      <c r="C55" s="2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1:83">
      <c r="A56" s="1">
        <v>48</v>
      </c>
      <c r="B56" s="27"/>
      <c r="C56" s="2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1:83">
      <c r="A57" s="1">
        <v>49</v>
      </c>
      <c r="B57" s="27"/>
      <c r="C57" s="2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1:83">
      <c r="A58" s="1">
        <v>50</v>
      </c>
      <c r="B58" s="27"/>
      <c r="C58" s="2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1:83">
      <c r="A59" s="1">
        <v>51</v>
      </c>
      <c r="B59" s="27"/>
      <c r="C59" s="2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1:83">
      <c r="A60" s="1">
        <v>52</v>
      </c>
      <c r="B60" s="27"/>
      <c r="C60" s="2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1:83">
      <c r="A61" s="1">
        <v>53</v>
      </c>
      <c r="B61" s="27"/>
      <c r="C61" s="2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>
      <c r="A62" s="1">
        <v>54</v>
      </c>
      <c r="B62" s="27"/>
      <c r="C62" s="2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1:83">
      <c r="A63" s="1">
        <v>55</v>
      </c>
      <c r="B63" s="76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1:83">
      <c r="A64" s="1">
        <v>56</v>
      </c>
      <c r="B64" s="78"/>
      <c r="C64" s="7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1:83">
      <c r="A65" s="1">
        <v>57</v>
      </c>
      <c r="B65" s="78"/>
      <c r="C65" s="7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>
      <c r="A66" s="1">
        <v>58</v>
      </c>
      <c r="B66" s="78"/>
      <c r="C66" s="7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spans="1:83">
      <c r="A67" s="1">
        <v>59</v>
      </c>
      <c r="B67" s="78"/>
      <c r="C67" s="7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  <row r="68" spans="1:83">
      <c r="A68" s="1">
        <v>60</v>
      </c>
      <c r="B68" s="78"/>
      <c r="C68" s="7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</row>
    <row r="69" spans="1:83">
      <c r="A69" s="1">
        <v>61</v>
      </c>
      <c r="B69" s="78"/>
      <c r="C69" s="7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</row>
    <row r="70" spans="1:83">
      <c r="A70" s="1">
        <v>62</v>
      </c>
      <c r="B70" s="78"/>
      <c r="C70" s="7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</row>
    <row r="71" spans="1:83">
      <c r="A71" s="1">
        <v>63</v>
      </c>
      <c r="B71" s="78"/>
      <c r="C71" s="7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</row>
    <row r="72" spans="1:83">
      <c r="A72" s="1">
        <v>64</v>
      </c>
      <c r="B72" s="78"/>
      <c r="C72" s="7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</row>
    <row r="73" spans="1:83">
      <c r="A73" s="1">
        <v>65</v>
      </c>
      <c r="B73" s="78"/>
      <c r="C73" s="7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</row>
    <row r="74" spans="1:83" ht="26.25">
      <c r="C74" s="74" t="s">
        <v>194</v>
      </c>
      <c r="D74" s="49">
        <f>COUNTIFS(D9:D73,"&lt;&gt;AB",D9:D73,"&lt;&gt;NA",D9:D73,"&lt;&gt;")</f>
        <v>0</v>
      </c>
      <c r="E74" s="49">
        <f t="shared" ref="E74:BP74" si="0">COUNTIFS(E9:E73,"&lt;&gt;AB",E9:E73,"&lt;&gt;NA",E9:E73,"&lt;&gt;")</f>
        <v>0</v>
      </c>
      <c r="F74" s="49">
        <f t="shared" si="0"/>
        <v>0</v>
      </c>
      <c r="G74" s="49">
        <f t="shared" si="0"/>
        <v>0</v>
      </c>
      <c r="H74" s="49">
        <f t="shared" si="0"/>
        <v>0</v>
      </c>
      <c r="I74" s="49">
        <f t="shared" si="0"/>
        <v>0</v>
      </c>
      <c r="J74" s="49">
        <f t="shared" si="0"/>
        <v>0</v>
      </c>
      <c r="K74" s="49">
        <f t="shared" si="0"/>
        <v>0</v>
      </c>
      <c r="L74" s="49">
        <f t="shared" si="0"/>
        <v>0</v>
      </c>
      <c r="M74" s="49">
        <f t="shared" si="0"/>
        <v>0</v>
      </c>
      <c r="N74" s="49">
        <f t="shared" si="0"/>
        <v>0</v>
      </c>
      <c r="O74" s="49">
        <f t="shared" si="0"/>
        <v>0</v>
      </c>
      <c r="P74" s="49">
        <f t="shared" si="0"/>
        <v>0</v>
      </c>
      <c r="Q74" s="49">
        <f t="shared" si="0"/>
        <v>0</v>
      </c>
      <c r="R74" s="49">
        <f t="shared" si="0"/>
        <v>0</v>
      </c>
      <c r="S74" s="49">
        <f t="shared" si="0"/>
        <v>0</v>
      </c>
      <c r="T74" s="49">
        <f t="shared" si="0"/>
        <v>0</v>
      </c>
      <c r="U74" s="49">
        <f t="shared" si="0"/>
        <v>0</v>
      </c>
      <c r="V74" s="49">
        <f t="shared" si="0"/>
        <v>0</v>
      </c>
      <c r="W74" s="49">
        <f t="shared" si="0"/>
        <v>0</v>
      </c>
      <c r="X74" s="49">
        <f t="shared" si="0"/>
        <v>0</v>
      </c>
      <c r="Y74" s="49">
        <f t="shared" si="0"/>
        <v>0</v>
      </c>
      <c r="Z74" s="49">
        <f t="shared" si="0"/>
        <v>0</v>
      </c>
      <c r="AA74" s="49">
        <f t="shared" si="0"/>
        <v>0</v>
      </c>
      <c r="AB74" s="49">
        <f t="shared" si="0"/>
        <v>0</v>
      </c>
      <c r="AC74" s="49">
        <f t="shared" si="0"/>
        <v>0</v>
      </c>
      <c r="AD74" s="49">
        <f t="shared" si="0"/>
        <v>0</v>
      </c>
      <c r="AE74" s="49">
        <f t="shared" si="0"/>
        <v>0</v>
      </c>
      <c r="AF74" s="49">
        <f t="shared" si="0"/>
        <v>0</v>
      </c>
      <c r="AG74" s="49">
        <f t="shared" si="0"/>
        <v>0</v>
      </c>
      <c r="AH74" s="49">
        <f t="shared" si="0"/>
        <v>0</v>
      </c>
      <c r="AI74" s="49">
        <f t="shared" si="0"/>
        <v>0</v>
      </c>
      <c r="AJ74" s="49">
        <f t="shared" si="0"/>
        <v>0</v>
      </c>
      <c r="AK74" s="49">
        <f t="shared" si="0"/>
        <v>0</v>
      </c>
      <c r="AL74" s="49">
        <f t="shared" si="0"/>
        <v>0</v>
      </c>
      <c r="AM74" s="49">
        <f t="shared" si="0"/>
        <v>0</v>
      </c>
      <c r="AN74" s="49">
        <f t="shared" si="0"/>
        <v>0</v>
      </c>
      <c r="AO74" s="49">
        <f t="shared" si="0"/>
        <v>0</v>
      </c>
      <c r="AP74" s="49">
        <f t="shared" si="0"/>
        <v>0</v>
      </c>
      <c r="AQ74" s="49">
        <f t="shared" si="0"/>
        <v>0</v>
      </c>
      <c r="AR74" s="49">
        <f t="shared" si="0"/>
        <v>0</v>
      </c>
      <c r="AS74" s="49">
        <f t="shared" si="0"/>
        <v>0</v>
      </c>
      <c r="AT74" s="49">
        <f t="shared" si="0"/>
        <v>0</v>
      </c>
      <c r="AU74" s="49">
        <f t="shared" si="0"/>
        <v>0</v>
      </c>
      <c r="AV74" s="49">
        <f t="shared" si="0"/>
        <v>0</v>
      </c>
      <c r="AW74" s="49">
        <f t="shared" si="0"/>
        <v>0</v>
      </c>
      <c r="AX74" s="49">
        <f t="shared" si="0"/>
        <v>0</v>
      </c>
      <c r="AY74" s="49">
        <f t="shared" si="0"/>
        <v>0</v>
      </c>
      <c r="AZ74" s="49">
        <f t="shared" si="0"/>
        <v>0</v>
      </c>
      <c r="BA74" s="49">
        <f t="shared" si="0"/>
        <v>0</v>
      </c>
      <c r="BB74" s="49">
        <f t="shared" si="0"/>
        <v>0</v>
      </c>
      <c r="BC74" s="49">
        <f t="shared" si="0"/>
        <v>0</v>
      </c>
      <c r="BD74" s="49">
        <f t="shared" si="0"/>
        <v>0</v>
      </c>
      <c r="BE74" s="49">
        <f t="shared" si="0"/>
        <v>0</v>
      </c>
      <c r="BF74" s="49">
        <f t="shared" si="0"/>
        <v>0</v>
      </c>
      <c r="BG74" s="49">
        <f t="shared" si="0"/>
        <v>0</v>
      </c>
      <c r="BH74" s="49">
        <f t="shared" si="0"/>
        <v>0</v>
      </c>
      <c r="BI74" s="49">
        <f t="shared" si="0"/>
        <v>0</v>
      </c>
      <c r="BJ74" s="49">
        <f t="shared" si="0"/>
        <v>0</v>
      </c>
      <c r="BK74" s="49">
        <f t="shared" si="0"/>
        <v>0</v>
      </c>
      <c r="BL74" s="49">
        <f t="shared" si="0"/>
        <v>0</v>
      </c>
      <c r="BM74" s="49">
        <f t="shared" si="0"/>
        <v>0</v>
      </c>
      <c r="BN74" s="49">
        <f t="shared" si="0"/>
        <v>0</v>
      </c>
      <c r="BO74" s="49">
        <f t="shared" si="0"/>
        <v>0</v>
      </c>
      <c r="BP74" s="49">
        <f t="shared" si="0"/>
        <v>0</v>
      </c>
      <c r="BQ74" s="49">
        <f t="shared" ref="BQ74:CE74" si="1">COUNTIFS(BQ9:BQ73,"&lt;&gt;AB",BQ9:BQ73,"&lt;&gt;NA",BQ9:BQ73,"&lt;&gt;")</f>
        <v>0</v>
      </c>
      <c r="BR74" s="49">
        <f t="shared" si="1"/>
        <v>0</v>
      </c>
      <c r="BS74" s="49">
        <f t="shared" si="1"/>
        <v>0</v>
      </c>
      <c r="BT74" s="49">
        <f t="shared" si="1"/>
        <v>0</v>
      </c>
      <c r="BU74" s="49">
        <f t="shared" si="1"/>
        <v>0</v>
      </c>
      <c r="BV74" s="49">
        <f t="shared" si="1"/>
        <v>0</v>
      </c>
      <c r="BW74" s="49">
        <f t="shared" si="1"/>
        <v>0</v>
      </c>
      <c r="BX74" s="49">
        <f t="shared" si="1"/>
        <v>0</v>
      </c>
      <c r="BY74" s="49">
        <f t="shared" si="1"/>
        <v>0</v>
      </c>
      <c r="BZ74" s="49">
        <f t="shared" si="1"/>
        <v>0</v>
      </c>
      <c r="CA74" s="49">
        <f t="shared" si="1"/>
        <v>0</v>
      </c>
      <c r="CB74" s="49">
        <f t="shared" si="1"/>
        <v>0</v>
      </c>
      <c r="CC74" s="49">
        <f t="shared" si="1"/>
        <v>0</v>
      </c>
      <c r="CD74" s="49">
        <f t="shared" si="1"/>
        <v>0</v>
      </c>
      <c r="CE74" s="49">
        <f t="shared" si="1"/>
        <v>0</v>
      </c>
    </row>
    <row r="75" spans="1:83" ht="23.25" customHeight="1">
      <c r="C75" s="229" t="s">
        <v>218</v>
      </c>
      <c r="D75" s="49">
        <f>SUM(D9:D73)</f>
        <v>0</v>
      </c>
      <c r="E75" s="49">
        <f t="shared" ref="E75:BP75" si="2">SUM(E9:E73)</f>
        <v>0</v>
      </c>
      <c r="F75" s="49">
        <f t="shared" si="2"/>
        <v>0</v>
      </c>
      <c r="G75" s="49">
        <f t="shared" si="2"/>
        <v>0</v>
      </c>
      <c r="H75" s="49">
        <f t="shared" si="2"/>
        <v>0</v>
      </c>
      <c r="I75" s="49">
        <f t="shared" si="2"/>
        <v>0</v>
      </c>
      <c r="J75" s="49">
        <f t="shared" si="2"/>
        <v>0</v>
      </c>
      <c r="K75" s="49">
        <f t="shared" si="2"/>
        <v>0</v>
      </c>
      <c r="L75" s="49">
        <f t="shared" si="2"/>
        <v>0</v>
      </c>
      <c r="M75" s="49">
        <f t="shared" si="2"/>
        <v>0</v>
      </c>
      <c r="N75" s="49">
        <f t="shared" si="2"/>
        <v>0</v>
      </c>
      <c r="O75" s="49">
        <f t="shared" si="2"/>
        <v>0</v>
      </c>
      <c r="P75" s="49">
        <f t="shared" si="2"/>
        <v>0</v>
      </c>
      <c r="Q75" s="49">
        <f t="shared" si="2"/>
        <v>0</v>
      </c>
      <c r="R75" s="49">
        <f t="shared" si="2"/>
        <v>0</v>
      </c>
      <c r="S75" s="49">
        <f t="shared" si="2"/>
        <v>0</v>
      </c>
      <c r="T75" s="49">
        <f t="shared" si="2"/>
        <v>0</v>
      </c>
      <c r="U75" s="49">
        <f t="shared" si="2"/>
        <v>0</v>
      </c>
      <c r="V75" s="49">
        <f t="shared" si="2"/>
        <v>0</v>
      </c>
      <c r="W75" s="49">
        <f t="shared" si="2"/>
        <v>0</v>
      </c>
      <c r="X75" s="49">
        <f t="shared" si="2"/>
        <v>0</v>
      </c>
      <c r="Y75" s="49">
        <f t="shared" si="2"/>
        <v>0</v>
      </c>
      <c r="Z75" s="49">
        <f t="shared" si="2"/>
        <v>0</v>
      </c>
      <c r="AA75" s="49">
        <f t="shared" si="2"/>
        <v>0</v>
      </c>
      <c r="AB75" s="49">
        <f t="shared" si="2"/>
        <v>0</v>
      </c>
      <c r="AC75" s="49">
        <f t="shared" si="2"/>
        <v>0</v>
      </c>
      <c r="AD75" s="49">
        <f t="shared" si="2"/>
        <v>0</v>
      </c>
      <c r="AE75" s="49">
        <f t="shared" si="2"/>
        <v>0</v>
      </c>
      <c r="AF75" s="49">
        <f t="shared" si="2"/>
        <v>0</v>
      </c>
      <c r="AG75" s="49">
        <f t="shared" si="2"/>
        <v>0</v>
      </c>
      <c r="AH75" s="49">
        <f t="shared" si="2"/>
        <v>0</v>
      </c>
      <c r="AI75" s="49">
        <f t="shared" si="2"/>
        <v>0</v>
      </c>
      <c r="AJ75" s="49">
        <f t="shared" si="2"/>
        <v>0</v>
      </c>
      <c r="AK75" s="49">
        <f t="shared" si="2"/>
        <v>0</v>
      </c>
      <c r="AL75" s="49">
        <f t="shared" si="2"/>
        <v>0</v>
      </c>
      <c r="AM75" s="49">
        <f t="shared" si="2"/>
        <v>0</v>
      </c>
      <c r="AN75" s="49">
        <f t="shared" si="2"/>
        <v>0</v>
      </c>
      <c r="AO75" s="49">
        <f t="shared" si="2"/>
        <v>0</v>
      </c>
      <c r="AP75" s="49">
        <f t="shared" si="2"/>
        <v>0</v>
      </c>
      <c r="AQ75" s="49">
        <f t="shared" si="2"/>
        <v>0</v>
      </c>
      <c r="AR75" s="49">
        <f t="shared" si="2"/>
        <v>0</v>
      </c>
      <c r="AS75" s="49">
        <f t="shared" si="2"/>
        <v>0</v>
      </c>
      <c r="AT75" s="49">
        <f t="shared" si="2"/>
        <v>0</v>
      </c>
      <c r="AU75" s="49">
        <f t="shared" si="2"/>
        <v>0</v>
      </c>
      <c r="AV75" s="49">
        <f t="shared" si="2"/>
        <v>0</v>
      </c>
      <c r="AW75" s="49">
        <f t="shared" si="2"/>
        <v>0</v>
      </c>
      <c r="AX75" s="49">
        <f t="shared" si="2"/>
        <v>0</v>
      </c>
      <c r="AY75" s="49">
        <f t="shared" si="2"/>
        <v>0</v>
      </c>
      <c r="AZ75" s="49">
        <f t="shared" si="2"/>
        <v>0</v>
      </c>
      <c r="BA75" s="49">
        <f t="shared" si="2"/>
        <v>0</v>
      </c>
      <c r="BB75" s="49">
        <f t="shared" si="2"/>
        <v>0</v>
      </c>
      <c r="BC75" s="49">
        <f t="shared" si="2"/>
        <v>0</v>
      </c>
      <c r="BD75" s="49">
        <f t="shared" si="2"/>
        <v>0</v>
      </c>
      <c r="BE75" s="49">
        <f t="shared" si="2"/>
        <v>0</v>
      </c>
      <c r="BF75" s="49">
        <f t="shared" si="2"/>
        <v>0</v>
      </c>
      <c r="BG75" s="49">
        <f t="shared" si="2"/>
        <v>0</v>
      </c>
      <c r="BH75" s="49">
        <f t="shared" si="2"/>
        <v>0</v>
      </c>
      <c r="BI75" s="49">
        <f t="shared" si="2"/>
        <v>0</v>
      </c>
      <c r="BJ75" s="49">
        <f t="shared" si="2"/>
        <v>0</v>
      </c>
      <c r="BK75" s="49">
        <f t="shared" si="2"/>
        <v>0</v>
      </c>
      <c r="BL75" s="49">
        <f t="shared" si="2"/>
        <v>0</v>
      </c>
      <c r="BM75" s="49">
        <f t="shared" si="2"/>
        <v>0</v>
      </c>
      <c r="BN75" s="49">
        <f t="shared" si="2"/>
        <v>0</v>
      </c>
      <c r="BO75" s="49">
        <f t="shared" si="2"/>
        <v>0</v>
      </c>
      <c r="BP75" s="49">
        <f t="shared" si="2"/>
        <v>0</v>
      </c>
      <c r="BQ75" s="49">
        <f t="shared" ref="BQ75:CE75" si="3">SUM(BQ9:BQ73)</f>
        <v>0</v>
      </c>
      <c r="BR75" s="49">
        <f t="shared" si="3"/>
        <v>0</v>
      </c>
      <c r="BS75" s="49">
        <f t="shared" si="3"/>
        <v>0</v>
      </c>
      <c r="BT75" s="49">
        <f t="shared" si="3"/>
        <v>0</v>
      </c>
      <c r="BU75" s="49">
        <f t="shared" si="3"/>
        <v>0</v>
      </c>
      <c r="BV75" s="49">
        <f t="shared" si="3"/>
        <v>0</v>
      </c>
      <c r="BW75" s="49">
        <f t="shared" si="3"/>
        <v>0</v>
      </c>
      <c r="BX75" s="49">
        <f t="shared" si="3"/>
        <v>0</v>
      </c>
      <c r="BY75" s="49">
        <f t="shared" si="3"/>
        <v>0</v>
      </c>
      <c r="BZ75" s="49">
        <f t="shared" si="3"/>
        <v>0</v>
      </c>
      <c r="CA75" s="49">
        <f t="shared" si="3"/>
        <v>0</v>
      </c>
      <c r="CB75" s="49">
        <f t="shared" si="3"/>
        <v>0</v>
      </c>
      <c r="CC75" s="49">
        <f t="shared" si="3"/>
        <v>0</v>
      </c>
      <c r="CD75" s="49">
        <f t="shared" si="3"/>
        <v>0</v>
      </c>
      <c r="CE75" s="49">
        <f t="shared" si="3"/>
        <v>0</v>
      </c>
    </row>
    <row r="76" spans="1:83">
      <c r="B76" s="16"/>
      <c r="C76" s="231" t="s">
        <v>195</v>
      </c>
      <c r="D76" s="50">
        <f t="shared" ref="D76:BO76" si="4">IF(D74&lt;&gt;0,((D75/D74)/D6)*100,0)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 t="shared" si="4"/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50">
        <f t="shared" si="4"/>
        <v>0</v>
      </c>
      <c r="AG76" s="50">
        <f t="shared" si="4"/>
        <v>0</v>
      </c>
      <c r="AH76" s="50">
        <f t="shared" si="4"/>
        <v>0</v>
      </c>
      <c r="AI76" s="50">
        <f t="shared" si="4"/>
        <v>0</v>
      </c>
      <c r="AJ76" s="50">
        <f t="shared" si="4"/>
        <v>0</v>
      </c>
      <c r="AK76" s="50">
        <f t="shared" si="4"/>
        <v>0</v>
      </c>
      <c r="AL76" s="50">
        <f t="shared" si="4"/>
        <v>0</v>
      </c>
      <c r="AM76" s="50">
        <f t="shared" si="4"/>
        <v>0</v>
      </c>
      <c r="AN76" s="50">
        <f t="shared" si="4"/>
        <v>0</v>
      </c>
      <c r="AO76" s="50">
        <f t="shared" si="4"/>
        <v>0</v>
      </c>
      <c r="AP76" s="50">
        <f t="shared" si="4"/>
        <v>0</v>
      </c>
      <c r="AQ76" s="50">
        <f t="shared" si="4"/>
        <v>0</v>
      </c>
      <c r="AR76" s="50">
        <f t="shared" si="4"/>
        <v>0</v>
      </c>
      <c r="AS76" s="50">
        <f t="shared" si="4"/>
        <v>0</v>
      </c>
      <c r="AT76" s="50">
        <f t="shared" si="4"/>
        <v>0</v>
      </c>
      <c r="AU76" s="50">
        <f t="shared" si="4"/>
        <v>0</v>
      </c>
      <c r="AV76" s="50">
        <f t="shared" si="4"/>
        <v>0</v>
      </c>
      <c r="AW76" s="50">
        <f t="shared" si="4"/>
        <v>0</v>
      </c>
      <c r="AX76" s="50">
        <f t="shared" si="4"/>
        <v>0</v>
      </c>
      <c r="AY76" s="50">
        <f t="shared" si="4"/>
        <v>0</v>
      </c>
      <c r="AZ76" s="50">
        <f t="shared" si="4"/>
        <v>0</v>
      </c>
      <c r="BA76" s="50">
        <f t="shared" si="4"/>
        <v>0</v>
      </c>
      <c r="BB76" s="50">
        <f t="shared" si="4"/>
        <v>0</v>
      </c>
      <c r="BC76" s="50">
        <f t="shared" si="4"/>
        <v>0</v>
      </c>
      <c r="BD76" s="50">
        <f t="shared" si="4"/>
        <v>0</v>
      </c>
      <c r="BE76" s="50">
        <f t="shared" si="4"/>
        <v>0</v>
      </c>
      <c r="BF76" s="50">
        <f t="shared" si="4"/>
        <v>0</v>
      </c>
      <c r="BG76" s="50">
        <f t="shared" si="4"/>
        <v>0</v>
      </c>
      <c r="BH76" s="50">
        <f t="shared" si="4"/>
        <v>0</v>
      </c>
      <c r="BI76" s="50">
        <f t="shared" si="4"/>
        <v>0</v>
      </c>
      <c r="BJ76" s="50">
        <f t="shared" si="4"/>
        <v>0</v>
      </c>
      <c r="BK76" s="50">
        <f t="shared" si="4"/>
        <v>0</v>
      </c>
      <c r="BL76" s="50">
        <f t="shared" si="4"/>
        <v>0</v>
      </c>
      <c r="BM76" s="50">
        <f t="shared" si="4"/>
        <v>0</v>
      </c>
      <c r="BN76" s="50">
        <f t="shared" si="4"/>
        <v>0</v>
      </c>
      <c r="BO76" s="50">
        <f t="shared" si="4"/>
        <v>0</v>
      </c>
      <c r="BP76" s="50">
        <f t="shared" ref="BP76:CE76" si="5">IF(BP74&lt;&gt;0,((BP75/BP74)/BP6)*100,0)</f>
        <v>0</v>
      </c>
      <c r="BQ76" s="50">
        <f t="shared" si="5"/>
        <v>0</v>
      </c>
      <c r="BR76" s="50">
        <f t="shared" si="5"/>
        <v>0</v>
      </c>
      <c r="BS76" s="50">
        <f t="shared" si="5"/>
        <v>0</v>
      </c>
      <c r="BT76" s="50">
        <f t="shared" si="5"/>
        <v>0</v>
      </c>
      <c r="BU76" s="50">
        <f t="shared" si="5"/>
        <v>0</v>
      </c>
      <c r="BV76" s="50">
        <f t="shared" si="5"/>
        <v>0</v>
      </c>
      <c r="BW76" s="50">
        <f t="shared" si="5"/>
        <v>0</v>
      </c>
      <c r="BX76" s="50">
        <f t="shared" si="5"/>
        <v>0</v>
      </c>
      <c r="BY76" s="50">
        <f t="shared" si="5"/>
        <v>0</v>
      </c>
      <c r="BZ76" s="50">
        <f t="shared" si="5"/>
        <v>0</v>
      </c>
      <c r="CA76" s="50">
        <f t="shared" si="5"/>
        <v>0</v>
      </c>
      <c r="CB76" s="50">
        <f t="shared" si="5"/>
        <v>0</v>
      </c>
      <c r="CC76" s="50">
        <f t="shared" si="5"/>
        <v>0</v>
      </c>
      <c r="CD76" s="50">
        <f t="shared" si="5"/>
        <v>0</v>
      </c>
      <c r="CE76" s="50">
        <f t="shared" si="5"/>
        <v>0</v>
      </c>
    </row>
    <row r="79" spans="1:83" ht="45">
      <c r="C79" s="39" t="s">
        <v>26</v>
      </c>
      <c r="D79" s="37" t="s">
        <v>27</v>
      </c>
      <c r="E79" s="37" t="s">
        <v>28</v>
      </c>
      <c r="F79" s="37" t="s">
        <v>29</v>
      </c>
      <c r="G79" s="37" t="s">
        <v>30</v>
      </c>
      <c r="H79" s="37" t="s">
        <v>31</v>
      </c>
      <c r="I79" s="37" t="s">
        <v>63</v>
      </c>
      <c r="J79" s="37" t="s">
        <v>65</v>
      </c>
      <c r="K79" s="37" t="s">
        <v>68</v>
      </c>
      <c r="L79" s="37" t="s">
        <v>76</v>
      </c>
      <c r="M79" s="37" t="s">
        <v>77</v>
      </c>
      <c r="Y79" s="17"/>
      <c r="Z79" s="17"/>
      <c r="AB79"/>
      <c r="AC79"/>
    </row>
    <row r="80" spans="1:83" ht="15.75">
      <c r="C80" s="46" t="s">
        <v>38</v>
      </c>
      <c r="D80" s="47">
        <f>IF(COUNTIFS($D$5:$AQ$5,"=1",$D$76:$AQ$76,"&lt;&gt;0")=0,0,SUMIF($D$5:$AQ$5,"=1",$D$76:$AQ$76)/COUNTIFS($D$5:$AQ$5,"=1",$D$76:$AQ$76,"&lt;&gt;0"))</f>
        <v>0</v>
      </c>
      <c r="E80" s="47">
        <f>IF(COUNTIFS($D$5:$AQ$5,"=2",$D$76:$AQ$76,"&lt;&gt;0")=0,0,SUMIF($D$5:$AQ$5,"=2",$D$76:$AQ$76)/COUNTIFS($D$5:$AQ$5,"=2",$D$76:$AQ$76,"&lt;&gt;0"))</f>
        <v>0</v>
      </c>
      <c r="F80" s="47">
        <f>IF(COUNTIFS($D$5:$AQ$5,"=3",$D$76:$AQ$76,"&lt;&gt;0")=0,0,SUMIF($D$5:$AQ$5,"=3",$D$76:$AQ$76)/COUNTIFS($D$5:$AQ$5,"=3",$D$76:$AQ$76,"&lt;&gt;0"))</f>
        <v>0</v>
      </c>
      <c r="G80" s="47">
        <f>IF(COUNTIFS($D$5:$AQ$5,"=4",$D$76:$AQ$76,"&lt;&gt;0")=0,0,SUMIF($D$5:$AQ$5,"=4",$D$76:$AQ$76)/COUNTIFS($D$5:$AQ$5,"=4",$D$76:$AQ$76,"&lt;&gt;0"))</f>
        <v>0</v>
      </c>
      <c r="H80" s="47">
        <f>IF(COUNTIFS($D$5:$AQ$5,"=5",$D$76:$AQ$76,"&lt;&gt;0")=0,0,SUMIF($D$5:$AQ$5,"=5",$D$76:$AQ$76)/COUNTIFS($D$5:$AQ$5,"=5",$D$76:$AQ$76,"&lt;&gt;0"))</f>
        <v>0</v>
      </c>
      <c r="I80" s="47">
        <f>IF(COUNTIFS($D$5:$AQ$5,"=6",$D$76:$AQ$76,"&lt;&gt;0")=0,0,SUMIF($D$5:$AQ$5,"=6",$D$76:$AQ$76)/COUNTIFS($D$5:$AQ$5,"=6",$D$76:$AQ$76,"&lt;&gt;0"))</f>
        <v>0</v>
      </c>
      <c r="J80" s="47">
        <f>IF(COUNTIFS($D$5:$AQ$5,"=7",$D$76:$AQ$76,"&lt;&gt;0")=0,0,SUMIF($D$5:$AQ$5,"=7",$D$76:$AQ$76)/COUNTIFS($D$5:$AQ$5,"=7",$D$76:$AQ$76,"&lt;&gt;0"))</f>
        <v>0</v>
      </c>
      <c r="K80" s="47">
        <f>IF(COUNTIFS($D$5:$AQ$5,"=8",$D$76:$AQ$76,"&lt;&gt;0")=0,0,SUMIF($D$5:$AQ$5,"=8",$D$76:$AQ$76)/COUNTIFS($D$5:$AQ$5,"=8",$D$76:$AQ$76,"&lt;&gt;0"))</f>
        <v>0</v>
      </c>
      <c r="L80" s="47">
        <f>IF(COUNTIFS($D$5:$AQ$5,"=9",$D$76:$AQ$76,"&lt;&gt;0")=0,0,SUMIF($D$5:$AQ$5,"=9",$D$76:$AQ$76)/COUNTIFS($D$5:$AQ$5,"=9",$D$76:$AQ$76,"&lt;&gt;0"))</f>
        <v>0</v>
      </c>
      <c r="M80" s="47">
        <f>IF(COUNTIFS($D$5:$AQ$5,"=10",$D$76:$AQ$76,"&lt;&gt;0")=0,0,SUMIF($D$5:$AQ$5,"=10",$D$76:$AQ$76)/COUNTIFS($D$5:$AQ$5,"=10",$D$76:$AQ$76,"&lt;&gt;0"))</f>
        <v>0</v>
      </c>
      <c r="W80" s="17"/>
      <c r="X80" s="17"/>
      <c r="Y80" s="17"/>
      <c r="AA80"/>
      <c r="AB80"/>
      <c r="AC80"/>
    </row>
    <row r="81" spans="3:29">
      <c r="E81" s="17"/>
      <c r="F81" s="17"/>
      <c r="H81"/>
      <c r="I81"/>
      <c r="Y81" s="17"/>
      <c r="Z81" s="17"/>
      <c r="AB81"/>
      <c r="AC81"/>
    </row>
    <row r="82" spans="3:29">
      <c r="E82" s="17"/>
      <c r="F82" s="17"/>
      <c r="H82"/>
      <c r="I82"/>
      <c r="Y82" s="17"/>
      <c r="Z82" s="17"/>
      <c r="AB82"/>
      <c r="AC82"/>
    </row>
    <row r="83" spans="3:29">
      <c r="E83" s="17"/>
      <c r="F83" s="17"/>
      <c r="H83"/>
      <c r="I83"/>
      <c r="Y83" s="17"/>
      <c r="Z83" s="17"/>
      <c r="AB83"/>
      <c r="AC83"/>
    </row>
    <row r="84" spans="3:29" ht="30">
      <c r="C84" s="39" t="s">
        <v>57</v>
      </c>
      <c r="D84" s="37" t="s">
        <v>45</v>
      </c>
      <c r="E84" s="37" t="s">
        <v>46</v>
      </c>
      <c r="F84" s="37" t="s">
        <v>47</v>
      </c>
      <c r="G84" s="37" t="s">
        <v>48</v>
      </c>
      <c r="H84" s="37" t="s">
        <v>49</v>
      </c>
      <c r="I84" s="37" t="s">
        <v>50</v>
      </c>
      <c r="J84" s="37" t="s">
        <v>51</v>
      </c>
      <c r="K84" s="37" t="s">
        <v>52</v>
      </c>
      <c r="L84" s="37" t="s">
        <v>53</v>
      </c>
      <c r="M84" s="37" t="s">
        <v>54</v>
      </c>
      <c r="N84" s="37" t="s">
        <v>55</v>
      </c>
      <c r="O84" s="37" t="s">
        <v>56</v>
      </c>
      <c r="Y84" s="17"/>
      <c r="Z84" s="17"/>
      <c r="AB84"/>
      <c r="AC84"/>
    </row>
    <row r="85" spans="3:29" ht="18.75">
      <c r="C85" s="38" t="s">
        <v>25</v>
      </c>
      <c r="D85" s="21">
        <f>IF(COUNTIFS($D$4:$O$4,"=*1*",$D76:$O76,"&lt;&gt;0")=0,0,SUMIF($D$4:$O$4,"=*1*",$D76:$O76)/COUNTIFS($D$4:$O$4,"=*1*",$D76:$O76,"&lt;&gt;0"))</f>
        <v>0</v>
      </c>
      <c r="E85" s="21">
        <f>IF(COUNTIFS($D$4:$O$4,"=*2*",$D76:$O76,"&lt;&gt;0")=0,0,SUMIF($D$4:$O$4,"=*2*",$D76:$O76)/COUNTIFS($D$4:$O$4,"=*2*",$D76:$O76,"&lt;&gt;0"))</f>
        <v>0</v>
      </c>
      <c r="F85" s="21">
        <f>IF(COUNTIFS($D$4:$O$4,"=*3*",$D76:$O76,"&lt;&gt;0")=0,0,SUMIF($D$4:$O$4,"=*3*",$D76:$O76)/COUNTIFS($D$4:$O$4,"=*3*",$D76:$O76,"&lt;&gt;0"))</f>
        <v>0</v>
      </c>
      <c r="G85" s="21">
        <f>IF(COUNTIFS($D$4:$O$4,"=*4*",$D76:$O76,"&lt;&gt;0")=0,0,SUMIF($D$4:$O$4,"=*4*",$D76:$O76)/COUNTIFS($D$4:$O$4,"=*4*",$D76:$O76,"&lt;&gt;0"))</f>
        <v>0</v>
      </c>
      <c r="H85" s="21">
        <f>IF(COUNTIFS($D$4:$O$4,"=*5*",$D76:$O76,"&lt;&gt;0")=0,0,SUMIF($D$4:$O$4,"=*5*",$D76:$O76)/COUNTIFS($D$4:$O$4,"=*5*",$D76:$O76,"&lt;&gt;0"))</f>
        <v>0</v>
      </c>
      <c r="I85" s="21">
        <f>IF(COUNTIFS($D$4:$O$4,"=*6*",$D76:$O76,"&lt;&gt;0")=0,0,SUMIF($D$4:$O$4,"=*6*",$D76:$O76)/COUNTIFS($D$4:$O$4,"=*6*",$D76:$O76,"&lt;&gt;0"))</f>
        <v>0</v>
      </c>
      <c r="J85" s="21">
        <f>IF(COUNTIFS($D$4:$O$4,"=*7*",$D76:$O76,"&lt;&gt;0")=0,0,SUMIF($D$4:$O$4,"=*7*",$D76:$O76)/COUNTIFS($D$4:$O$4,"=*7*",$D76:$O76,"&lt;&gt;0"))</f>
        <v>0</v>
      </c>
      <c r="K85" s="21">
        <f>IF(COUNTIFS($D$4:$O$4,"=*8*",$D76:$O76,"&lt;&gt;0")=0,0,SUMIF($D$4:$O$4,"=*8*",$D76:$O76)/COUNTIFS($D$4:$O$4,"=*8*",$D76:$O76,"&lt;&gt;0"))</f>
        <v>0</v>
      </c>
      <c r="L85" s="21">
        <f>IF(COUNTIFS($D$4:$O$4,"=*9*",$D76:$O76,"&lt;&gt;0")=0,0,SUMIF($D$4:$O$4,"=*9*",$D76:$O76)/COUNTIFS($D$4:$O$4,"=*9*",$D76:$O76,"&lt;&gt;0"))</f>
        <v>0</v>
      </c>
      <c r="M85" s="21">
        <f>IF(COUNTIFS($D$4:$O$4,"=*10*",$D76:$O76,"&lt;&gt;0")=0,0,SUMIF($D$4:$O$4,"=*10*",$D76:$O76)/COUNTIFS($D$4:$O$4,"=*10*",$D76:$O76,"&lt;&gt;0"))</f>
        <v>0</v>
      </c>
      <c r="N85" s="21">
        <f>IF(COUNTIFS($D$4:$O$4,"=*11*",$D76:$O76,"&lt;&gt;0")=0,0,SUMIF($D$4:$O$4,"=*11*",$D76:$O76)/COUNTIFS($D$4:$O$4,"=*11*",$D76:$O76,"&lt;&gt;0"))</f>
        <v>0</v>
      </c>
      <c r="O85" s="21">
        <f>IF(COUNTIFS($D$4:$O$4,"=*12*",$D76:$O76,"&lt;&gt;0")=0,0,SUMIF($D$4:$O$4,"=*12*",$D76:$O76)/COUNTIFS($D$4:$O$4,"=*12*",$D76:$O76,"&lt;&gt;0"))</f>
        <v>0</v>
      </c>
      <c r="Y85" s="17"/>
      <c r="Z85" s="17"/>
      <c r="AB85"/>
      <c r="AC85"/>
    </row>
  </sheetData>
  <mergeCells count="4">
    <mergeCell ref="D7:W7"/>
    <mergeCell ref="X7:AQ7"/>
    <mergeCell ref="AR7:BK7"/>
    <mergeCell ref="BL7:C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9"/>
  <sheetViews>
    <sheetView zoomScale="70" zoomScaleNormal="70" workbookViewId="0">
      <selection activeCell="O32" sqref="O32"/>
    </sheetView>
  </sheetViews>
  <sheetFormatPr defaultRowHeight="15"/>
  <cols>
    <col min="1" max="1" width="6.7109375" bestFit="1" customWidth="1"/>
    <col min="2" max="2" width="12.42578125" bestFit="1" customWidth="1"/>
    <col min="3" max="3" width="29.28515625" bestFit="1" customWidth="1"/>
    <col min="4" max="4" width="8.5703125" customWidth="1"/>
    <col min="5" max="5" width="8.42578125" customWidth="1"/>
    <col min="6" max="6" width="8.7109375" customWidth="1"/>
    <col min="7" max="7" width="9.140625" customWidth="1"/>
    <col min="8" max="9" width="9.5703125" customWidth="1"/>
    <col min="10" max="10" width="9.28515625" customWidth="1"/>
    <col min="11" max="11" width="8.28515625" customWidth="1"/>
    <col min="12" max="12" width="12.140625" customWidth="1"/>
    <col min="15" max="19" width="9.140625" style="17"/>
  </cols>
  <sheetData>
    <row r="1" spans="1:19">
      <c r="R1"/>
      <c r="S1"/>
    </row>
    <row r="2" spans="1:19">
      <c r="R2"/>
      <c r="S2"/>
    </row>
    <row r="3" spans="1:19">
      <c r="R3"/>
      <c r="S3"/>
    </row>
    <row r="4" spans="1:19" ht="15.75">
      <c r="C4" s="10"/>
      <c r="D4" s="3"/>
      <c r="E4" s="3"/>
      <c r="F4" s="3"/>
      <c r="G4" s="3"/>
      <c r="H4" s="3"/>
      <c r="I4" s="3"/>
      <c r="J4" s="3"/>
      <c r="K4" s="3"/>
      <c r="L4" s="3"/>
      <c r="R4"/>
      <c r="S4"/>
    </row>
    <row r="5" spans="1:19">
      <c r="C5" s="11" t="s">
        <v>16</v>
      </c>
      <c r="D5" s="48">
        <v>4</v>
      </c>
      <c r="E5" s="48">
        <v>4</v>
      </c>
      <c r="F5" s="48">
        <v>4</v>
      </c>
      <c r="G5" s="48">
        <v>4</v>
      </c>
      <c r="H5" s="48">
        <v>4</v>
      </c>
      <c r="I5" s="48">
        <v>4</v>
      </c>
      <c r="J5" s="48">
        <v>5</v>
      </c>
      <c r="K5" s="48">
        <v>5</v>
      </c>
      <c r="L5" s="48">
        <v>5</v>
      </c>
      <c r="R5"/>
      <c r="S5"/>
    </row>
    <row r="6" spans="1:19" ht="15.75">
      <c r="C6" s="13" t="s">
        <v>15</v>
      </c>
      <c r="D6" s="323">
        <v>10</v>
      </c>
      <c r="E6" s="324"/>
      <c r="F6" s="325"/>
      <c r="G6" s="323">
        <v>5</v>
      </c>
      <c r="H6" s="324"/>
      <c r="I6" s="325"/>
      <c r="J6" s="323">
        <v>10</v>
      </c>
      <c r="K6" s="324"/>
      <c r="L6" s="325"/>
      <c r="R6"/>
      <c r="S6"/>
    </row>
    <row r="7" spans="1:19" ht="30">
      <c r="C7" s="15" t="s">
        <v>235</v>
      </c>
      <c r="D7" s="338">
        <f>PRODUCT(D6,0.5)</f>
        <v>5</v>
      </c>
      <c r="E7" s="339"/>
      <c r="F7" s="340"/>
      <c r="G7" s="338">
        <f t="shared" ref="G7" si="0">PRODUCT(G6,0.5)</f>
        <v>2.5</v>
      </c>
      <c r="H7" s="339"/>
      <c r="I7" s="340"/>
      <c r="J7" s="338">
        <f t="shared" ref="J7" si="1">PRODUCT(J6,0.5)</f>
        <v>5</v>
      </c>
      <c r="K7" s="339"/>
      <c r="L7" s="340"/>
      <c r="R7"/>
      <c r="S7"/>
    </row>
    <row r="8" spans="1:19">
      <c r="A8" s="9" t="s">
        <v>3</v>
      </c>
      <c r="B8" s="9" t="s">
        <v>2</v>
      </c>
      <c r="C8" s="40" t="s">
        <v>4</v>
      </c>
      <c r="D8" s="323" t="s">
        <v>32</v>
      </c>
      <c r="E8" s="324"/>
      <c r="F8" s="325"/>
      <c r="G8" s="323" t="s">
        <v>33</v>
      </c>
      <c r="H8" s="324"/>
      <c r="I8" s="325"/>
      <c r="J8" s="323" t="s">
        <v>34</v>
      </c>
      <c r="K8" s="324"/>
      <c r="L8" s="325"/>
      <c r="N8" s="288"/>
      <c r="O8" s="288"/>
      <c r="P8" s="288"/>
      <c r="R8"/>
      <c r="S8"/>
    </row>
    <row r="9" spans="1:19">
      <c r="A9" s="189">
        <v>1</v>
      </c>
      <c r="B9" s="295" t="s">
        <v>236</v>
      </c>
      <c r="C9" s="295" t="s">
        <v>237</v>
      </c>
      <c r="D9" s="323">
        <v>10</v>
      </c>
      <c r="E9" s="324"/>
      <c r="F9" s="325"/>
      <c r="G9" s="327">
        <v>5</v>
      </c>
      <c r="H9" s="328"/>
      <c r="I9" s="329"/>
      <c r="J9" s="323">
        <v>10</v>
      </c>
      <c r="K9" s="324"/>
      <c r="L9" s="325"/>
      <c r="M9" s="289"/>
      <c r="N9" s="129"/>
      <c r="O9" s="129"/>
      <c r="P9" s="129"/>
      <c r="Q9" s="330"/>
      <c r="R9" s="330"/>
      <c r="S9" s="330"/>
    </row>
    <row r="10" spans="1:19">
      <c r="A10" s="189">
        <v>2</v>
      </c>
      <c r="B10" s="295" t="s">
        <v>238</v>
      </c>
      <c r="C10" s="295" t="s">
        <v>239</v>
      </c>
      <c r="D10" s="323">
        <v>9</v>
      </c>
      <c r="E10" s="324"/>
      <c r="F10" s="325"/>
      <c r="G10" s="327">
        <v>5</v>
      </c>
      <c r="H10" s="328"/>
      <c r="I10" s="329"/>
      <c r="J10" s="323">
        <v>10</v>
      </c>
      <c r="K10" s="324"/>
      <c r="L10" s="325"/>
      <c r="M10" s="289"/>
      <c r="N10" s="129"/>
      <c r="O10" s="129"/>
      <c r="P10" s="129"/>
      <c r="Q10" s="330"/>
      <c r="R10" s="330"/>
      <c r="S10" s="330"/>
    </row>
    <row r="11" spans="1:19">
      <c r="A11" s="189">
        <v>3</v>
      </c>
      <c r="B11" s="295" t="s">
        <v>240</v>
      </c>
      <c r="C11" s="295" t="s">
        <v>241</v>
      </c>
      <c r="D11" s="323">
        <v>10</v>
      </c>
      <c r="E11" s="324"/>
      <c r="F11" s="325"/>
      <c r="G11" s="327">
        <v>5</v>
      </c>
      <c r="H11" s="328"/>
      <c r="I11" s="329"/>
      <c r="J11" s="323">
        <v>9</v>
      </c>
      <c r="K11" s="324"/>
      <c r="L11" s="325"/>
      <c r="M11" s="289"/>
      <c r="N11" s="129"/>
      <c r="O11" s="129"/>
      <c r="P11" s="129"/>
      <c r="Q11" s="330"/>
      <c r="R11" s="330"/>
      <c r="S11" s="330"/>
    </row>
    <row r="12" spans="1:19">
      <c r="A12" s="189">
        <v>4</v>
      </c>
      <c r="B12" s="295" t="s">
        <v>242</v>
      </c>
      <c r="C12" s="295" t="s">
        <v>243</v>
      </c>
      <c r="D12" s="323">
        <v>8</v>
      </c>
      <c r="E12" s="324"/>
      <c r="F12" s="325"/>
      <c r="G12" s="327">
        <v>5</v>
      </c>
      <c r="H12" s="328"/>
      <c r="I12" s="329"/>
      <c r="J12" s="323">
        <v>9</v>
      </c>
      <c r="K12" s="324"/>
      <c r="L12" s="325"/>
      <c r="M12" s="289"/>
      <c r="N12" s="129"/>
      <c r="O12" s="129"/>
      <c r="P12" s="129"/>
      <c r="Q12" s="330"/>
      <c r="R12" s="330"/>
      <c r="S12" s="330"/>
    </row>
    <row r="13" spans="1:19">
      <c r="A13" s="189">
        <v>5</v>
      </c>
      <c r="B13" s="295" t="s">
        <v>244</v>
      </c>
      <c r="C13" s="295" t="s">
        <v>245</v>
      </c>
      <c r="D13" s="323">
        <v>10</v>
      </c>
      <c r="E13" s="324"/>
      <c r="F13" s="325"/>
      <c r="G13" s="327">
        <v>5</v>
      </c>
      <c r="H13" s="328"/>
      <c r="I13" s="329"/>
      <c r="J13" s="323">
        <v>10</v>
      </c>
      <c r="K13" s="324"/>
      <c r="L13" s="325"/>
      <c r="M13" s="289"/>
      <c r="N13" s="129"/>
      <c r="O13" s="129"/>
      <c r="P13" s="129"/>
      <c r="Q13" s="330"/>
      <c r="R13" s="330"/>
      <c r="S13" s="330"/>
    </row>
    <row r="14" spans="1:19">
      <c r="A14" s="189">
        <v>6</v>
      </c>
      <c r="B14" s="295" t="s">
        <v>246</v>
      </c>
      <c r="C14" s="295" t="s">
        <v>247</v>
      </c>
      <c r="D14" s="323">
        <v>9</v>
      </c>
      <c r="E14" s="324"/>
      <c r="F14" s="325"/>
      <c r="G14" s="327">
        <v>5</v>
      </c>
      <c r="H14" s="328"/>
      <c r="I14" s="329"/>
      <c r="J14" s="323">
        <v>10</v>
      </c>
      <c r="K14" s="324"/>
      <c r="L14" s="325"/>
      <c r="M14" s="289"/>
      <c r="N14" s="129"/>
      <c r="O14" s="129"/>
      <c r="P14" s="129"/>
      <c r="Q14" s="330"/>
      <c r="R14" s="330"/>
      <c r="S14" s="330"/>
    </row>
    <row r="15" spans="1:19">
      <c r="A15" s="189">
        <v>7</v>
      </c>
      <c r="B15" s="295" t="s">
        <v>248</v>
      </c>
      <c r="C15" s="295" t="s">
        <v>249</v>
      </c>
      <c r="D15" s="323">
        <v>10</v>
      </c>
      <c r="E15" s="324"/>
      <c r="F15" s="325"/>
      <c r="G15" s="327">
        <v>5</v>
      </c>
      <c r="H15" s="328"/>
      <c r="I15" s="329"/>
      <c r="J15" s="323">
        <v>9</v>
      </c>
      <c r="K15" s="324"/>
      <c r="L15" s="325"/>
      <c r="M15" s="289"/>
      <c r="N15" s="129"/>
      <c r="O15" s="129"/>
      <c r="P15" s="129"/>
      <c r="Q15" s="330"/>
      <c r="R15" s="330"/>
      <c r="S15" s="330"/>
    </row>
    <row r="16" spans="1:19">
      <c r="A16" s="189">
        <v>8</v>
      </c>
      <c r="B16" s="295" t="s">
        <v>250</v>
      </c>
      <c r="C16" s="295" t="s">
        <v>251</v>
      </c>
      <c r="D16" s="323">
        <v>10</v>
      </c>
      <c r="E16" s="324"/>
      <c r="F16" s="325"/>
      <c r="G16" s="327">
        <v>5</v>
      </c>
      <c r="H16" s="328"/>
      <c r="I16" s="329"/>
      <c r="J16" s="323">
        <v>10</v>
      </c>
      <c r="K16" s="324"/>
      <c r="L16" s="325"/>
      <c r="M16" s="289"/>
      <c r="N16" s="129"/>
      <c r="O16" s="129"/>
      <c r="P16" s="129"/>
      <c r="Q16" s="330"/>
      <c r="R16" s="330"/>
      <c r="S16" s="330"/>
    </row>
    <row r="17" spans="1:19">
      <c r="A17" s="189">
        <v>9</v>
      </c>
      <c r="B17" s="295" t="s">
        <v>252</v>
      </c>
      <c r="C17" s="295" t="s">
        <v>253</v>
      </c>
      <c r="D17" s="323">
        <v>10</v>
      </c>
      <c r="E17" s="324"/>
      <c r="F17" s="325"/>
      <c r="G17" s="327">
        <v>5</v>
      </c>
      <c r="H17" s="328"/>
      <c r="I17" s="329"/>
      <c r="J17" s="323">
        <v>10</v>
      </c>
      <c r="K17" s="324"/>
      <c r="L17" s="325"/>
      <c r="M17" s="289"/>
      <c r="N17" s="129"/>
      <c r="O17" s="129"/>
      <c r="P17" s="129"/>
      <c r="Q17" s="330"/>
      <c r="R17" s="330"/>
      <c r="S17" s="330"/>
    </row>
    <row r="18" spans="1:19">
      <c r="A18" s="189">
        <v>10</v>
      </c>
      <c r="B18" s="295" t="s">
        <v>254</v>
      </c>
      <c r="C18" s="295" t="s">
        <v>255</v>
      </c>
      <c r="D18" s="323">
        <v>9</v>
      </c>
      <c r="E18" s="324"/>
      <c r="F18" s="325"/>
      <c r="G18" s="327">
        <v>5</v>
      </c>
      <c r="H18" s="328"/>
      <c r="I18" s="329"/>
      <c r="J18" s="323">
        <v>9</v>
      </c>
      <c r="K18" s="324"/>
      <c r="L18" s="325"/>
      <c r="M18" s="289"/>
      <c r="N18" s="129"/>
      <c r="O18" s="129"/>
      <c r="P18" s="129"/>
      <c r="Q18" s="330"/>
      <c r="R18" s="330"/>
      <c r="S18" s="330"/>
    </row>
    <row r="19" spans="1:19">
      <c r="A19" s="189">
        <v>11</v>
      </c>
      <c r="B19" s="295" t="s">
        <v>256</v>
      </c>
      <c r="C19" s="295" t="s">
        <v>257</v>
      </c>
      <c r="D19" s="323">
        <v>10</v>
      </c>
      <c r="E19" s="324"/>
      <c r="F19" s="325"/>
      <c r="G19" s="327">
        <v>5</v>
      </c>
      <c r="H19" s="328"/>
      <c r="I19" s="329"/>
      <c r="J19" s="323">
        <v>10</v>
      </c>
      <c r="K19" s="324"/>
      <c r="L19" s="325"/>
      <c r="M19" s="289"/>
      <c r="N19" s="129"/>
      <c r="O19" s="129"/>
      <c r="P19" s="129"/>
      <c r="Q19" s="330"/>
      <c r="R19" s="330"/>
      <c r="S19" s="330"/>
    </row>
    <row r="20" spans="1:19">
      <c r="A20" s="189">
        <v>12</v>
      </c>
      <c r="B20" s="295" t="s">
        <v>258</v>
      </c>
      <c r="C20" s="295" t="s">
        <v>259</v>
      </c>
      <c r="D20" s="323">
        <v>9</v>
      </c>
      <c r="E20" s="324"/>
      <c r="F20" s="325"/>
      <c r="G20" s="327">
        <v>5</v>
      </c>
      <c r="H20" s="328"/>
      <c r="I20" s="329"/>
      <c r="J20" s="323">
        <v>10</v>
      </c>
      <c r="K20" s="324"/>
      <c r="L20" s="325"/>
      <c r="M20" s="289"/>
      <c r="N20" s="129"/>
      <c r="O20" s="129"/>
      <c r="P20" s="129"/>
      <c r="Q20" s="330"/>
      <c r="R20" s="330"/>
      <c r="S20" s="330"/>
    </row>
    <row r="21" spans="1:19">
      <c r="A21" s="189">
        <v>13</v>
      </c>
      <c r="B21" s="295" t="s">
        <v>260</v>
      </c>
      <c r="C21" s="295" t="s">
        <v>261</v>
      </c>
      <c r="D21" s="323">
        <v>10</v>
      </c>
      <c r="E21" s="324"/>
      <c r="F21" s="325"/>
      <c r="G21" s="327">
        <v>5</v>
      </c>
      <c r="H21" s="328"/>
      <c r="I21" s="329"/>
      <c r="J21" s="323">
        <v>10</v>
      </c>
      <c r="K21" s="324"/>
      <c r="L21" s="325"/>
      <c r="M21" s="289"/>
      <c r="N21" s="129"/>
      <c r="O21" s="129"/>
      <c r="P21" s="129"/>
      <c r="Q21" s="330"/>
      <c r="R21" s="330"/>
      <c r="S21" s="330"/>
    </row>
    <row r="22" spans="1:19">
      <c r="A22" s="189">
        <v>14</v>
      </c>
      <c r="B22" s="295" t="s">
        <v>262</v>
      </c>
      <c r="C22" s="295" t="s">
        <v>263</v>
      </c>
      <c r="D22" s="323">
        <v>10</v>
      </c>
      <c r="E22" s="324"/>
      <c r="F22" s="325"/>
      <c r="G22" s="327">
        <v>5</v>
      </c>
      <c r="H22" s="328"/>
      <c r="I22" s="329"/>
      <c r="J22" s="323">
        <v>10</v>
      </c>
      <c r="K22" s="324"/>
      <c r="L22" s="325"/>
      <c r="M22" s="289"/>
      <c r="N22" s="129"/>
      <c r="O22" s="129"/>
      <c r="P22" s="129"/>
      <c r="Q22" s="330"/>
      <c r="R22" s="330"/>
      <c r="S22" s="330"/>
    </row>
    <row r="23" spans="1:19">
      <c r="A23" s="189">
        <v>15</v>
      </c>
      <c r="B23" s="295" t="s">
        <v>264</v>
      </c>
      <c r="C23" s="295" t="s">
        <v>265</v>
      </c>
      <c r="D23" s="323">
        <v>9</v>
      </c>
      <c r="E23" s="324"/>
      <c r="F23" s="325"/>
      <c r="G23" s="327">
        <v>5</v>
      </c>
      <c r="H23" s="328"/>
      <c r="I23" s="329"/>
      <c r="J23" s="323">
        <v>9</v>
      </c>
      <c r="K23" s="324"/>
      <c r="L23" s="325"/>
      <c r="M23" s="289"/>
      <c r="N23" s="129"/>
      <c r="O23" s="129"/>
      <c r="P23" s="129"/>
      <c r="Q23" s="330"/>
      <c r="R23" s="330"/>
      <c r="S23" s="330"/>
    </row>
    <row r="24" spans="1:19">
      <c r="A24" s="189">
        <v>16</v>
      </c>
      <c r="B24" s="295" t="s">
        <v>266</v>
      </c>
      <c r="C24" s="295" t="s">
        <v>267</v>
      </c>
      <c r="D24" s="323">
        <v>10</v>
      </c>
      <c r="E24" s="324"/>
      <c r="F24" s="325"/>
      <c r="G24" s="327">
        <v>5</v>
      </c>
      <c r="H24" s="328"/>
      <c r="I24" s="329"/>
      <c r="J24" s="323">
        <v>10</v>
      </c>
      <c r="K24" s="324"/>
      <c r="L24" s="325"/>
      <c r="M24" s="289"/>
      <c r="N24" s="129"/>
      <c r="O24" s="129"/>
      <c r="P24" s="129"/>
      <c r="Q24" s="330"/>
      <c r="R24" s="330"/>
      <c r="S24" s="330"/>
    </row>
    <row r="25" spans="1:19">
      <c r="A25" s="189">
        <v>17</v>
      </c>
      <c r="B25" s="295" t="s">
        <v>268</v>
      </c>
      <c r="C25" s="295" t="s">
        <v>269</v>
      </c>
      <c r="D25" s="323">
        <v>9</v>
      </c>
      <c r="E25" s="324"/>
      <c r="F25" s="325"/>
      <c r="G25" s="327">
        <v>5</v>
      </c>
      <c r="H25" s="328"/>
      <c r="I25" s="329"/>
      <c r="J25" s="323">
        <v>9</v>
      </c>
      <c r="K25" s="324"/>
      <c r="L25" s="325"/>
      <c r="M25" s="289"/>
      <c r="N25" s="129"/>
      <c r="O25" s="129"/>
      <c r="P25" s="129"/>
      <c r="Q25" s="330"/>
      <c r="R25" s="330"/>
      <c r="S25" s="330"/>
    </row>
    <row r="26" spans="1:19">
      <c r="A26" s="189">
        <v>18</v>
      </c>
      <c r="B26" s="295" t="s">
        <v>270</v>
      </c>
      <c r="C26" s="295" t="s">
        <v>271</v>
      </c>
      <c r="D26" s="323">
        <v>10</v>
      </c>
      <c r="E26" s="324"/>
      <c r="F26" s="325"/>
      <c r="G26" s="327">
        <v>5</v>
      </c>
      <c r="H26" s="328"/>
      <c r="I26" s="329"/>
      <c r="J26" s="323">
        <v>9</v>
      </c>
      <c r="K26" s="324"/>
      <c r="L26" s="325"/>
      <c r="M26" s="289"/>
      <c r="N26" s="129"/>
      <c r="O26" s="129"/>
      <c r="P26" s="129"/>
      <c r="Q26" s="330"/>
      <c r="R26" s="330"/>
      <c r="S26" s="330"/>
    </row>
    <row r="27" spans="1:19">
      <c r="A27" s="189">
        <v>19</v>
      </c>
      <c r="B27" s="295" t="s">
        <v>272</v>
      </c>
      <c r="C27" s="295" t="s">
        <v>273</v>
      </c>
      <c r="D27" s="323">
        <v>9</v>
      </c>
      <c r="E27" s="324"/>
      <c r="F27" s="325"/>
      <c r="G27" s="327">
        <v>5</v>
      </c>
      <c r="H27" s="328"/>
      <c r="I27" s="329"/>
      <c r="J27" s="323">
        <v>9</v>
      </c>
      <c r="K27" s="324"/>
      <c r="L27" s="325"/>
      <c r="M27" s="289"/>
      <c r="N27" s="129"/>
      <c r="O27" s="129"/>
      <c r="P27" s="129"/>
      <c r="Q27" s="330"/>
      <c r="R27" s="330"/>
      <c r="S27" s="330"/>
    </row>
    <row r="28" spans="1:19">
      <c r="A28" s="189">
        <v>20</v>
      </c>
      <c r="B28" s="295" t="s">
        <v>274</v>
      </c>
      <c r="C28" s="295" t="s">
        <v>275</v>
      </c>
      <c r="D28" s="323">
        <v>9</v>
      </c>
      <c r="E28" s="324"/>
      <c r="F28" s="325"/>
      <c r="G28" s="327">
        <v>5</v>
      </c>
      <c r="H28" s="328"/>
      <c r="I28" s="329"/>
      <c r="J28" s="323">
        <v>10</v>
      </c>
      <c r="K28" s="324"/>
      <c r="L28" s="325"/>
      <c r="M28" s="289"/>
      <c r="N28" s="129"/>
      <c r="O28" s="129"/>
      <c r="P28" s="129"/>
      <c r="Q28" s="330"/>
      <c r="R28" s="330"/>
      <c r="S28" s="330"/>
    </row>
    <row r="29" spans="1:19">
      <c r="A29" s="189">
        <v>21</v>
      </c>
      <c r="B29" s="295" t="s">
        <v>276</v>
      </c>
      <c r="C29" s="295" t="s">
        <v>277</v>
      </c>
      <c r="D29" s="323">
        <v>8</v>
      </c>
      <c r="E29" s="324"/>
      <c r="F29" s="325"/>
      <c r="G29" s="327">
        <v>5</v>
      </c>
      <c r="H29" s="328"/>
      <c r="I29" s="329"/>
      <c r="J29" s="323">
        <v>10</v>
      </c>
      <c r="K29" s="324"/>
      <c r="L29" s="325"/>
      <c r="M29" s="289"/>
      <c r="N29" s="129"/>
      <c r="O29" s="129"/>
      <c r="P29" s="129"/>
      <c r="Q29" s="330"/>
      <c r="R29" s="330"/>
      <c r="S29" s="330"/>
    </row>
    <row r="30" spans="1:19">
      <c r="A30" s="189">
        <v>22</v>
      </c>
      <c r="B30" s="295" t="s">
        <v>278</v>
      </c>
      <c r="C30" s="295" t="s">
        <v>279</v>
      </c>
      <c r="D30" s="323">
        <v>9</v>
      </c>
      <c r="E30" s="324"/>
      <c r="F30" s="325"/>
      <c r="G30" s="327">
        <v>5</v>
      </c>
      <c r="H30" s="328"/>
      <c r="I30" s="329"/>
      <c r="J30" s="323">
        <v>10</v>
      </c>
      <c r="K30" s="324"/>
      <c r="L30" s="325"/>
      <c r="M30" s="289"/>
      <c r="N30" s="129"/>
      <c r="O30" s="129"/>
      <c r="P30" s="129"/>
      <c r="Q30" s="330"/>
      <c r="R30" s="330"/>
      <c r="S30" s="330"/>
    </row>
    <row r="31" spans="1:19">
      <c r="A31" s="189">
        <v>23</v>
      </c>
      <c r="B31" s="295" t="s">
        <v>280</v>
      </c>
      <c r="C31" s="295" t="s">
        <v>281</v>
      </c>
      <c r="D31" s="323">
        <v>9</v>
      </c>
      <c r="E31" s="324"/>
      <c r="F31" s="325"/>
      <c r="G31" s="327">
        <v>5</v>
      </c>
      <c r="H31" s="328"/>
      <c r="I31" s="329"/>
      <c r="J31" s="323">
        <v>9</v>
      </c>
      <c r="K31" s="324"/>
      <c r="L31" s="325"/>
      <c r="M31" s="289"/>
      <c r="N31" s="129"/>
      <c r="O31" s="129"/>
      <c r="P31" s="129"/>
      <c r="Q31" s="330"/>
      <c r="R31" s="330"/>
      <c r="S31" s="330"/>
    </row>
    <row r="32" spans="1:19" ht="30">
      <c r="A32" s="189">
        <v>24</v>
      </c>
      <c r="B32" s="295" t="s">
        <v>282</v>
      </c>
      <c r="C32" s="295" t="s">
        <v>283</v>
      </c>
      <c r="D32" s="323">
        <v>10</v>
      </c>
      <c r="E32" s="324"/>
      <c r="F32" s="325"/>
      <c r="G32" s="327">
        <v>5</v>
      </c>
      <c r="H32" s="328"/>
      <c r="I32" s="329"/>
      <c r="J32" s="323">
        <v>10</v>
      </c>
      <c r="K32" s="324"/>
      <c r="L32" s="325"/>
      <c r="M32" s="289"/>
      <c r="N32" s="129"/>
      <c r="O32" s="129"/>
      <c r="P32" s="129"/>
      <c r="Q32" s="330"/>
      <c r="R32" s="330"/>
      <c r="S32" s="330"/>
    </row>
    <row r="33" spans="1:19">
      <c r="A33" s="189">
        <v>25</v>
      </c>
      <c r="B33" s="295" t="s">
        <v>284</v>
      </c>
      <c r="C33" s="295" t="s">
        <v>285</v>
      </c>
      <c r="D33" s="323">
        <v>8</v>
      </c>
      <c r="E33" s="324"/>
      <c r="F33" s="325"/>
      <c r="G33" s="327">
        <v>5</v>
      </c>
      <c r="H33" s="328"/>
      <c r="I33" s="329"/>
      <c r="J33" s="323">
        <v>9</v>
      </c>
      <c r="K33" s="324"/>
      <c r="L33" s="325"/>
      <c r="M33" s="289"/>
      <c r="N33" s="129"/>
      <c r="O33" s="129"/>
      <c r="P33" s="129"/>
      <c r="Q33" s="330"/>
      <c r="R33" s="330"/>
      <c r="S33" s="330"/>
    </row>
    <row r="34" spans="1:19">
      <c r="A34" s="189">
        <v>26</v>
      </c>
      <c r="B34" s="295" t="s">
        <v>286</v>
      </c>
      <c r="C34" s="295" t="s">
        <v>287</v>
      </c>
      <c r="D34" s="323">
        <v>9</v>
      </c>
      <c r="E34" s="324"/>
      <c r="F34" s="325"/>
      <c r="G34" s="327">
        <v>5</v>
      </c>
      <c r="H34" s="328"/>
      <c r="I34" s="329"/>
      <c r="J34" s="323">
        <v>10</v>
      </c>
      <c r="K34" s="324"/>
      <c r="L34" s="325"/>
      <c r="M34" s="289"/>
      <c r="N34" s="129"/>
      <c r="O34" s="129"/>
      <c r="P34" s="129"/>
      <c r="Q34" s="330"/>
      <c r="R34" s="330"/>
      <c r="S34" s="330"/>
    </row>
    <row r="35" spans="1:19">
      <c r="A35" s="189">
        <v>27</v>
      </c>
      <c r="B35" s="295" t="s">
        <v>288</v>
      </c>
      <c r="C35" s="295" t="s">
        <v>289</v>
      </c>
      <c r="D35" s="323">
        <v>7</v>
      </c>
      <c r="E35" s="324"/>
      <c r="F35" s="325"/>
      <c r="G35" s="327">
        <v>5</v>
      </c>
      <c r="H35" s="328"/>
      <c r="I35" s="329"/>
      <c r="J35" s="323">
        <v>10</v>
      </c>
      <c r="K35" s="324"/>
      <c r="L35" s="325"/>
      <c r="M35" s="289"/>
      <c r="N35" s="129"/>
      <c r="O35" s="129"/>
      <c r="P35" s="129"/>
      <c r="Q35" s="330"/>
      <c r="R35" s="330"/>
      <c r="S35" s="330"/>
    </row>
    <row r="36" spans="1:19">
      <c r="A36" s="189">
        <v>28</v>
      </c>
      <c r="B36" s="295" t="s">
        <v>290</v>
      </c>
      <c r="C36" s="295" t="s">
        <v>291</v>
      </c>
      <c r="D36" s="323">
        <v>9</v>
      </c>
      <c r="E36" s="324"/>
      <c r="F36" s="325"/>
      <c r="G36" s="327">
        <v>5</v>
      </c>
      <c r="H36" s="328"/>
      <c r="I36" s="329"/>
      <c r="J36" s="323">
        <v>10</v>
      </c>
      <c r="K36" s="324"/>
      <c r="L36" s="325"/>
      <c r="M36" s="289"/>
      <c r="N36" s="129"/>
      <c r="O36" s="129"/>
      <c r="P36" s="129"/>
      <c r="Q36" s="330"/>
      <c r="R36" s="330"/>
      <c r="S36" s="330"/>
    </row>
    <row r="37" spans="1:19">
      <c r="A37" s="189">
        <v>29</v>
      </c>
      <c r="B37" s="295" t="s">
        <v>292</v>
      </c>
      <c r="C37" s="295" t="s">
        <v>293</v>
      </c>
      <c r="D37" s="323">
        <v>9</v>
      </c>
      <c r="E37" s="324"/>
      <c r="F37" s="325"/>
      <c r="G37" s="327">
        <v>5</v>
      </c>
      <c r="H37" s="328"/>
      <c r="I37" s="329"/>
      <c r="J37" s="323">
        <v>9</v>
      </c>
      <c r="K37" s="324"/>
      <c r="L37" s="325"/>
      <c r="M37" s="289"/>
      <c r="N37" s="129"/>
      <c r="O37" s="129"/>
      <c r="P37" s="129"/>
      <c r="Q37" s="330"/>
      <c r="R37" s="330"/>
      <c r="S37" s="330"/>
    </row>
    <row r="38" spans="1:19">
      <c r="A38" s="189">
        <v>30</v>
      </c>
      <c r="B38" s="295" t="s">
        <v>294</v>
      </c>
      <c r="C38" s="295" t="s">
        <v>295</v>
      </c>
      <c r="D38" s="323">
        <v>9</v>
      </c>
      <c r="E38" s="324"/>
      <c r="F38" s="325"/>
      <c r="G38" s="327">
        <v>5</v>
      </c>
      <c r="H38" s="328"/>
      <c r="I38" s="329"/>
      <c r="J38" s="323">
        <v>9</v>
      </c>
      <c r="K38" s="324"/>
      <c r="L38" s="325"/>
      <c r="M38" s="289"/>
      <c r="N38" s="129"/>
      <c r="O38" s="129"/>
      <c r="P38" s="129"/>
      <c r="Q38" s="330"/>
      <c r="R38" s="330"/>
      <c r="S38" s="330"/>
    </row>
    <row r="39" spans="1:19">
      <c r="A39" s="189">
        <v>31</v>
      </c>
      <c r="B39" s="295" t="s">
        <v>296</v>
      </c>
      <c r="C39" s="295" t="s">
        <v>297</v>
      </c>
      <c r="D39" s="323">
        <v>10</v>
      </c>
      <c r="E39" s="324"/>
      <c r="F39" s="325"/>
      <c r="G39" s="327">
        <v>5</v>
      </c>
      <c r="H39" s="328"/>
      <c r="I39" s="329"/>
      <c r="J39" s="323">
        <v>10</v>
      </c>
      <c r="K39" s="324"/>
      <c r="L39" s="325"/>
      <c r="M39" s="289"/>
      <c r="N39" s="129"/>
      <c r="O39" s="129"/>
      <c r="P39" s="129"/>
      <c r="Q39" s="330"/>
      <c r="R39" s="330"/>
      <c r="S39" s="330"/>
    </row>
    <row r="40" spans="1:19">
      <c r="A40" s="189">
        <v>32</v>
      </c>
      <c r="B40" s="295" t="s">
        <v>298</v>
      </c>
      <c r="C40" s="295" t="s">
        <v>299</v>
      </c>
      <c r="D40" s="323">
        <v>10</v>
      </c>
      <c r="E40" s="324"/>
      <c r="F40" s="325"/>
      <c r="G40" s="327">
        <v>5</v>
      </c>
      <c r="H40" s="328"/>
      <c r="I40" s="329"/>
      <c r="J40" s="323">
        <v>10</v>
      </c>
      <c r="K40" s="324"/>
      <c r="L40" s="325"/>
      <c r="M40" s="289"/>
      <c r="N40" s="129"/>
      <c r="O40" s="129"/>
      <c r="P40" s="129"/>
      <c r="Q40" s="330"/>
      <c r="R40" s="330"/>
      <c r="S40" s="330"/>
    </row>
    <row r="41" spans="1:19">
      <c r="A41" s="189">
        <v>33</v>
      </c>
      <c r="B41" s="295" t="s">
        <v>300</v>
      </c>
      <c r="C41" s="295" t="s">
        <v>301</v>
      </c>
      <c r="D41" s="323">
        <v>9</v>
      </c>
      <c r="E41" s="324"/>
      <c r="F41" s="325"/>
      <c r="G41" s="327">
        <v>5</v>
      </c>
      <c r="H41" s="328"/>
      <c r="I41" s="329"/>
      <c r="J41" s="323">
        <v>10</v>
      </c>
      <c r="K41" s="324"/>
      <c r="L41" s="325"/>
      <c r="M41" s="289"/>
      <c r="N41" s="129"/>
      <c r="O41" s="129"/>
      <c r="P41" s="129"/>
      <c r="Q41" s="330"/>
      <c r="R41" s="330"/>
      <c r="S41" s="330"/>
    </row>
    <row r="42" spans="1:19">
      <c r="A42" s="189">
        <v>34</v>
      </c>
      <c r="B42" s="295" t="s">
        <v>302</v>
      </c>
      <c r="C42" s="295" t="s">
        <v>303</v>
      </c>
      <c r="D42" s="323">
        <v>9</v>
      </c>
      <c r="E42" s="324"/>
      <c r="F42" s="325"/>
      <c r="G42" s="327">
        <v>5</v>
      </c>
      <c r="H42" s="328"/>
      <c r="I42" s="329"/>
      <c r="J42" s="323">
        <v>10</v>
      </c>
      <c r="K42" s="324"/>
      <c r="L42" s="325"/>
      <c r="M42" s="289"/>
      <c r="N42" s="129"/>
      <c r="O42" s="129"/>
      <c r="P42" s="129"/>
      <c r="Q42" s="330"/>
      <c r="R42" s="330"/>
      <c r="S42" s="330"/>
    </row>
    <row r="43" spans="1:19">
      <c r="A43" s="189">
        <v>35</v>
      </c>
      <c r="B43" s="295" t="s">
        <v>304</v>
      </c>
      <c r="C43" s="295" t="s">
        <v>305</v>
      </c>
      <c r="D43" s="323">
        <v>10</v>
      </c>
      <c r="E43" s="324"/>
      <c r="F43" s="325"/>
      <c r="G43" s="327">
        <v>5</v>
      </c>
      <c r="H43" s="328"/>
      <c r="I43" s="329"/>
      <c r="J43" s="323">
        <v>10</v>
      </c>
      <c r="K43" s="324"/>
      <c r="L43" s="325"/>
      <c r="M43" s="289"/>
      <c r="N43" s="129"/>
      <c r="O43" s="129"/>
      <c r="P43" s="129"/>
      <c r="Q43" s="330"/>
      <c r="R43" s="330"/>
      <c r="S43" s="330"/>
    </row>
    <row r="44" spans="1:19">
      <c r="A44" s="189">
        <v>36</v>
      </c>
      <c r="B44" s="295" t="s">
        <v>306</v>
      </c>
      <c r="C44" s="295" t="s">
        <v>307</v>
      </c>
      <c r="D44" s="323">
        <v>10</v>
      </c>
      <c r="E44" s="324"/>
      <c r="F44" s="325"/>
      <c r="G44" s="327">
        <v>5</v>
      </c>
      <c r="H44" s="328"/>
      <c r="I44" s="329"/>
      <c r="J44" s="323">
        <v>7</v>
      </c>
      <c r="K44" s="324"/>
      <c r="L44" s="325"/>
      <c r="M44" s="289"/>
      <c r="N44" s="129"/>
      <c r="O44" s="129"/>
      <c r="P44" s="129"/>
      <c r="Q44" s="330"/>
      <c r="R44" s="330"/>
      <c r="S44" s="330"/>
    </row>
    <row r="45" spans="1:19">
      <c r="A45" s="189">
        <v>37</v>
      </c>
      <c r="B45" s="295" t="s">
        <v>308</v>
      </c>
      <c r="C45" s="295" t="s">
        <v>309</v>
      </c>
      <c r="D45" s="323">
        <v>9</v>
      </c>
      <c r="E45" s="324"/>
      <c r="F45" s="325"/>
      <c r="G45" s="327">
        <v>5</v>
      </c>
      <c r="H45" s="328"/>
      <c r="I45" s="329"/>
      <c r="J45" s="323">
        <v>9</v>
      </c>
      <c r="K45" s="324"/>
      <c r="L45" s="325"/>
      <c r="M45" s="289"/>
      <c r="N45" s="129"/>
      <c r="O45" s="129"/>
      <c r="P45" s="129"/>
      <c r="Q45" s="330"/>
      <c r="R45" s="330"/>
      <c r="S45" s="330"/>
    </row>
    <row r="46" spans="1:19">
      <c r="A46" s="189">
        <v>38</v>
      </c>
      <c r="B46" s="295" t="s">
        <v>310</v>
      </c>
      <c r="C46" s="295" t="s">
        <v>311</v>
      </c>
      <c r="D46" s="323">
        <v>10</v>
      </c>
      <c r="E46" s="324"/>
      <c r="F46" s="325"/>
      <c r="G46" s="327">
        <v>5</v>
      </c>
      <c r="H46" s="328"/>
      <c r="I46" s="329"/>
      <c r="J46" s="323">
        <v>9</v>
      </c>
      <c r="K46" s="324"/>
      <c r="L46" s="325"/>
      <c r="M46" s="289"/>
      <c r="N46" s="129"/>
      <c r="O46" s="129"/>
      <c r="P46" s="129"/>
      <c r="Q46" s="330"/>
      <c r="R46" s="330"/>
      <c r="S46" s="330"/>
    </row>
    <row r="47" spans="1:19">
      <c r="A47" s="189">
        <v>39</v>
      </c>
      <c r="B47" s="295" t="s">
        <v>312</v>
      </c>
      <c r="C47" s="295" t="s">
        <v>313</v>
      </c>
      <c r="D47" s="323">
        <v>8</v>
      </c>
      <c r="E47" s="324"/>
      <c r="F47" s="325"/>
      <c r="G47" s="327">
        <v>5</v>
      </c>
      <c r="H47" s="328"/>
      <c r="I47" s="329"/>
      <c r="J47" s="323">
        <v>9</v>
      </c>
      <c r="K47" s="324"/>
      <c r="L47" s="325"/>
      <c r="M47" s="289"/>
      <c r="N47" s="129"/>
      <c r="O47" s="129"/>
      <c r="P47" s="129"/>
      <c r="Q47" s="330"/>
      <c r="R47" s="330"/>
      <c r="S47" s="330"/>
    </row>
    <row r="48" spans="1:19">
      <c r="A48" s="189">
        <v>40</v>
      </c>
      <c r="B48" s="295" t="s">
        <v>314</v>
      </c>
      <c r="C48" s="295" t="s">
        <v>315</v>
      </c>
      <c r="D48" s="323">
        <v>9.5</v>
      </c>
      <c r="E48" s="324"/>
      <c r="F48" s="325"/>
      <c r="G48" s="327">
        <v>5</v>
      </c>
      <c r="H48" s="328"/>
      <c r="I48" s="329"/>
      <c r="J48" s="323">
        <v>9</v>
      </c>
      <c r="K48" s="324"/>
      <c r="L48" s="325"/>
      <c r="M48" s="289"/>
      <c r="N48" s="129"/>
      <c r="O48" s="129"/>
      <c r="P48" s="129"/>
      <c r="Q48" s="330"/>
      <c r="R48" s="330"/>
      <c r="S48" s="330"/>
    </row>
    <row r="49" spans="1:19" ht="30">
      <c r="A49" s="189">
        <v>41</v>
      </c>
      <c r="B49" s="295" t="s">
        <v>316</v>
      </c>
      <c r="C49" s="295" t="s">
        <v>317</v>
      </c>
      <c r="D49" s="323">
        <v>10</v>
      </c>
      <c r="E49" s="324"/>
      <c r="F49" s="325"/>
      <c r="G49" s="327">
        <v>5</v>
      </c>
      <c r="H49" s="328"/>
      <c r="I49" s="329"/>
      <c r="J49" s="323">
        <v>9</v>
      </c>
      <c r="K49" s="324"/>
      <c r="L49" s="325"/>
      <c r="M49" s="289"/>
      <c r="N49" s="129"/>
      <c r="O49" s="129"/>
      <c r="P49" s="129"/>
      <c r="Q49" s="330"/>
      <c r="R49" s="330"/>
      <c r="S49" s="330"/>
    </row>
    <row r="50" spans="1:19">
      <c r="A50" s="189">
        <v>42</v>
      </c>
      <c r="B50" s="295" t="s">
        <v>318</v>
      </c>
      <c r="C50" s="295" t="s">
        <v>319</v>
      </c>
      <c r="D50" s="323">
        <v>10</v>
      </c>
      <c r="E50" s="324"/>
      <c r="F50" s="325"/>
      <c r="G50" s="327">
        <v>5</v>
      </c>
      <c r="H50" s="328"/>
      <c r="I50" s="329"/>
      <c r="J50" s="323">
        <v>10</v>
      </c>
      <c r="K50" s="324"/>
      <c r="L50" s="325"/>
      <c r="M50" s="289"/>
      <c r="N50" s="129"/>
      <c r="O50" s="129"/>
      <c r="P50" s="129"/>
      <c r="Q50" s="330"/>
      <c r="R50" s="330"/>
      <c r="S50" s="330"/>
    </row>
    <row r="51" spans="1:19">
      <c r="A51" s="189">
        <v>43</v>
      </c>
      <c r="B51" s="295" t="s">
        <v>320</v>
      </c>
      <c r="C51" s="295" t="s">
        <v>321</v>
      </c>
      <c r="D51" s="323">
        <v>10</v>
      </c>
      <c r="E51" s="324"/>
      <c r="F51" s="325"/>
      <c r="G51" s="327">
        <v>5</v>
      </c>
      <c r="H51" s="328"/>
      <c r="I51" s="329"/>
      <c r="J51" s="323">
        <v>10</v>
      </c>
      <c r="K51" s="324"/>
      <c r="L51" s="325"/>
      <c r="M51" s="289"/>
      <c r="N51" s="129"/>
      <c r="O51" s="129"/>
      <c r="P51" s="129"/>
      <c r="Q51" s="330"/>
      <c r="R51" s="330"/>
      <c r="S51" s="330"/>
    </row>
    <row r="52" spans="1:19">
      <c r="A52" s="189">
        <v>44</v>
      </c>
      <c r="B52" s="295" t="s">
        <v>322</v>
      </c>
      <c r="C52" s="295" t="s">
        <v>323</v>
      </c>
      <c r="D52" s="323">
        <v>9.5</v>
      </c>
      <c r="E52" s="324"/>
      <c r="F52" s="325"/>
      <c r="G52" s="327">
        <v>5</v>
      </c>
      <c r="H52" s="328"/>
      <c r="I52" s="329"/>
      <c r="J52" s="323">
        <v>8</v>
      </c>
      <c r="K52" s="324"/>
      <c r="L52" s="325"/>
      <c r="M52" s="289"/>
      <c r="N52" s="129"/>
      <c r="O52" s="129"/>
      <c r="P52" s="129"/>
      <c r="Q52" s="330"/>
      <c r="R52" s="330"/>
      <c r="S52" s="330"/>
    </row>
    <row r="53" spans="1:19">
      <c r="A53" s="189">
        <v>45</v>
      </c>
      <c r="B53" s="295" t="s">
        <v>324</v>
      </c>
      <c r="C53" s="295" t="s">
        <v>325</v>
      </c>
      <c r="D53" s="323">
        <v>9</v>
      </c>
      <c r="E53" s="324"/>
      <c r="F53" s="325"/>
      <c r="G53" s="327">
        <v>5</v>
      </c>
      <c r="H53" s="328"/>
      <c r="I53" s="329"/>
      <c r="J53" s="323">
        <v>9</v>
      </c>
      <c r="K53" s="324"/>
      <c r="L53" s="325"/>
      <c r="M53" s="289"/>
      <c r="N53" s="129"/>
      <c r="O53" s="129"/>
      <c r="P53" s="129"/>
      <c r="Q53" s="330"/>
      <c r="R53" s="330"/>
      <c r="S53" s="330"/>
    </row>
    <row r="54" spans="1:19">
      <c r="A54" s="189">
        <v>46</v>
      </c>
      <c r="B54" s="295" t="s">
        <v>327</v>
      </c>
      <c r="C54" s="295" t="s">
        <v>328</v>
      </c>
      <c r="D54" s="323">
        <v>9.5</v>
      </c>
      <c r="E54" s="324"/>
      <c r="F54" s="325"/>
      <c r="G54" s="327">
        <v>5</v>
      </c>
      <c r="H54" s="328"/>
      <c r="I54" s="329"/>
      <c r="J54" s="323">
        <v>10</v>
      </c>
      <c r="K54" s="324"/>
      <c r="L54" s="325"/>
      <c r="M54" s="289"/>
      <c r="N54" s="129"/>
      <c r="O54" s="129"/>
      <c r="P54" s="129"/>
      <c r="Q54" s="330"/>
      <c r="R54" s="330"/>
      <c r="S54" s="330"/>
    </row>
    <row r="55" spans="1:19" ht="15.75">
      <c r="A55" s="114">
        <v>47</v>
      </c>
      <c r="B55" s="296" t="s">
        <v>329</v>
      </c>
      <c r="C55" s="196" t="s">
        <v>330</v>
      </c>
      <c r="D55" s="323">
        <v>9</v>
      </c>
      <c r="E55" s="324"/>
      <c r="F55" s="325"/>
      <c r="G55" s="327">
        <v>5</v>
      </c>
      <c r="H55" s="328"/>
      <c r="I55" s="329"/>
      <c r="J55" s="323">
        <v>8</v>
      </c>
      <c r="K55" s="324"/>
      <c r="L55" s="325"/>
      <c r="M55" s="289"/>
      <c r="N55" s="129"/>
      <c r="O55" s="129"/>
      <c r="P55" s="129"/>
      <c r="Q55" s="330"/>
      <c r="R55" s="330"/>
      <c r="S55" s="330"/>
    </row>
    <row r="56" spans="1:19" ht="15.75">
      <c r="A56" s="115">
        <v>48</v>
      </c>
      <c r="B56" s="296" t="s">
        <v>331</v>
      </c>
      <c r="C56" s="196" t="s">
        <v>332</v>
      </c>
      <c r="D56" s="323">
        <v>10</v>
      </c>
      <c r="E56" s="324"/>
      <c r="F56" s="325"/>
      <c r="G56" s="327">
        <v>5</v>
      </c>
      <c r="H56" s="328"/>
      <c r="I56" s="329"/>
      <c r="J56" s="323">
        <v>9</v>
      </c>
      <c r="K56" s="324"/>
      <c r="L56" s="325"/>
      <c r="M56" s="289"/>
      <c r="N56" s="129"/>
      <c r="O56" s="129"/>
      <c r="P56" s="129"/>
      <c r="Q56" s="330"/>
      <c r="R56" s="330"/>
      <c r="S56" s="330"/>
    </row>
    <row r="57" spans="1:19" ht="15.75">
      <c r="A57" s="114">
        <v>49</v>
      </c>
      <c r="B57" s="296" t="s">
        <v>333</v>
      </c>
      <c r="C57" s="196" t="s">
        <v>334</v>
      </c>
      <c r="D57" s="323">
        <v>10</v>
      </c>
      <c r="E57" s="324"/>
      <c r="F57" s="325"/>
      <c r="G57" s="327">
        <v>5</v>
      </c>
      <c r="H57" s="328"/>
      <c r="I57" s="329"/>
      <c r="J57" s="323">
        <v>9</v>
      </c>
      <c r="K57" s="324"/>
      <c r="L57" s="325"/>
      <c r="M57" s="289"/>
      <c r="N57" s="129"/>
      <c r="O57" s="129"/>
      <c r="P57" s="129"/>
      <c r="Q57" s="330"/>
      <c r="R57" s="330"/>
      <c r="S57" s="330"/>
    </row>
    <row r="58" spans="1:19" ht="15.75">
      <c r="A58" s="115">
        <v>50</v>
      </c>
      <c r="B58" s="296" t="s">
        <v>335</v>
      </c>
      <c r="C58" s="196" t="s">
        <v>336</v>
      </c>
      <c r="D58" s="323">
        <v>10</v>
      </c>
      <c r="E58" s="324"/>
      <c r="F58" s="325"/>
      <c r="G58" s="327">
        <v>5</v>
      </c>
      <c r="H58" s="328"/>
      <c r="I58" s="329"/>
      <c r="J58" s="323">
        <v>10</v>
      </c>
      <c r="K58" s="324"/>
      <c r="L58" s="325"/>
      <c r="M58" s="289"/>
      <c r="N58" s="129"/>
      <c r="O58" s="129"/>
      <c r="P58" s="129"/>
      <c r="Q58" s="330"/>
      <c r="R58" s="330"/>
      <c r="S58" s="330"/>
    </row>
    <row r="59" spans="1:19" ht="15.75">
      <c r="A59" s="114">
        <v>51</v>
      </c>
      <c r="B59" s="296" t="s">
        <v>337</v>
      </c>
      <c r="C59" s="196" t="s">
        <v>338</v>
      </c>
      <c r="D59" s="323">
        <v>10</v>
      </c>
      <c r="E59" s="324"/>
      <c r="F59" s="325"/>
      <c r="G59" s="327">
        <v>5</v>
      </c>
      <c r="H59" s="328"/>
      <c r="I59" s="329"/>
      <c r="J59" s="323">
        <v>8</v>
      </c>
      <c r="K59" s="324"/>
      <c r="L59" s="325"/>
      <c r="M59" s="289"/>
      <c r="N59" s="129"/>
      <c r="O59" s="129"/>
      <c r="P59" s="129"/>
      <c r="Q59" s="330"/>
      <c r="R59" s="330"/>
      <c r="S59" s="330"/>
    </row>
    <row r="60" spans="1:19" ht="15.75">
      <c r="A60" s="115">
        <v>52</v>
      </c>
      <c r="B60" s="296" t="s">
        <v>339</v>
      </c>
      <c r="C60" s="299" t="s">
        <v>340</v>
      </c>
      <c r="D60" s="323">
        <v>10</v>
      </c>
      <c r="E60" s="324"/>
      <c r="F60" s="325"/>
      <c r="G60" s="327">
        <v>5</v>
      </c>
      <c r="H60" s="328"/>
      <c r="I60" s="329"/>
      <c r="J60" s="323">
        <v>9</v>
      </c>
      <c r="K60" s="324"/>
      <c r="L60" s="325"/>
      <c r="M60" s="289"/>
      <c r="N60" s="129"/>
      <c r="O60" s="129"/>
      <c r="P60" s="129"/>
      <c r="Q60" s="330"/>
      <c r="R60" s="330"/>
      <c r="S60" s="330"/>
    </row>
    <row r="61" spans="1:19" ht="15.75">
      <c r="A61" s="114">
        <v>53</v>
      </c>
      <c r="B61" s="197" t="s">
        <v>341</v>
      </c>
      <c r="C61" s="196" t="s">
        <v>342</v>
      </c>
      <c r="D61" s="323">
        <v>10</v>
      </c>
      <c r="E61" s="324"/>
      <c r="F61" s="325"/>
      <c r="G61" s="327">
        <v>5</v>
      </c>
      <c r="H61" s="328"/>
      <c r="I61" s="329"/>
      <c r="J61" s="323">
        <v>10</v>
      </c>
      <c r="K61" s="324"/>
      <c r="L61" s="325"/>
      <c r="M61" s="289"/>
      <c r="N61" s="129"/>
      <c r="O61" s="129"/>
      <c r="P61" s="129"/>
      <c r="Q61" s="330"/>
      <c r="R61" s="330"/>
      <c r="S61" s="330"/>
    </row>
    <row r="62" spans="1:19" ht="15.75">
      <c r="A62" s="115">
        <v>54</v>
      </c>
      <c r="B62" s="197" t="s">
        <v>343</v>
      </c>
      <c r="C62" s="196" t="s">
        <v>344</v>
      </c>
      <c r="D62" s="323">
        <v>10</v>
      </c>
      <c r="E62" s="324"/>
      <c r="F62" s="325"/>
      <c r="G62" s="327">
        <v>5</v>
      </c>
      <c r="H62" s="328"/>
      <c r="I62" s="329"/>
      <c r="J62" s="323">
        <v>9</v>
      </c>
      <c r="K62" s="324"/>
      <c r="L62" s="325"/>
      <c r="N62" s="129"/>
      <c r="O62" s="129"/>
      <c r="P62" s="129"/>
      <c r="Q62" s="331"/>
      <c r="R62" s="330"/>
      <c r="S62" s="330"/>
    </row>
    <row r="63" spans="1:19" ht="15.75">
      <c r="A63" s="115">
        <v>55</v>
      </c>
      <c r="B63" s="197" t="s">
        <v>345</v>
      </c>
      <c r="C63" s="196" t="s">
        <v>346</v>
      </c>
      <c r="D63" s="326">
        <v>9</v>
      </c>
      <c r="E63" s="326"/>
      <c r="F63" s="326"/>
      <c r="G63" s="327">
        <v>5</v>
      </c>
      <c r="H63" s="328"/>
      <c r="I63" s="329"/>
      <c r="J63" s="323">
        <v>10</v>
      </c>
      <c r="K63" s="324"/>
      <c r="L63" s="325"/>
      <c r="N63" s="129"/>
      <c r="O63" s="129"/>
      <c r="P63" s="129"/>
      <c r="Q63" s="330"/>
      <c r="R63" s="330"/>
      <c r="S63" s="330"/>
    </row>
    <row r="64" spans="1:19" ht="15.75">
      <c r="A64" s="114">
        <v>56</v>
      </c>
      <c r="B64" s="197" t="s">
        <v>347</v>
      </c>
      <c r="C64" s="196" t="s">
        <v>348</v>
      </c>
      <c r="D64" s="326">
        <v>8.5</v>
      </c>
      <c r="E64" s="326"/>
      <c r="F64" s="326"/>
      <c r="G64" s="327">
        <v>5</v>
      </c>
      <c r="H64" s="328"/>
      <c r="I64" s="329"/>
      <c r="J64" s="323">
        <v>6</v>
      </c>
      <c r="K64" s="324"/>
      <c r="L64" s="325"/>
      <c r="N64" s="129"/>
      <c r="O64" s="129"/>
      <c r="P64" s="129"/>
      <c r="Q64" s="289"/>
      <c r="R64" s="289"/>
      <c r="S64" s="289"/>
    </row>
    <row r="65" spans="1:19" ht="15.75">
      <c r="A65" s="115">
        <v>57</v>
      </c>
      <c r="B65" s="197" t="s">
        <v>349</v>
      </c>
      <c r="C65" s="196" t="s">
        <v>350</v>
      </c>
      <c r="D65" s="326">
        <v>9</v>
      </c>
      <c r="E65" s="326"/>
      <c r="F65" s="326"/>
      <c r="G65" s="327">
        <v>5</v>
      </c>
      <c r="H65" s="328"/>
      <c r="I65" s="329"/>
      <c r="J65" s="323">
        <v>9</v>
      </c>
      <c r="K65" s="324"/>
      <c r="L65" s="325"/>
      <c r="N65" s="129"/>
      <c r="O65" s="129"/>
      <c r="P65" s="129"/>
      <c r="Q65" s="289"/>
      <c r="R65" s="289"/>
      <c r="S65" s="289"/>
    </row>
    <row r="66" spans="1:19" ht="15.75">
      <c r="A66" s="114">
        <v>58</v>
      </c>
      <c r="B66" s="197" t="s">
        <v>351</v>
      </c>
      <c r="C66" s="196" t="s">
        <v>352</v>
      </c>
      <c r="D66" s="326">
        <v>10</v>
      </c>
      <c r="E66" s="326"/>
      <c r="F66" s="326"/>
      <c r="G66" s="327">
        <v>5</v>
      </c>
      <c r="H66" s="328"/>
      <c r="I66" s="329"/>
      <c r="J66" s="323">
        <v>10</v>
      </c>
      <c r="K66" s="324"/>
      <c r="L66" s="325"/>
      <c r="N66" s="129"/>
      <c r="O66" s="129"/>
      <c r="P66" s="129"/>
      <c r="Q66" s="289"/>
      <c r="R66" s="289"/>
      <c r="S66" s="289"/>
    </row>
    <row r="67" spans="1:19" ht="15.75">
      <c r="A67" s="183"/>
      <c r="B67" s="185"/>
      <c r="C67" s="184"/>
      <c r="D67" s="326"/>
      <c r="E67" s="326"/>
      <c r="F67" s="326"/>
      <c r="G67" s="327"/>
      <c r="H67" s="328"/>
      <c r="I67" s="329"/>
      <c r="J67" s="326"/>
      <c r="K67" s="326"/>
      <c r="L67" s="326"/>
      <c r="N67" s="341"/>
      <c r="O67" s="341"/>
      <c r="P67" s="341"/>
      <c r="Q67" s="289"/>
      <c r="R67" s="289"/>
      <c r="S67" s="289"/>
    </row>
    <row r="68" spans="1:19" ht="18">
      <c r="A68" s="182"/>
      <c r="B68" s="185"/>
      <c r="C68" s="184"/>
      <c r="D68" s="326"/>
      <c r="E68" s="326"/>
      <c r="F68" s="326"/>
      <c r="G68" s="327"/>
      <c r="H68" s="328"/>
      <c r="I68" s="329"/>
      <c r="J68" s="326"/>
      <c r="K68" s="326"/>
      <c r="L68" s="326"/>
      <c r="N68" s="341"/>
      <c r="O68" s="341"/>
      <c r="P68" s="341"/>
      <c r="Q68" s="289"/>
      <c r="R68" s="289"/>
      <c r="S68" s="289"/>
    </row>
    <row r="69" spans="1:19" ht="18">
      <c r="A69" s="182"/>
      <c r="B69" s="185"/>
      <c r="C69" s="184"/>
      <c r="D69" s="326"/>
      <c r="E69" s="326"/>
      <c r="F69" s="326"/>
      <c r="G69" s="327"/>
      <c r="H69" s="328"/>
      <c r="I69" s="329"/>
      <c r="J69" s="326"/>
      <c r="K69" s="326"/>
      <c r="L69" s="326"/>
      <c r="N69" s="341"/>
      <c r="O69" s="341"/>
      <c r="P69" s="341"/>
      <c r="Q69" s="289"/>
      <c r="R69" s="289"/>
      <c r="S69" s="289"/>
    </row>
    <row r="70" spans="1:19">
      <c r="A70" s="186"/>
      <c r="B70" s="187"/>
      <c r="C70" s="188"/>
      <c r="D70" s="323"/>
      <c r="E70" s="324"/>
      <c r="F70" s="325"/>
      <c r="G70" s="323"/>
      <c r="H70" s="324"/>
      <c r="I70" s="325"/>
      <c r="J70" s="323"/>
      <c r="K70" s="324"/>
      <c r="L70" s="325"/>
      <c r="N70" s="330"/>
      <c r="O70" s="330"/>
      <c r="P70" s="330"/>
      <c r="Q70" s="289"/>
      <c r="R70" s="289"/>
      <c r="S70" s="289"/>
    </row>
    <row r="71" spans="1:19">
      <c r="A71" s="186"/>
      <c r="B71" s="187"/>
      <c r="C71" s="188"/>
      <c r="D71" s="323"/>
      <c r="E71" s="324"/>
      <c r="F71" s="325"/>
      <c r="G71" s="323"/>
      <c r="H71" s="324"/>
      <c r="I71" s="325"/>
      <c r="J71" s="323"/>
      <c r="K71" s="324"/>
      <c r="L71" s="325"/>
      <c r="N71" s="330"/>
      <c r="O71" s="330"/>
      <c r="P71" s="330"/>
      <c r="Q71" s="289"/>
      <c r="R71" s="289"/>
      <c r="S71" s="289"/>
    </row>
    <row r="72" spans="1:19">
      <c r="A72" s="186"/>
      <c r="B72" s="187"/>
      <c r="C72" s="188"/>
      <c r="D72" s="323"/>
      <c r="E72" s="324"/>
      <c r="F72" s="325"/>
      <c r="G72" s="323"/>
      <c r="H72" s="324"/>
      <c r="I72" s="325"/>
      <c r="J72" s="323"/>
      <c r="K72" s="324"/>
      <c r="L72" s="325"/>
      <c r="N72" s="288"/>
      <c r="O72" s="288"/>
      <c r="P72" s="288"/>
      <c r="Q72" s="289"/>
      <c r="R72" s="289"/>
      <c r="S72" s="289"/>
    </row>
    <row r="73" spans="1:19">
      <c r="A73" s="186"/>
      <c r="B73" s="187"/>
      <c r="C73" s="188"/>
      <c r="D73" s="323"/>
      <c r="E73" s="324"/>
      <c r="F73" s="325"/>
      <c r="G73" s="323"/>
      <c r="H73" s="324"/>
      <c r="I73" s="325"/>
      <c r="J73" s="323"/>
      <c r="K73" s="324"/>
      <c r="L73" s="325"/>
      <c r="N73" s="288"/>
      <c r="O73" s="288"/>
      <c r="P73" s="288"/>
      <c r="Q73" s="289"/>
      <c r="R73" s="289"/>
      <c r="S73" s="289"/>
    </row>
    <row r="74" spans="1:19" ht="26.25">
      <c r="C74" s="74" t="s">
        <v>194</v>
      </c>
      <c r="D74" s="335">
        <f>COUNTIFS(D9:D73,"&lt;&gt;AB",D9:D73,"&lt;&gt;NA",D9:D73,"&lt;&gt;")</f>
        <v>58</v>
      </c>
      <c r="E74" s="336"/>
      <c r="F74" s="337"/>
      <c r="G74" s="335">
        <f t="shared" ref="G74" si="2">COUNTIFS(G9:G73,"&lt;&gt;AB",G9:G73,"&lt;&gt;NA",G9:G73,"&lt;&gt;")</f>
        <v>58</v>
      </c>
      <c r="H74" s="336"/>
      <c r="I74" s="337"/>
      <c r="J74" s="335">
        <f t="shared" ref="J74" si="3">COUNTIFS(J9:J73,"&lt;&gt;AB",J9:J73,"&lt;&gt;NA",J9:J73,"&lt;&gt;")</f>
        <v>58</v>
      </c>
      <c r="K74" s="336"/>
      <c r="L74" s="337"/>
    </row>
    <row r="75" spans="1:19" ht="23.25" customHeight="1">
      <c r="C75" s="229" t="s">
        <v>353</v>
      </c>
      <c r="D75" s="332">
        <f>SUM(D9:D73)</f>
        <v>545</v>
      </c>
      <c r="E75" s="333"/>
      <c r="F75" s="334"/>
      <c r="G75" s="332">
        <f t="shared" ref="G75" si="4">SUM(G9:G73)</f>
        <v>290</v>
      </c>
      <c r="H75" s="333"/>
      <c r="I75" s="334"/>
      <c r="J75" s="332">
        <f t="shared" ref="J75" si="5">SUM(J9:J73)</f>
        <v>544</v>
      </c>
      <c r="K75" s="333"/>
      <c r="L75" s="334"/>
    </row>
    <row r="76" spans="1:19" ht="15.75">
      <c r="B76" s="16"/>
      <c r="C76" s="231" t="s">
        <v>195</v>
      </c>
      <c r="D76" s="291">
        <f>IF(D74&lt;&gt;0,((D75/D74)/D6)*100,0)</f>
        <v>93.965517241379303</v>
      </c>
      <c r="E76" s="292">
        <f>IF(D74&lt;&gt;0,((D75/D74)/D6)*100,0)</f>
        <v>93.965517241379303</v>
      </c>
      <c r="F76" s="293">
        <f>IF(D74&lt;&gt;0,((D75/D74)/D6)*100,0)</f>
        <v>93.965517241379303</v>
      </c>
      <c r="G76" s="291">
        <f>IF(G74&lt;&gt;0,((G75/G74)/G6)*100,0)</f>
        <v>100</v>
      </c>
      <c r="H76" s="292">
        <f>IF(G74&lt;&gt;0,((G75/G74)/G6)*100,0)</f>
        <v>100</v>
      </c>
      <c r="I76" s="293">
        <f>IF(G74&lt;&gt;0,((G75/G74)/G6)*100,0)</f>
        <v>100</v>
      </c>
      <c r="J76" s="291">
        <f>IF(J74&lt;&gt;0,((J75/J74)/J6)*100,0)</f>
        <v>93.793103448275843</v>
      </c>
      <c r="K76" s="292">
        <f>IF(J74&lt;&gt;0,((J75/J74)/J6)*100,0)</f>
        <v>93.793103448275843</v>
      </c>
      <c r="L76" s="292">
        <f>IF(J74&lt;&gt;0,((J75/J74)/J6)*100,0)</f>
        <v>93.793103448275843</v>
      </c>
    </row>
    <row r="80" spans="1:19" ht="45">
      <c r="C80" s="39" t="s">
        <v>35</v>
      </c>
      <c r="D80" s="37" t="s">
        <v>27</v>
      </c>
      <c r="E80" s="37" t="s">
        <v>28</v>
      </c>
      <c r="F80" s="37" t="s">
        <v>29</v>
      </c>
      <c r="G80" s="37" t="s">
        <v>30</v>
      </c>
      <c r="H80" s="37" t="s">
        <v>31</v>
      </c>
      <c r="I80" s="37" t="s">
        <v>63</v>
      </c>
      <c r="J80" s="37" t="s">
        <v>65</v>
      </c>
      <c r="K80" s="37" t="s">
        <v>68</v>
      </c>
      <c r="L80" s="37" t="s">
        <v>76</v>
      </c>
      <c r="M80" s="37" t="s">
        <v>77</v>
      </c>
      <c r="N80" s="17"/>
      <c r="P80"/>
    </row>
    <row r="81" spans="3:16" ht="18.75">
      <c r="C81" s="38" t="s">
        <v>73</v>
      </c>
      <c r="D81" s="21">
        <f>IF(COUNTIFS($D$5:$L$5,"=1",$D76:$L76,"&lt;&gt;0")=0,0,SUMIF($D$5:$L$5,"=1",$D76:$L76)/COUNTIFS($D$5:$L$5,"=1",$D76:$L76,"&lt;&gt;0"))</f>
        <v>0</v>
      </c>
      <c r="E81" s="21">
        <f>IF(COUNTIFS($D$5:$L$5,"=2",$D76:$L76,"&lt;&gt;0")=0,0,SUMIF($D$5:$L$5,"=2",$D76:$L76)/COUNTIFS($D$5:$L$5,"=2",$D76:$L76,"&lt;&gt;0"))</f>
        <v>0</v>
      </c>
      <c r="F81" s="21">
        <f>IF(COUNTIFS($D$5:$L$5,"=3",$D76:$L76,"&lt;&gt;0")=0,0,SUMIF($D$5:$L$5,"=3",$D76:$L76)/COUNTIFS($D$5:$L$5,"=3",$D76:$L76,"&lt;&gt;0"))</f>
        <v>0</v>
      </c>
      <c r="G81" s="21">
        <f>IF(COUNTIFS($D$5:$L$5,"=4",$D76:$L76,"&lt;&gt;0")=0,0,SUMIF($D$5:$L$5,"=4",$D76:$L76)/COUNTIFS($D$5:$L$5,"=4",$D76:$L76,"&lt;&gt;0"))</f>
        <v>96.982758620689651</v>
      </c>
      <c r="H81" s="21">
        <f>IF(COUNTIFS($D$5:$L$5,"=5",$D76:$L76,"&lt;&gt;0")=0,0,SUMIF($D$5:$L$5,"=5",$D76:$L76)/COUNTIFS($D$5:$L$5,"=5",$D76:$L76,"&lt;&gt;0"))</f>
        <v>93.793103448275858</v>
      </c>
      <c r="I81" s="21">
        <f>IF(COUNTIFS($D$5:$L$5,"=6",$D76:$L76,"&lt;&gt;0")=0,0,SUMIF($D$5:$L$5,"=6",$D76:$L76)/COUNTIFS($D$5:$L$5,"=6",$D76:$L76,"&lt;&gt;0"))</f>
        <v>0</v>
      </c>
      <c r="J81" s="21">
        <f>IF(COUNTIFS($D$5:$L$5,"=7",$D76:$L76,"&lt;&gt;0")=0,0,SUMIF($D$5:$L$5,"=7",$D76:$L76)/COUNTIFS($D$5:$L$5,"=7",$D76:$L76,"&lt;&gt;0"))</f>
        <v>0</v>
      </c>
      <c r="K81" s="21">
        <f>IF(COUNTIFS($D$5:$L$5,"=8",$D76:$L76,"&lt;&gt;0")=0,0,SUMIF($D$5:$L$5,"=8",$D76:$L76)/COUNTIFS($D$5:$L$5,"=8",$D76:$L76,"&lt;&gt;0"))</f>
        <v>0</v>
      </c>
      <c r="L81" s="21">
        <f>IF(COUNTIFS($D$5:$L$5,"=9",$D76:$L76,"&lt;&gt;0")=0,0,SUMIF($D$5:$L$5,"=9",$D76:$L76)/COUNTIFS($D$5:$L$5,"=9",$D76:$L76,"&lt;&gt;0"))</f>
        <v>0</v>
      </c>
      <c r="M81" s="21">
        <f>IF(COUNTIFS($D$5:$L$5,"=10",$D76:$L76,"&lt;&gt;0")=0,0,SUMIF($D$5:$L$5,"=10",$D76:$L76)/COUNTIFS($D$5:$L$5,"=10",$D76:$L76,"&lt;&gt;0"))</f>
        <v>0</v>
      </c>
      <c r="N81" s="17"/>
      <c r="P81"/>
    </row>
    <row r="88" spans="3:16" ht="30">
      <c r="C88" s="39" t="s">
        <v>57</v>
      </c>
      <c r="D88" s="37" t="s">
        <v>45</v>
      </c>
      <c r="E88" s="37" t="s">
        <v>46</v>
      </c>
      <c r="F88" s="37" t="s">
        <v>47</v>
      </c>
      <c r="G88" s="37" t="s">
        <v>48</v>
      </c>
      <c r="H88" s="37" t="s">
        <v>49</v>
      </c>
      <c r="I88" s="37" t="s">
        <v>50</v>
      </c>
      <c r="J88" s="37" t="s">
        <v>51</v>
      </c>
      <c r="K88" s="37" t="s">
        <v>52</v>
      </c>
      <c r="L88" s="37" t="s">
        <v>53</v>
      </c>
      <c r="M88" s="37" t="s">
        <v>54</v>
      </c>
      <c r="N88" s="37" t="s">
        <v>55</v>
      </c>
      <c r="O88" s="37" t="s">
        <v>56</v>
      </c>
    </row>
    <row r="89" spans="3:16" ht="18.75">
      <c r="C89" s="38" t="s">
        <v>25</v>
      </c>
      <c r="D89" s="21">
        <f>IF(COUNTIFS($D$4:$L$4,"=*1*",$D76:$L76,"&lt;&gt;0")=0,0,SUMIF($D$4:$L$4,"=*1*",$D76:$L76)/COUNTIFS($D$4:$L$4,"=*1*",$D76:$L76,"&lt;&gt;0"))</f>
        <v>0</v>
      </c>
      <c r="E89" s="21">
        <f>IF(COUNTIFS($D$4:$L$4,"=*2*",$D76:$L76,"&lt;&gt;0")=0,0,SUMIF($D$4:$L$4,"=*2*",$D76:$L76)/COUNTIFS($D$4:$L$4,"=*2*",$D76:$L76,"&lt;&gt;0"))</f>
        <v>0</v>
      </c>
      <c r="F89" s="21">
        <f>IF(COUNTIFS($D$4:$L$4,"=*3*",$D76:$L76,"&lt;&gt;0")=0,0,SUMIF($D$4:$L$4,"=*3*",$D76:$L76)/COUNTIFS($D$4:$L$4,"=*3*",$D76:$L76,"&lt;&gt;0"))</f>
        <v>0</v>
      </c>
      <c r="G89" s="21">
        <f>IF(COUNTIFS($D$4:$L$4,"=*4*",$D76:$L76,"&lt;&gt;0")=0,0,SUMIF($D$4:$L$4,"=*4*",$D76:$L76)/COUNTIFS($D$4:$L$4,"=*4*",$D76:$L76,"&lt;&gt;0"))</f>
        <v>0</v>
      </c>
      <c r="H89" s="21">
        <f>IF(COUNTIFS($D$4:$L$4,"=*5*",$D76:$L76,"&lt;&gt;0")=0,0,SUMIF($D$4:$L$4,"=*5*",$D76:$L76)/COUNTIFS($D$4:$L$4,"=*5*",$D76:$L76,"&lt;&gt;0"))</f>
        <v>0</v>
      </c>
      <c r="I89" s="21">
        <f>IF(COUNTIFS($D$4:$L$4,"=*6*",$D76:$L76,"&lt;&gt;0")=0,0,SUMIF($D$4:$L$4,"=*6*",$D76:$L76)/COUNTIFS($D$4:$L$4,"=*6*",$D76:$L76,"&lt;&gt;0"))</f>
        <v>0</v>
      </c>
      <c r="J89" s="21">
        <f>IF(COUNTIFS($D$4:$L$4,"=*7*",$D76:$L76,"&lt;&gt;0")=0,0,SUMIF($D$4:$L$4,"=*7*",$D76:$L76)/COUNTIFS($D$4:$L$4,"=*7*",$D76:$L76,"&lt;&gt;0"))</f>
        <v>0</v>
      </c>
      <c r="K89" s="21">
        <f>IF(COUNTIFS($D$4:$L$4,"=*8*",$D76:$L76,"&lt;&gt;0")=0,0,SUMIF($D$4:$L$4,"=*8*",$D76:$L76)/COUNTIFS($D$4:$L$4,"=*8*",$D76:$L76,"&lt;&gt;0"))</f>
        <v>0</v>
      </c>
      <c r="L89" s="21">
        <f>IF(COUNTIFS($D$4:$L$4,"=*9*",$D76:$L76,"&lt;&gt;0")=0,0,SUMIF($D$4:$L$4,"=*9*",$D76:$L76)/COUNTIFS($D$4:$L$4,"=*9*",$D76:$L76,"&lt;&gt;0"))</f>
        <v>0</v>
      </c>
      <c r="M89" s="21">
        <f>IF(COUNTIFS($D$4:$L$4,"=*10*",$D76:$L76,"&lt;&gt;0")=0,0,SUMIF($D$4:$L$4,"=*10*",$D76:$L76)/COUNTIFS($D$4:$L$4,"=*10*",$D76:$L76,"&lt;&gt;0"))</f>
        <v>0</v>
      </c>
      <c r="N89" s="21">
        <f>IF(COUNTIFS($D$4:$L$4,"=*11*",$D76:$L76,"&lt;&gt;0")=0,0,SUMIF($D$4:$L$4,"=*11*",$D76:$L76)/COUNTIFS($D$4:$L$4,"=*11*",$D76:$L76,"&lt;&gt;0"))</f>
        <v>0</v>
      </c>
      <c r="O89" s="21">
        <f>IF(COUNTIFS($D$4:$L$4,"=*12*",$D76:$L76,"&lt;&gt;0")=0,0,SUMIF($D$4:$L$4,"=*12*",$D76:$L76)/COUNTIFS($D$4:$L$4,"=*12*",$D76:$L76,"&lt;&gt;0"))</f>
        <v>0</v>
      </c>
    </row>
  </sheetData>
  <mergeCells count="270">
    <mergeCell ref="N67:P67"/>
    <mergeCell ref="N68:P68"/>
    <mergeCell ref="N69:P69"/>
    <mergeCell ref="N70:P70"/>
    <mergeCell ref="N71:P71"/>
    <mergeCell ref="D13:F13"/>
    <mergeCell ref="J9:L9"/>
    <mergeCell ref="J10:L10"/>
    <mergeCell ref="J11:L11"/>
    <mergeCell ref="J12:L12"/>
    <mergeCell ref="G13:I13"/>
    <mergeCell ref="J13:L13"/>
    <mergeCell ref="D61:F61"/>
    <mergeCell ref="D62:F62"/>
    <mergeCell ref="D52:F52"/>
    <mergeCell ref="D53:F53"/>
    <mergeCell ref="D63:F63"/>
    <mergeCell ref="D42:F42"/>
    <mergeCell ref="D43:F43"/>
    <mergeCell ref="D44:F44"/>
    <mergeCell ref="D45:F45"/>
    <mergeCell ref="D54:F54"/>
    <mergeCell ref="D55:F55"/>
    <mergeCell ref="D56:F56"/>
    <mergeCell ref="D8:F8"/>
    <mergeCell ref="G14:I14"/>
    <mergeCell ref="D14:F14"/>
    <mergeCell ref="J14:L14"/>
    <mergeCell ref="D6:F6"/>
    <mergeCell ref="G8:I8"/>
    <mergeCell ref="G6:I6"/>
    <mergeCell ref="D9:F9"/>
    <mergeCell ref="D10:F10"/>
    <mergeCell ref="D11:F11"/>
    <mergeCell ref="D7:F7"/>
    <mergeCell ref="D12:F12"/>
    <mergeCell ref="J8:L8"/>
    <mergeCell ref="J6:L6"/>
    <mergeCell ref="G9:I9"/>
    <mergeCell ref="G10:I10"/>
    <mergeCell ref="G11:I11"/>
    <mergeCell ref="G12:I12"/>
    <mergeCell ref="G45:I45"/>
    <mergeCell ref="G46:I46"/>
    <mergeCell ref="G47:I47"/>
    <mergeCell ref="D57:F57"/>
    <mergeCell ref="D58:F58"/>
    <mergeCell ref="D38:F38"/>
    <mergeCell ref="D46:F46"/>
    <mergeCell ref="D47:F47"/>
    <mergeCell ref="D48:F48"/>
    <mergeCell ref="D49:F49"/>
    <mergeCell ref="D50:F50"/>
    <mergeCell ref="D51:F51"/>
    <mergeCell ref="G27:I27"/>
    <mergeCell ref="G28:I28"/>
    <mergeCell ref="G29:I29"/>
    <mergeCell ref="G30:I30"/>
    <mergeCell ref="D27:F27"/>
    <mergeCell ref="D28:F28"/>
    <mergeCell ref="D29:F29"/>
    <mergeCell ref="D30:F30"/>
    <mergeCell ref="D31:F31"/>
    <mergeCell ref="D19:F19"/>
    <mergeCell ref="D59:F59"/>
    <mergeCell ref="D60:F60"/>
    <mergeCell ref="D40:F40"/>
    <mergeCell ref="D41:F41"/>
    <mergeCell ref="D39:F39"/>
    <mergeCell ref="D36:F36"/>
    <mergeCell ref="D37:F37"/>
    <mergeCell ref="D34:F34"/>
    <mergeCell ref="D32:F32"/>
    <mergeCell ref="D33:F33"/>
    <mergeCell ref="G15:I15"/>
    <mergeCell ref="G16:I16"/>
    <mergeCell ref="G17:I17"/>
    <mergeCell ref="G18:I18"/>
    <mergeCell ref="G25:I25"/>
    <mergeCell ref="G26:I26"/>
    <mergeCell ref="D35:F35"/>
    <mergeCell ref="D18:F18"/>
    <mergeCell ref="D20:F20"/>
    <mergeCell ref="D21:F21"/>
    <mergeCell ref="D22:F22"/>
    <mergeCell ref="D23:F23"/>
    <mergeCell ref="D15:F15"/>
    <mergeCell ref="D16:F16"/>
    <mergeCell ref="D17:F17"/>
    <mergeCell ref="G19:I19"/>
    <mergeCell ref="G20:I20"/>
    <mergeCell ref="G21:I21"/>
    <mergeCell ref="G22:I22"/>
    <mergeCell ref="G23:I23"/>
    <mergeCell ref="G24:I24"/>
    <mergeCell ref="D24:F24"/>
    <mergeCell ref="D25:F25"/>
    <mergeCell ref="D26:F26"/>
    <mergeCell ref="J15:L15"/>
    <mergeCell ref="G62:I62"/>
    <mergeCell ref="G63:I63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60:I60"/>
    <mergeCell ref="G61:I61"/>
    <mergeCell ref="G49:I49"/>
    <mergeCell ref="G50:I50"/>
    <mergeCell ref="G51:I51"/>
    <mergeCell ref="G52:I52"/>
    <mergeCell ref="G53:I53"/>
    <mergeCell ref="G59:I59"/>
    <mergeCell ref="G43:I43"/>
    <mergeCell ref="G44:I44"/>
    <mergeCell ref="J16:L16"/>
    <mergeCell ref="J17:L17"/>
    <mergeCell ref="J39:L39"/>
    <mergeCell ref="J46:L46"/>
    <mergeCell ref="J18:L18"/>
    <mergeCell ref="J19:L19"/>
    <mergeCell ref="J20:L20"/>
    <mergeCell ref="J21:L21"/>
    <mergeCell ref="J50:L50"/>
    <mergeCell ref="J51:L51"/>
    <mergeCell ref="J42:L42"/>
    <mergeCell ref="J43:L43"/>
    <mergeCell ref="J44:L44"/>
    <mergeCell ref="J22:L22"/>
    <mergeCell ref="J23:L23"/>
    <mergeCell ref="J24:L24"/>
    <mergeCell ref="J25:L25"/>
    <mergeCell ref="J26:L26"/>
    <mergeCell ref="J27:L27"/>
    <mergeCell ref="J34:L34"/>
    <mergeCell ref="J35:L35"/>
    <mergeCell ref="J36:L36"/>
    <mergeCell ref="J60:L60"/>
    <mergeCell ref="J61:L61"/>
    <mergeCell ref="G48:I48"/>
    <mergeCell ref="G37:I37"/>
    <mergeCell ref="G38:I38"/>
    <mergeCell ref="G39:I39"/>
    <mergeCell ref="G54:I54"/>
    <mergeCell ref="J54:L54"/>
    <mergeCell ref="G55:I55"/>
    <mergeCell ref="J55:L55"/>
    <mergeCell ref="G56:I56"/>
    <mergeCell ref="J56:L56"/>
    <mergeCell ref="G57:I57"/>
    <mergeCell ref="J57:L57"/>
    <mergeCell ref="G58:I58"/>
    <mergeCell ref="J58:L58"/>
    <mergeCell ref="J45:L45"/>
    <mergeCell ref="J40:L40"/>
    <mergeCell ref="J41:L41"/>
    <mergeCell ref="J52:L52"/>
    <mergeCell ref="J53:L53"/>
    <mergeCell ref="J59:L59"/>
    <mergeCell ref="J37:L37"/>
    <mergeCell ref="J38:L38"/>
    <mergeCell ref="D75:F75"/>
    <mergeCell ref="D74:F74"/>
    <mergeCell ref="G74:I74"/>
    <mergeCell ref="J74:L74"/>
    <mergeCell ref="G75:I75"/>
    <mergeCell ref="J75:L75"/>
    <mergeCell ref="G7:I7"/>
    <mergeCell ref="J7:L7"/>
    <mergeCell ref="J62:L62"/>
    <mergeCell ref="J63:L63"/>
    <mergeCell ref="J28:L28"/>
    <mergeCell ref="J29:L29"/>
    <mergeCell ref="J30:L30"/>
    <mergeCell ref="J31:L31"/>
    <mergeCell ref="J32:L32"/>
    <mergeCell ref="J33:L33"/>
    <mergeCell ref="J47:L47"/>
    <mergeCell ref="J48:L48"/>
    <mergeCell ref="J49:L49"/>
    <mergeCell ref="D73:F73"/>
    <mergeCell ref="G64:I64"/>
    <mergeCell ref="G65:I65"/>
    <mergeCell ref="G66:I66"/>
    <mergeCell ref="G67:I67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63:S6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G68:I68"/>
    <mergeCell ref="G69:I69"/>
    <mergeCell ref="G70:I70"/>
    <mergeCell ref="G71:I71"/>
    <mergeCell ref="G72:I72"/>
    <mergeCell ref="G73:I7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J73:L73"/>
    <mergeCell ref="J64:L64"/>
    <mergeCell ref="J65:L65"/>
    <mergeCell ref="J66:L66"/>
    <mergeCell ref="J67:L67"/>
    <mergeCell ref="J68:L68"/>
    <mergeCell ref="J69:L69"/>
    <mergeCell ref="J70:L70"/>
    <mergeCell ref="J71:L71"/>
    <mergeCell ref="J72:L72"/>
  </mergeCells>
  <conditionalFormatting sqref="C67:C73">
    <cfRule type="containsText" dxfId="7" priority="7" stopIfTrue="1" operator="containsText" text="F">
      <formula>NOT(ISERROR(SEARCH("F",C67)))</formula>
    </cfRule>
  </conditionalFormatting>
  <conditionalFormatting sqref="N10:N63">
    <cfRule type="containsText" dxfId="6" priority="3" stopIfTrue="1" operator="containsText" text="F">
      <formula>NOT(ISERROR(SEARCH("F",N10)))</formula>
    </cfRule>
  </conditionalFormatting>
  <conditionalFormatting sqref="C40:C41 C10:C38">
    <cfRule type="containsText" dxfId="5" priority="2" stopIfTrue="1" operator="containsText" text="F">
      <formula>NOT(ISERROR(SEARCH("F",C10)))</formula>
    </cfRule>
  </conditionalFormatting>
  <conditionalFormatting sqref="C9:C38 C58 C40:C41 C67:C73">
    <cfRule type="containsText" dxfId="4" priority="1" stopIfTrue="1" operator="containsText" text="F">
      <formula>NOT(ISERROR(SEARCH("F",C9)))</formula>
    </cfRule>
  </conditionalFormatting>
  <pageMargins left="0.7" right="0.7" top="0.75" bottom="0.75" header="0.3" footer="0.3"/>
  <pageSetup paperSize="9" scale="8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44"/>
  <sheetViews>
    <sheetView topLeftCell="G1" zoomScale="89" zoomScaleNormal="89" workbookViewId="0">
      <selection activeCell="H26" sqref="H26"/>
    </sheetView>
  </sheetViews>
  <sheetFormatPr defaultRowHeight="15"/>
  <cols>
    <col min="1" max="1" width="29.7109375" customWidth="1"/>
    <col min="2" max="2" width="8.28515625" style="143" customWidth="1"/>
    <col min="3" max="3" width="8.42578125" customWidth="1"/>
    <col min="4" max="4" width="6" customWidth="1"/>
    <col min="5" max="5" width="9" customWidth="1"/>
    <col min="6" max="6" width="8.140625" customWidth="1"/>
    <col min="7" max="7" width="4.5703125" bestFit="1" customWidth="1"/>
    <col min="8" max="8" width="10.85546875" customWidth="1"/>
    <col min="9" max="11" width="4.5703125" bestFit="1" customWidth="1"/>
    <col min="12" max="13" width="5.5703125" bestFit="1" customWidth="1"/>
    <col min="14" max="16" width="5.5703125" customWidth="1"/>
    <col min="17" max="17" width="5.5703125" bestFit="1" customWidth="1"/>
    <col min="18" max="18" width="2.85546875" customWidth="1"/>
    <col min="19" max="19" width="11.85546875" customWidth="1"/>
    <col min="20" max="21" width="6.85546875" customWidth="1"/>
    <col min="22" max="22" width="7.42578125" customWidth="1"/>
    <col min="23" max="23" width="6.7109375" customWidth="1"/>
    <col min="24" max="24" width="7.28515625" customWidth="1"/>
    <col min="25" max="25" width="6.5703125" customWidth="1"/>
    <col min="26" max="26" width="3.5703125" customWidth="1"/>
    <col min="29" max="29" width="8" customWidth="1"/>
    <col min="30" max="30" width="6.5703125" customWidth="1"/>
    <col min="31" max="31" width="6.28515625" customWidth="1"/>
    <col min="32" max="32" width="7.28515625" customWidth="1"/>
    <col min="33" max="33" width="6.85546875" customWidth="1"/>
  </cols>
  <sheetData>
    <row r="1" spans="1:33" ht="33.75" customHeight="1" thickBot="1">
      <c r="C1" s="72" t="s">
        <v>78</v>
      </c>
      <c r="D1" s="208">
        <v>3</v>
      </c>
      <c r="E1" s="72" t="s">
        <v>79</v>
      </c>
      <c r="F1" s="208">
        <v>2</v>
      </c>
      <c r="G1" s="72" t="s">
        <v>80</v>
      </c>
      <c r="H1" s="208">
        <v>1</v>
      </c>
      <c r="S1" s="265" t="s">
        <v>211</v>
      </c>
      <c r="T1" s="273" t="s">
        <v>212</v>
      </c>
      <c r="U1" s="268" t="s">
        <v>213</v>
      </c>
      <c r="V1" s="272">
        <v>3</v>
      </c>
      <c r="W1" s="266" t="s">
        <v>206</v>
      </c>
      <c r="X1" s="271">
        <v>4</v>
      </c>
      <c r="Y1" s="267" t="s">
        <v>207</v>
      </c>
      <c r="Z1" s="270">
        <v>5</v>
      </c>
      <c r="AA1" s="269" t="s">
        <v>215</v>
      </c>
      <c r="AB1" s="274" t="s">
        <v>216</v>
      </c>
    </row>
    <row r="2" spans="1:33" ht="15.75" thickBot="1">
      <c r="B2"/>
    </row>
    <row r="3" spans="1:33" ht="34.5" customHeight="1">
      <c r="A3" s="86" t="s">
        <v>169</v>
      </c>
      <c r="B3" s="172" t="s">
        <v>153</v>
      </c>
      <c r="C3" s="58" t="s">
        <v>45</v>
      </c>
      <c r="D3" s="58" t="s">
        <v>46</v>
      </c>
      <c r="E3" s="58" t="s">
        <v>47</v>
      </c>
      <c r="F3" s="58" t="s">
        <v>48</v>
      </c>
      <c r="G3" s="58" t="s">
        <v>49</v>
      </c>
      <c r="H3" s="58" t="s">
        <v>50</v>
      </c>
      <c r="I3" s="58" t="s">
        <v>51</v>
      </c>
      <c r="J3" s="58" t="s">
        <v>52</v>
      </c>
      <c r="K3" s="58" t="s">
        <v>53</v>
      </c>
      <c r="L3" s="58" t="s">
        <v>54</v>
      </c>
      <c r="M3" s="58" t="s">
        <v>55</v>
      </c>
      <c r="N3" s="58" t="s">
        <v>56</v>
      </c>
      <c r="O3" s="58" t="s">
        <v>107</v>
      </c>
      <c r="P3" s="58" t="s">
        <v>108</v>
      </c>
      <c r="Q3" s="58" t="s">
        <v>109</v>
      </c>
      <c r="S3" s="342" t="s">
        <v>172</v>
      </c>
      <c r="T3" s="343"/>
      <c r="U3" s="146" t="s">
        <v>135</v>
      </c>
      <c r="V3" s="37" t="s">
        <v>86</v>
      </c>
      <c r="W3" s="37" t="s">
        <v>87</v>
      </c>
      <c r="X3" s="247" t="s">
        <v>88</v>
      </c>
      <c r="Y3" s="249" t="s">
        <v>160</v>
      </c>
      <c r="AA3" s="342" t="s">
        <v>173</v>
      </c>
      <c r="AB3" s="343"/>
      <c r="AC3" s="200" t="s">
        <v>135</v>
      </c>
      <c r="AD3" s="37" t="s">
        <v>86</v>
      </c>
      <c r="AE3" s="37" t="s">
        <v>87</v>
      </c>
      <c r="AF3" s="247" t="s">
        <v>88</v>
      </c>
      <c r="AG3" s="249" t="s">
        <v>160</v>
      </c>
    </row>
    <row r="4" spans="1:33" ht="54" customHeight="1">
      <c r="A4" s="287" t="s">
        <v>224</v>
      </c>
      <c r="B4" s="171">
        <v>70</v>
      </c>
      <c r="C4" s="224">
        <v>3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>
        <v>1</v>
      </c>
      <c r="Q4" s="224"/>
      <c r="S4" s="149" t="s">
        <v>93</v>
      </c>
      <c r="T4" s="81" t="s">
        <v>89</v>
      </c>
      <c r="U4" s="163">
        <v>5</v>
      </c>
      <c r="V4" s="163" t="s">
        <v>232</v>
      </c>
      <c r="W4" s="163"/>
      <c r="X4" s="163"/>
      <c r="Y4" s="248">
        <v>1</v>
      </c>
      <c r="AA4" s="149" t="s">
        <v>174</v>
      </c>
      <c r="AB4" s="81" t="s">
        <v>89</v>
      </c>
      <c r="AC4" s="163">
        <v>10</v>
      </c>
      <c r="AD4" s="277" t="s">
        <v>232</v>
      </c>
      <c r="AE4" s="163"/>
      <c r="AF4" s="163"/>
      <c r="AG4" s="248">
        <v>1</v>
      </c>
    </row>
    <row r="5" spans="1:33" ht="57.75" customHeight="1">
      <c r="A5" s="225" t="s">
        <v>226</v>
      </c>
      <c r="B5" s="171">
        <v>70</v>
      </c>
      <c r="C5" s="212"/>
      <c r="D5" s="224">
        <v>3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24">
        <v>2</v>
      </c>
      <c r="Q5" s="224"/>
      <c r="S5" s="150"/>
      <c r="T5" s="81" t="s">
        <v>90</v>
      </c>
      <c r="U5" s="163">
        <v>5</v>
      </c>
      <c r="V5" s="163" t="s">
        <v>44</v>
      </c>
      <c r="W5" s="163"/>
      <c r="X5" s="163"/>
      <c r="Y5" s="164">
        <v>3</v>
      </c>
      <c r="AA5" s="214">
        <v>1</v>
      </c>
      <c r="AB5" s="81" t="s">
        <v>90</v>
      </c>
      <c r="AC5" s="163">
        <v>10</v>
      </c>
      <c r="AD5" s="277" t="s">
        <v>232</v>
      </c>
      <c r="AE5" s="163"/>
      <c r="AF5" s="163"/>
      <c r="AG5" s="164">
        <v>1</v>
      </c>
    </row>
    <row r="6" spans="1:33" ht="55.5" customHeight="1">
      <c r="A6" s="225" t="s">
        <v>227</v>
      </c>
      <c r="B6" s="171">
        <v>70</v>
      </c>
      <c r="C6" s="224"/>
      <c r="D6" s="224"/>
      <c r="E6" s="212">
        <v>3</v>
      </c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24">
        <v>3</v>
      </c>
      <c r="Q6" s="224">
        <v>2</v>
      </c>
      <c r="S6" s="150"/>
      <c r="T6" s="81" t="s">
        <v>91</v>
      </c>
      <c r="U6" s="163">
        <v>10</v>
      </c>
      <c r="V6" s="163" t="s">
        <v>62</v>
      </c>
      <c r="W6" s="163"/>
      <c r="X6" s="163"/>
      <c r="Y6" s="164">
        <v>4</v>
      </c>
      <c r="AA6" s="150"/>
      <c r="AB6" s="81" t="s">
        <v>91</v>
      </c>
      <c r="AC6" s="163"/>
      <c r="AD6" s="277"/>
      <c r="AE6" s="163"/>
      <c r="AF6" s="163"/>
      <c r="AG6" s="164"/>
    </row>
    <row r="7" spans="1:33" ht="82.5" customHeight="1">
      <c r="A7" s="225" t="s">
        <v>228</v>
      </c>
      <c r="B7" s="171">
        <v>70</v>
      </c>
      <c r="C7" s="224"/>
      <c r="D7" s="224"/>
      <c r="E7" s="224"/>
      <c r="F7" s="224"/>
      <c r="G7" s="212">
        <v>3</v>
      </c>
      <c r="H7" s="224"/>
      <c r="I7" s="224"/>
      <c r="J7" s="224"/>
      <c r="K7" s="224"/>
      <c r="L7" s="224"/>
      <c r="M7" s="224"/>
      <c r="N7" s="224"/>
      <c r="O7" s="224"/>
      <c r="P7" s="224">
        <v>3</v>
      </c>
      <c r="Q7" s="224"/>
      <c r="S7" s="150"/>
      <c r="T7" s="81" t="s">
        <v>92</v>
      </c>
      <c r="U7" s="163"/>
      <c r="V7" s="163"/>
      <c r="W7" s="163"/>
      <c r="X7" s="163"/>
      <c r="Y7" s="164"/>
      <c r="AA7" s="151"/>
      <c r="AB7" s="81" t="s">
        <v>92</v>
      </c>
      <c r="AC7" s="163"/>
      <c r="AD7" s="277"/>
      <c r="AE7" s="163"/>
      <c r="AF7" s="163"/>
      <c r="AG7" s="164"/>
    </row>
    <row r="8" spans="1:33" ht="61.5" customHeight="1">
      <c r="A8" s="225" t="s">
        <v>229</v>
      </c>
      <c r="B8" s="171">
        <v>70</v>
      </c>
      <c r="C8" s="212">
        <v>3</v>
      </c>
      <c r="D8" s="224">
        <v>3</v>
      </c>
      <c r="E8" s="212">
        <v>3</v>
      </c>
      <c r="F8" s="212">
        <v>2</v>
      </c>
      <c r="G8" s="212">
        <v>3</v>
      </c>
      <c r="H8" s="224">
        <v>2</v>
      </c>
      <c r="I8" s="224"/>
      <c r="J8" s="224"/>
      <c r="K8" s="224">
        <v>3</v>
      </c>
      <c r="L8" s="224">
        <v>3</v>
      </c>
      <c r="M8" s="224"/>
      <c r="N8" s="224">
        <v>1</v>
      </c>
      <c r="O8" s="224">
        <v>1</v>
      </c>
      <c r="P8" s="224">
        <v>3</v>
      </c>
      <c r="Q8" s="224">
        <v>2</v>
      </c>
      <c r="S8" s="150"/>
      <c r="T8" s="81" t="s">
        <v>94</v>
      </c>
      <c r="U8" s="163">
        <v>6</v>
      </c>
      <c r="V8" s="163" t="s">
        <v>232</v>
      </c>
      <c r="W8" s="163"/>
      <c r="X8" s="163"/>
      <c r="Y8" s="164">
        <v>1</v>
      </c>
      <c r="AA8" s="216" t="s">
        <v>174</v>
      </c>
      <c r="AB8" s="84" t="s">
        <v>94</v>
      </c>
      <c r="AC8" s="217">
        <v>10</v>
      </c>
      <c r="AD8" s="278" t="s">
        <v>59</v>
      </c>
      <c r="AE8" s="217"/>
      <c r="AF8" s="217"/>
      <c r="AG8" s="164">
        <v>5</v>
      </c>
    </row>
    <row r="9" spans="1:33" ht="15.75">
      <c r="A9" s="147" t="s">
        <v>63</v>
      </c>
      <c r="B9" s="145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S9" s="150"/>
      <c r="T9" s="81" t="s">
        <v>95</v>
      </c>
      <c r="U9" s="163">
        <v>8</v>
      </c>
      <c r="V9" s="163" t="s">
        <v>62</v>
      </c>
      <c r="W9" s="163"/>
      <c r="X9" s="163"/>
      <c r="Y9" s="164">
        <v>4</v>
      </c>
      <c r="AA9" s="218">
        <v>2</v>
      </c>
      <c r="AB9" s="84" t="s">
        <v>95</v>
      </c>
      <c r="AC9" s="217">
        <v>10</v>
      </c>
      <c r="AD9" s="278" t="s">
        <v>232</v>
      </c>
      <c r="AE9" s="217"/>
      <c r="AF9" s="217"/>
      <c r="AG9" s="164">
        <v>1</v>
      </c>
    </row>
    <row r="10" spans="1:33" ht="15.75">
      <c r="A10" s="147" t="s">
        <v>65</v>
      </c>
      <c r="B10" s="145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S10" s="150"/>
      <c r="T10" s="81" t="s">
        <v>96</v>
      </c>
      <c r="U10" s="163">
        <v>6</v>
      </c>
      <c r="V10" s="163" t="s">
        <v>44</v>
      </c>
      <c r="W10" s="163"/>
      <c r="X10" s="163"/>
      <c r="Y10" s="164">
        <v>3</v>
      </c>
      <c r="AA10" s="219"/>
      <c r="AB10" s="84" t="s">
        <v>96</v>
      </c>
      <c r="AC10" s="217"/>
      <c r="AD10" s="278"/>
      <c r="AE10" s="217"/>
      <c r="AF10" s="217"/>
      <c r="AG10" s="164"/>
    </row>
    <row r="11" spans="1:33" ht="15.75">
      <c r="A11" s="147" t="s">
        <v>68</v>
      </c>
      <c r="B11" s="145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S11" s="150"/>
      <c r="T11" s="81" t="s">
        <v>97</v>
      </c>
      <c r="U11" s="163"/>
      <c r="V11" s="163"/>
      <c r="W11" s="163"/>
      <c r="X11" s="163"/>
      <c r="Y11" s="164"/>
      <c r="AA11" s="220"/>
      <c r="AB11" s="84" t="s">
        <v>97</v>
      </c>
      <c r="AC11" s="217"/>
      <c r="AD11" s="278"/>
      <c r="AE11" s="217"/>
      <c r="AF11" s="217"/>
      <c r="AG11" s="164"/>
    </row>
    <row r="12" spans="1:33" ht="15.75">
      <c r="A12" s="147" t="s">
        <v>76</v>
      </c>
      <c r="B12" s="145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S12" s="150"/>
      <c r="T12" s="81" t="s">
        <v>98</v>
      </c>
      <c r="U12" s="163">
        <v>5</v>
      </c>
      <c r="V12" s="163" t="s">
        <v>232</v>
      </c>
      <c r="W12" s="163"/>
      <c r="X12" s="163"/>
      <c r="Y12" s="164">
        <v>2</v>
      </c>
      <c r="AA12" s="149" t="s">
        <v>174</v>
      </c>
      <c r="AB12" s="81" t="s">
        <v>98</v>
      </c>
      <c r="AC12" s="163">
        <v>10</v>
      </c>
      <c r="AD12" s="277" t="s">
        <v>59</v>
      </c>
      <c r="AE12" s="163"/>
      <c r="AF12" s="163"/>
      <c r="AG12" s="164">
        <v>5</v>
      </c>
    </row>
    <row r="13" spans="1:33" ht="15.75">
      <c r="A13" s="147" t="s">
        <v>77</v>
      </c>
      <c r="B13" s="145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S13" s="150"/>
      <c r="T13" s="81" t="s">
        <v>99</v>
      </c>
      <c r="U13" s="163">
        <v>10</v>
      </c>
      <c r="V13" s="163" t="s">
        <v>62</v>
      </c>
      <c r="W13" s="163"/>
      <c r="X13" s="163"/>
      <c r="Y13" s="164">
        <v>4</v>
      </c>
      <c r="AA13" s="214">
        <v>3</v>
      </c>
      <c r="AB13" s="81" t="s">
        <v>99</v>
      </c>
      <c r="AC13" s="163">
        <v>10</v>
      </c>
      <c r="AD13" s="277" t="s">
        <v>232</v>
      </c>
      <c r="AE13" s="163"/>
      <c r="AF13" s="163"/>
      <c r="AG13" s="164">
        <v>1</v>
      </c>
    </row>
    <row r="14" spans="1:33">
      <c r="C14" s="73">
        <f>SUM(C4:C13)</f>
        <v>6</v>
      </c>
      <c r="D14" s="73">
        <f t="shared" ref="D14:Q14" si="0">SUM(D4:D13)</f>
        <v>6</v>
      </c>
      <c r="E14" s="73">
        <f t="shared" si="0"/>
        <v>6</v>
      </c>
      <c r="F14" s="73">
        <f t="shared" si="0"/>
        <v>2</v>
      </c>
      <c r="G14" s="73">
        <f t="shared" si="0"/>
        <v>6</v>
      </c>
      <c r="H14" s="73">
        <f t="shared" si="0"/>
        <v>2</v>
      </c>
      <c r="I14" s="73">
        <f t="shared" si="0"/>
        <v>0</v>
      </c>
      <c r="J14" s="73">
        <f t="shared" si="0"/>
        <v>0</v>
      </c>
      <c r="K14" s="73">
        <f t="shared" si="0"/>
        <v>3</v>
      </c>
      <c r="L14" s="73">
        <f t="shared" si="0"/>
        <v>3</v>
      </c>
      <c r="M14" s="73">
        <f t="shared" si="0"/>
        <v>0</v>
      </c>
      <c r="N14" s="73">
        <f t="shared" si="0"/>
        <v>1</v>
      </c>
      <c r="O14" s="73">
        <f t="shared" si="0"/>
        <v>1</v>
      </c>
      <c r="P14" s="73">
        <f t="shared" si="0"/>
        <v>12</v>
      </c>
      <c r="Q14" s="73">
        <f t="shared" si="0"/>
        <v>4</v>
      </c>
      <c r="S14" s="150"/>
      <c r="T14" s="81" t="s">
        <v>100</v>
      </c>
      <c r="U14" s="163">
        <v>5</v>
      </c>
      <c r="V14" s="163" t="s">
        <v>44</v>
      </c>
      <c r="W14" s="163"/>
      <c r="X14" s="163"/>
      <c r="Y14" s="164">
        <v>3</v>
      </c>
      <c r="AA14" s="150"/>
      <c r="AB14" s="81" t="s">
        <v>100</v>
      </c>
      <c r="AC14" s="163"/>
      <c r="AD14" s="277"/>
      <c r="AE14" s="163"/>
      <c r="AF14" s="163"/>
      <c r="AG14" s="164"/>
    </row>
    <row r="15" spans="1:33">
      <c r="S15" s="151"/>
      <c r="T15" s="81" t="s">
        <v>101</v>
      </c>
      <c r="U15" s="81"/>
      <c r="V15" s="121"/>
      <c r="W15" s="121"/>
      <c r="X15" s="121"/>
      <c r="Y15" s="3"/>
      <c r="AA15" s="151"/>
      <c r="AB15" s="81" t="s">
        <v>101</v>
      </c>
      <c r="AC15" s="81"/>
      <c r="AD15" s="279"/>
      <c r="AE15" s="121"/>
      <c r="AF15" s="121"/>
      <c r="AG15" s="3"/>
    </row>
    <row r="16" spans="1:33" ht="15.75" thickBot="1">
      <c r="C16" s="353" t="s">
        <v>146</v>
      </c>
      <c r="D16" s="353"/>
      <c r="E16" s="353"/>
      <c r="F16" s="353"/>
      <c r="S16" s="152" t="s">
        <v>106</v>
      </c>
      <c r="T16" s="80" t="s">
        <v>89</v>
      </c>
      <c r="U16" s="165">
        <v>4</v>
      </c>
      <c r="V16" s="165" t="s">
        <v>232</v>
      </c>
      <c r="W16" s="165"/>
      <c r="X16" s="165"/>
      <c r="Y16" s="8">
        <v>1</v>
      </c>
      <c r="AA16" s="152" t="s">
        <v>174</v>
      </c>
      <c r="AB16" s="80" t="s">
        <v>175</v>
      </c>
      <c r="AC16" s="165">
        <v>10</v>
      </c>
      <c r="AD16" s="280" t="s">
        <v>62</v>
      </c>
      <c r="AE16" s="165"/>
      <c r="AF16" s="165"/>
      <c r="AG16" s="8">
        <v>4</v>
      </c>
    </row>
    <row r="17" spans="1:33" ht="23.25" customHeight="1">
      <c r="A17" s="354" t="s">
        <v>168</v>
      </c>
      <c r="B17" s="355"/>
      <c r="C17" s="20" t="s">
        <v>147</v>
      </c>
      <c r="D17" s="20" t="s">
        <v>148</v>
      </c>
      <c r="E17" s="20" t="s">
        <v>149</v>
      </c>
      <c r="F17" s="20" t="s">
        <v>150</v>
      </c>
      <c r="I17" s="160" t="s">
        <v>154</v>
      </c>
      <c r="J17" s="161"/>
      <c r="K17" s="161"/>
      <c r="L17" s="161"/>
      <c r="M17" s="161"/>
      <c r="N17" s="161"/>
      <c r="O17" s="161"/>
      <c r="P17" s="161"/>
      <c r="Q17" s="162"/>
      <c r="S17" s="153"/>
      <c r="T17" s="80" t="s">
        <v>90</v>
      </c>
      <c r="U17" s="165">
        <v>6</v>
      </c>
      <c r="V17" s="165" t="s">
        <v>44</v>
      </c>
      <c r="W17" s="165"/>
      <c r="X17" s="165"/>
      <c r="Y17" s="8">
        <v>3</v>
      </c>
      <c r="AA17" s="215">
        <v>4</v>
      </c>
      <c r="AB17" s="80" t="s">
        <v>176</v>
      </c>
      <c r="AC17" s="165">
        <v>10</v>
      </c>
      <c r="AD17" s="280" t="s">
        <v>59</v>
      </c>
      <c r="AE17" s="165"/>
      <c r="AF17" s="165"/>
      <c r="AG17" s="8">
        <v>5</v>
      </c>
    </row>
    <row r="18" spans="1:33">
      <c r="B18" s="145" t="s">
        <v>27</v>
      </c>
      <c r="C18" s="276">
        <v>79</v>
      </c>
      <c r="D18" s="276">
        <v>43</v>
      </c>
      <c r="E18" s="276">
        <v>10</v>
      </c>
      <c r="F18" s="276">
        <v>0</v>
      </c>
      <c r="H18" s="365" t="s">
        <v>157</v>
      </c>
      <c r="I18" s="326">
        <v>1</v>
      </c>
      <c r="J18" s="356" t="s">
        <v>230</v>
      </c>
      <c r="K18" s="356"/>
      <c r="L18" s="356"/>
      <c r="M18" s="356"/>
      <c r="N18" s="356"/>
      <c r="O18" s="356"/>
      <c r="P18" s="356"/>
      <c r="Q18" s="356"/>
      <c r="S18" s="153"/>
      <c r="T18" s="80" t="s">
        <v>91</v>
      </c>
      <c r="U18" s="165">
        <v>10</v>
      </c>
      <c r="V18" s="165" t="s">
        <v>59</v>
      </c>
      <c r="W18" s="165"/>
      <c r="X18" s="165"/>
      <c r="Y18" s="8">
        <v>5</v>
      </c>
      <c r="AA18" s="153"/>
      <c r="AB18" s="80" t="s">
        <v>177</v>
      </c>
      <c r="AC18" s="165"/>
      <c r="AD18" s="280"/>
      <c r="AE18" s="165"/>
      <c r="AF18" s="165"/>
      <c r="AG18" s="8"/>
    </row>
    <row r="19" spans="1:33">
      <c r="B19" s="145" t="s">
        <v>28</v>
      </c>
      <c r="C19" s="276">
        <v>80</v>
      </c>
      <c r="D19" s="276">
        <v>44</v>
      </c>
      <c r="E19" s="276">
        <v>8</v>
      </c>
      <c r="F19" s="276">
        <v>0</v>
      </c>
      <c r="H19" s="366"/>
      <c r="I19" s="326"/>
      <c r="J19" s="356"/>
      <c r="K19" s="356"/>
      <c r="L19" s="356"/>
      <c r="M19" s="356"/>
      <c r="N19" s="356"/>
      <c r="O19" s="356"/>
      <c r="P19" s="356"/>
      <c r="Q19" s="356"/>
      <c r="S19" s="153"/>
      <c r="T19" s="80" t="s">
        <v>92</v>
      </c>
      <c r="U19" s="165"/>
      <c r="V19" s="165"/>
      <c r="W19" s="165"/>
      <c r="X19" s="165"/>
      <c r="Y19" s="8"/>
      <c r="AA19" s="154"/>
      <c r="AB19" s="80" t="s">
        <v>178</v>
      </c>
      <c r="AC19" s="165"/>
      <c r="AD19" s="280"/>
      <c r="AE19" s="165"/>
      <c r="AF19" s="165"/>
      <c r="AG19" s="8"/>
    </row>
    <row r="20" spans="1:33">
      <c r="B20" s="145" t="s">
        <v>29</v>
      </c>
      <c r="C20" s="276">
        <v>68</v>
      </c>
      <c r="D20" s="276">
        <v>52</v>
      </c>
      <c r="E20" s="276">
        <v>12</v>
      </c>
      <c r="F20" s="276">
        <v>0</v>
      </c>
      <c r="H20" s="363" t="s">
        <v>233</v>
      </c>
      <c r="I20" s="326">
        <v>2</v>
      </c>
      <c r="J20" s="357" t="s">
        <v>159</v>
      </c>
      <c r="K20" s="358"/>
      <c r="L20" s="358"/>
      <c r="M20" s="358"/>
      <c r="N20" s="358"/>
      <c r="O20" s="358"/>
      <c r="P20" s="358"/>
      <c r="Q20" s="359"/>
      <c r="S20" s="153"/>
      <c r="T20" s="80" t="s">
        <v>94</v>
      </c>
      <c r="U20" s="165">
        <v>4</v>
      </c>
      <c r="V20" s="165" t="s">
        <v>232</v>
      </c>
      <c r="W20" s="165"/>
      <c r="X20" s="165"/>
      <c r="Y20" s="8">
        <v>1</v>
      </c>
      <c r="AA20" s="149" t="s">
        <v>174</v>
      </c>
      <c r="AB20" s="81" t="s">
        <v>179</v>
      </c>
      <c r="AC20" s="32">
        <v>12</v>
      </c>
      <c r="AD20" s="281" t="s">
        <v>59</v>
      </c>
      <c r="AE20" s="32"/>
      <c r="AF20" s="32"/>
      <c r="AG20" s="8">
        <v>5</v>
      </c>
    </row>
    <row r="21" spans="1:33" ht="27.75" customHeight="1">
      <c r="B21" s="145" t="s">
        <v>30</v>
      </c>
      <c r="C21" s="276">
        <v>66</v>
      </c>
      <c r="D21" s="276">
        <v>52</v>
      </c>
      <c r="E21" s="276">
        <v>14</v>
      </c>
      <c r="F21" s="276">
        <v>0</v>
      </c>
      <c r="H21" s="364"/>
      <c r="I21" s="326"/>
      <c r="J21" s="360"/>
      <c r="K21" s="361"/>
      <c r="L21" s="361"/>
      <c r="M21" s="361"/>
      <c r="N21" s="361"/>
      <c r="O21" s="361"/>
      <c r="P21" s="361"/>
      <c r="Q21" s="362"/>
      <c r="S21" s="153"/>
      <c r="T21" s="80" t="s">
        <v>95</v>
      </c>
      <c r="U21" s="165">
        <v>6</v>
      </c>
      <c r="V21" s="165" t="s">
        <v>44</v>
      </c>
      <c r="W21" s="165"/>
      <c r="X21" s="165"/>
      <c r="Y21" s="8">
        <v>3</v>
      </c>
      <c r="AA21" s="214">
        <v>5</v>
      </c>
      <c r="AB21" s="81" t="s">
        <v>180</v>
      </c>
      <c r="AC21" s="32">
        <v>8</v>
      </c>
      <c r="AD21" s="281" t="s">
        <v>44</v>
      </c>
      <c r="AE21" s="32"/>
      <c r="AF21" s="32"/>
      <c r="AG21" s="8">
        <v>3</v>
      </c>
    </row>
    <row r="22" spans="1:33" ht="28.5" customHeight="1">
      <c r="B22" s="145" t="s">
        <v>31</v>
      </c>
      <c r="C22" s="276">
        <v>63</v>
      </c>
      <c r="D22" s="276">
        <v>53</v>
      </c>
      <c r="E22" s="276">
        <v>16</v>
      </c>
      <c r="F22" s="276">
        <v>0</v>
      </c>
      <c r="H22" s="173" t="s">
        <v>161</v>
      </c>
      <c r="I22" s="169">
        <v>3</v>
      </c>
      <c r="J22" s="350" t="s">
        <v>225</v>
      </c>
      <c r="K22" s="351"/>
      <c r="L22" s="351"/>
      <c r="M22" s="351"/>
      <c r="N22" s="351"/>
      <c r="O22" s="351"/>
      <c r="P22" s="351"/>
      <c r="Q22" s="351"/>
      <c r="S22" s="153"/>
      <c r="T22" s="80" t="s">
        <v>96</v>
      </c>
      <c r="U22" s="165">
        <v>10</v>
      </c>
      <c r="V22" s="165" t="s">
        <v>59</v>
      </c>
      <c r="W22" s="165"/>
      <c r="X22" s="165"/>
      <c r="Y22" s="8">
        <v>5</v>
      </c>
      <c r="AA22" s="150"/>
      <c r="AB22" s="81" t="s">
        <v>181</v>
      </c>
      <c r="AC22" s="32"/>
      <c r="AD22" s="281"/>
      <c r="AE22" s="32"/>
      <c r="AF22" s="32"/>
      <c r="AG22" s="8"/>
    </row>
    <row r="23" spans="1:33" ht="28.5" customHeight="1">
      <c r="B23" s="145" t="s">
        <v>63</v>
      </c>
      <c r="C23" s="3"/>
      <c r="D23" s="3"/>
      <c r="E23" s="3"/>
      <c r="F23" s="3"/>
      <c r="H23" s="174" t="s">
        <v>158</v>
      </c>
      <c r="I23" s="169">
        <v>4</v>
      </c>
      <c r="J23" s="347" t="s">
        <v>155</v>
      </c>
      <c r="K23" s="348"/>
      <c r="L23" s="348"/>
      <c r="M23" s="348"/>
      <c r="N23" s="348"/>
      <c r="O23" s="348"/>
      <c r="P23" s="348"/>
      <c r="Q23" s="349"/>
      <c r="S23" s="153"/>
      <c r="T23" s="80" t="s">
        <v>97</v>
      </c>
      <c r="U23" s="165"/>
      <c r="V23" s="165"/>
      <c r="W23" s="165"/>
      <c r="X23" s="165"/>
      <c r="Y23" s="8"/>
      <c r="AA23" s="151"/>
      <c r="AB23" s="81" t="s">
        <v>182</v>
      </c>
      <c r="AC23" s="32"/>
      <c r="AD23" s="281"/>
      <c r="AE23" s="32"/>
      <c r="AF23" s="32"/>
      <c r="AG23" s="8"/>
    </row>
    <row r="24" spans="1:33" ht="15.75" thickBot="1">
      <c r="B24" s="145" t="s">
        <v>65</v>
      </c>
      <c r="C24" s="3"/>
      <c r="D24" s="3"/>
      <c r="E24" s="3"/>
      <c r="F24" s="3"/>
      <c r="S24" s="153"/>
      <c r="T24" s="80" t="s">
        <v>98</v>
      </c>
      <c r="U24" s="165">
        <v>4</v>
      </c>
      <c r="V24" s="165" t="s">
        <v>232</v>
      </c>
      <c r="W24" s="165"/>
      <c r="X24" s="165"/>
      <c r="Y24" s="8">
        <v>1</v>
      </c>
      <c r="AA24" s="152" t="s">
        <v>174</v>
      </c>
      <c r="AB24" s="80" t="s">
        <v>183</v>
      </c>
      <c r="AC24" s="165">
        <v>10</v>
      </c>
      <c r="AD24" s="280" t="s">
        <v>44</v>
      </c>
      <c r="AE24" s="165"/>
      <c r="AF24" s="165"/>
      <c r="AG24" s="8">
        <v>3</v>
      </c>
    </row>
    <row r="25" spans="1:33" ht="15" customHeight="1">
      <c r="B25" s="145" t="s">
        <v>68</v>
      </c>
      <c r="C25" s="3"/>
      <c r="D25" s="3"/>
      <c r="E25" s="3"/>
      <c r="F25" s="3"/>
      <c r="I25" s="344" t="s">
        <v>156</v>
      </c>
      <c r="J25" s="345"/>
      <c r="K25" s="345"/>
      <c r="L25" s="345"/>
      <c r="M25" s="345"/>
      <c r="N25" s="345"/>
      <c r="O25" s="345"/>
      <c r="P25" s="345"/>
      <c r="Q25" s="346"/>
      <c r="S25" s="153"/>
      <c r="T25" s="80" t="s">
        <v>99</v>
      </c>
      <c r="U25" s="165">
        <v>6</v>
      </c>
      <c r="V25" s="165" t="s">
        <v>44</v>
      </c>
      <c r="W25" s="165"/>
      <c r="X25" s="165"/>
      <c r="Y25" s="8">
        <v>3</v>
      </c>
      <c r="AA25" s="215">
        <v>6</v>
      </c>
      <c r="AB25" s="80" t="s">
        <v>184</v>
      </c>
      <c r="AC25" s="165">
        <v>10</v>
      </c>
      <c r="AD25" s="280" t="s">
        <v>62</v>
      </c>
      <c r="AE25" s="165"/>
      <c r="AF25" s="165"/>
      <c r="AG25" s="8">
        <v>4</v>
      </c>
    </row>
    <row r="26" spans="1:33" ht="15" customHeight="1">
      <c r="B26" s="145" t="s">
        <v>76</v>
      </c>
      <c r="C26" s="3"/>
      <c r="D26" s="3"/>
      <c r="E26" s="3"/>
      <c r="F26" s="3"/>
      <c r="I26" s="373">
        <v>1</v>
      </c>
      <c r="J26" s="367" t="s">
        <v>231</v>
      </c>
      <c r="K26" s="368"/>
      <c r="L26" s="368"/>
      <c r="M26" s="368"/>
      <c r="N26" s="368"/>
      <c r="O26" s="368"/>
      <c r="P26" s="368"/>
      <c r="Q26" s="369"/>
      <c r="S26" s="153"/>
      <c r="T26" s="80" t="s">
        <v>100</v>
      </c>
      <c r="U26" s="165">
        <v>10</v>
      </c>
      <c r="V26" s="165" t="s">
        <v>59</v>
      </c>
      <c r="W26" s="165"/>
      <c r="X26" s="165"/>
      <c r="Y26" s="8">
        <v>5</v>
      </c>
      <c r="AA26" s="153"/>
      <c r="AB26" s="80" t="s">
        <v>185</v>
      </c>
      <c r="AC26" s="165"/>
      <c r="AD26" s="280"/>
      <c r="AE26" s="165"/>
      <c r="AF26" s="165"/>
      <c r="AG26" s="8"/>
    </row>
    <row r="27" spans="1:33" ht="26.25" customHeight="1">
      <c r="B27" s="145" t="s">
        <v>77</v>
      </c>
      <c r="C27" s="3"/>
      <c r="D27" s="3"/>
      <c r="E27" s="3"/>
      <c r="F27" s="3"/>
      <c r="I27" s="374"/>
      <c r="J27" s="370"/>
      <c r="K27" s="371"/>
      <c r="L27" s="371"/>
      <c r="M27" s="371"/>
      <c r="N27" s="371"/>
      <c r="O27" s="371"/>
      <c r="P27" s="371"/>
      <c r="Q27" s="372"/>
      <c r="S27" s="153"/>
      <c r="T27" s="80" t="s">
        <v>101</v>
      </c>
      <c r="U27" s="80"/>
      <c r="V27" s="122"/>
      <c r="W27" s="122"/>
      <c r="X27" s="122"/>
      <c r="Y27" s="3"/>
      <c r="AA27" s="154"/>
      <c r="AB27" s="80" t="s">
        <v>186</v>
      </c>
      <c r="AC27" s="80"/>
      <c r="AD27" s="282"/>
      <c r="AE27" s="122"/>
      <c r="AF27" s="122"/>
      <c r="AG27" s="3"/>
    </row>
    <row r="28" spans="1:33">
      <c r="B28" s="144"/>
      <c r="C28" s="17"/>
      <c r="D28" s="17"/>
      <c r="E28" s="17"/>
      <c r="F28" s="17"/>
      <c r="I28" s="373">
        <v>2</v>
      </c>
      <c r="J28" s="375"/>
      <c r="K28" s="376"/>
      <c r="L28" s="376"/>
      <c r="M28" s="376"/>
      <c r="N28" s="376"/>
      <c r="O28" s="376"/>
      <c r="P28" s="376"/>
      <c r="Q28" s="377"/>
      <c r="S28" s="154"/>
      <c r="T28" s="80"/>
      <c r="U28" s="80"/>
      <c r="V28" s="122"/>
      <c r="W28" s="122"/>
      <c r="X28" s="122"/>
      <c r="Y28" s="3"/>
      <c r="AA28" s="149" t="s">
        <v>174</v>
      </c>
      <c r="AB28" s="81" t="s">
        <v>187</v>
      </c>
      <c r="AC28" s="32">
        <v>10</v>
      </c>
      <c r="AD28" s="281" t="s">
        <v>44</v>
      </c>
      <c r="AE28" s="32"/>
      <c r="AF28" s="32"/>
      <c r="AG28" s="3">
        <v>2</v>
      </c>
    </row>
    <row r="29" spans="1:33">
      <c r="I29" s="374"/>
      <c r="J29" s="378"/>
      <c r="K29" s="379"/>
      <c r="L29" s="379"/>
      <c r="M29" s="379"/>
      <c r="N29" s="379"/>
      <c r="O29" s="379"/>
      <c r="P29" s="379"/>
      <c r="Q29" s="380"/>
      <c r="S29" s="155" t="s">
        <v>105</v>
      </c>
      <c r="T29" s="82" t="s">
        <v>89</v>
      </c>
      <c r="U29" s="35">
        <v>6</v>
      </c>
      <c r="V29" s="35" t="s">
        <v>44</v>
      </c>
      <c r="W29" s="35"/>
      <c r="X29" s="35"/>
      <c r="Y29" s="8">
        <v>3</v>
      </c>
      <c r="AA29" s="214">
        <v>7</v>
      </c>
      <c r="AB29" s="81" t="s">
        <v>188</v>
      </c>
      <c r="AC29" s="32">
        <v>6</v>
      </c>
      <c r="AD29" s="281" t="s">
        <v>59</v>
      </c>
      <c r="AE29" s="32"/>
      <c r="AF29" s="32"/>
      <c r="AG29" s="8">
        <v>5</v>
      </c>
    </row>
    <row r="30" spans="1:33">
      <c r="S30" s="156"/>
      <c r="T30" s="82" t="s">
        <v>90</v>
      </c>
      <c r="U30" s="35">
        <v>6</v>
      </c>
      <c r="V30" s="35" t="s">
        <v>62</v>
      </c>
      <c r="W30" s="35"/>
      <c r="X30" s="35"/>
      <c r="Y30" s="8">
        <v>4</v>
      </c>
      <c r="AA30" s="150"/>
      <c r="AB30" s="81" t="s">
        <v>189</v>
      </c>
      <c r="AC30" s="32">
        <v>4</v>
      </c>
      <c r="AD30" s="281" t="s">
        <v>232</v>
      </c>
      <c r="AE30" s="32"/>
      <c r="AF30" s="32"/>
      <c r="AG30" s="8">
        <v>1</v>
      </c>
    </row>
    <row r="31" spans="1:33">
      <c r="A31" s="352"/>
      <c r="B31" s="352"/>
      <c r="S31" s="156"/>
      <c r="T31" s="82" t="s">
        <v>91</v>
      </c>
      <c r="U31" s="35">
        <v>8</v>
      </c>
      <c r="V31" s="35" t="s">
        <v>59</v>
      </c>
      <c r="W31" s="35"/>
      <c r="X31" s="35"/>
      <c r="Y31" s="8">
        <v>5</v>
      </c>
      <c r="AA31" s="151"/>
      <c r="AB31" s="81" t="s">
        <v>190</v>
      </c>
      <c r="AC31" s="32"/>
      <c r="AD31" s="281"/>
      <c r="AE31" s="32"/>
      <c r="AF31" s="32"/>
      <c r="AG31" s="8"/>
    </row>
    <row r="32" spans="1:33">
      <c r="S32" s="156"/>
      <c r="T32" s="82" t="s">
        <v>92</v>
      </c>
      <c r="U32" s="35"/>
      <c r="V32" s="35"/>
      <c r="W32" s="35"/>
      <c r="X32" s="35"/>
      <c r="Y32" s="8"/>
      <c r="AB32" s="222" t="s">
        <v>122</v>
      </c>
      <c r="AC32" s="221">
        <f>SUM(AC4:AC31)</f>
        <v>140</v>
      </c>
    </row>
    <row r="33" spans="19:33">
      <c r="S33" s="156"/>
      <c r="T33" s="82" t="s">
        <v>94</v>
      </c>
      <c r="U33" s="35">
        <v>6</v>
      </c>
      <c r="V33" s="35" t="s">
        <v>44</v>
      </c>
      <c r="W33" s="35"/>
      <c r="X33" s="35"/>
      <c r="Y33" s="8">
        <v>3</v>
      </c>
    </row>
    <row r="34" spans="19:33">
      <c r="S34" s="156"/>
      <c r="T34" s="82" t="s">
        <v>95</v>
      </c>
      <c r="U34" s="35">
        <v>6</v>
      </c>
      <c r="V34" s="35" t="s">
        <v>62</v>
      </c>
      <c r="W34" s="35"/>
      <c r="X34" s="35"/>
      <c r="Y34" s="8">
        <v>4</v>
      </c>
    </row>
    <row r="35" spans="19:33">
      <c r="S35" s="156"/>
      <c r="T35" s="82" t="s">
        <v>96</v>
      </c>
      <c r="U35" s="35">
        <v>8</v>
      </c>
      <c r="V35" s="35" t="s">
        <v>59</v>
      </c>
      <c r="W35" s="35"/>
      <c r="X35" s="35"/>
      <c r="Y35" s="8">
        <v>5</v>
      </c>
    </row>
    <row r="36" spans="19:33">
      <c r="S36" s="156"/>
      <c r="T36" s="82" t="s">
        <v>97</v>
      </c>
      <c r="U36" s="35"/>
      <c r="V36" s="35"/>
      <c r="W36" s="35"/>
      <c r="X36" s="35"/>
      <c r="Y36" s="8"/>
    </row>
    <row r="37" spans="19:33">
      <c r="S37" s="156"/>
      <c r="T37" s="82" t="s">
        <v>98</v>
      </c>
      <c r="U37" s="35">
        <v>6</v>
      </c>
      <c r="V37" s="35" t="s">
        <v>44</v>
      </c>
      <c r="W37" s="35"/>
      <c r="X37" s="35"/>
      <c r="Y37" s="8">
        <v>3</v>
      </c>
    </row>
    <row r="38" spans="19:33">
      <c r="S38" s="156"/>
      <c r="T38" s="82" t="s">
        <v>99</v>
      </c>
      <c r="U38" s="35">
        <v>6</v>
      </c>
      <c r="V38" s="35" t="s">
        <v>62</v>
      </c>
      <c r="W38" s="35"/>
      <c r="X38" s="35"/>
      <c r="Y38" s="8">
        <v>4</v>
      </c>
    </row>
    <row r="39" spans="19:33">
      <c r="S39" s="156"/>
      <c r="T39" s="82" t="s">
        <v>100</v>
      </c>
      <c r="U39" s="35">
        <v>8</v>
      </c>
      <c r="V39" s="35" t="s">
        <v>59</v>
      </c>
      <c r="W39" s="35"/>
      <c r="X39" s="35"/>
      <c r="Y39" s="8">
        <v>5</v>
      </c>
    </row>
    <row r="40" spans="19:33">
      <c r="S40" s="157"/>
      <c r="T40" s="82" t="s">
        <v>101</v>
      </c>
      <c r="U40" s="35"/>
      <c r="V40" s="35"/>
      <c r="W40" s="35"/>
      <c r="X40" s="35"/>
      <c r="Y40" s="8"/>
    </row>
    <row r="41" spans="19:33">
      <c r="S41" s="83"/>
      <c r="T41" s="83" t="s">
        <v>102</v>
      </c>
      <c r="U41" s="83">
        <v>20</v>
      </c>
      <c r="V41" s="83" t="s">
        <v>163</v>
      </c>
      <c r="W41" s="83"/>
      <c r="X41" s="83"/>
      <c r="Y41" s="17"/>
      <c r="AG41" s="17"/>
    </row>
    <row r="42" spans="19:33">
      <c r="S42" s="85"/>
      <c r="T42" s="85" t="s">
        <v>103</v>
      </c>
      <c r="U42" s="85"/>
      <c r="V42" s="85"/>
      <c r="W42" s="85"/>
      <c r="X42" s="85"/>
      <c r="Y42" s="17"/>
      <c r="AG42" s="17"/>
    </row>
    <row r="43" spans="19:33">
      <c r="S43" s="84"/>
      <c r="T43" s="84" t="s">
        <v>104</v>
      </c>
      <c r="U43" s="84">
        <v>15</v>
      </c>
      <c r="V43" s="84" t="s">
        <v>81</v>
      </c>
      <c r="W43" s="84"/>
      <c r="X43" s="84"/>
      <c r="Y43" s="17"/>
      <c r="AG43" s="17"/>
    </row>
    <row r="44" spans="19:33" ht="32.25" customHeight="1">
      <c r="S44" s="148"/>
      <c r="T44" s="148" t="s">
        <v>136</v>
      </c>
      <c r="U44" s="167">
        <v>10</v>
      </c>
      <c r="V44" s="167" t="s">
        <v>162</v>
      </c>
      <c r="W44" s="166"/>
      <c r="X44" s="167"/>
      <c r="Y44" s="17"/>
      <c r="AG44" s="17"/>
    </row>
  </sheetData>
  <mergeCells count="18">
    <mergeCell ref="A31:B31"/>
    <mergeCell ref="C16:F16"/>
    <mergeCell ref="A17:B17"/>
    <mergeCell ref="I18:I19"/>
    <mergeCell ref="J18:Q19"/>
    <mergeCell ref="I20:I21"/>
    <mergeCell ref="J20:Q21"/>
    <mergeCell ref="H20:H21"/>
    <mergeCell ref="H18:H19"/>
    <mergeCell ref="J26:Q27"/>
    <mergeCell ref="I26:I27"/>
    <mergeCell ref="I28:I29"/>
    <mergeCell ref="J28:Q29"/>
    <mergeCell ref="S3:T3"/>
    <mergeCell ref="I25:Q25"/>
    <mergeCell ref="J23:Q23"/>
    <mergeCell ref="J22:Q22"/>
    <mergeCell ref="AA3:AB3"/>
  </mergeCells>
  <hyperlinks>
    <hyperlink ref="J2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U122"/>
  <sheetViews>
    <sheetView topLeftCell="A49" zoomScale="80" zoomScaleNormal="80" workbookViewId="0">
      <selection activeCell="U124" sqref="U124"/>
    </sheetView>
  </sheetViews>
  <sheetFormatPr defaultRowHeight="15"/>
  <cols>
    <col min="1" max="1" width="9.140625" style="87"/>
    <col min="2" max="2" width="22.7109375" style="87" customWidth="1"/>
    <col min="3" max="3" width="7.42578125" style="87" customWidth="1"/>
    <col min="4" max="4" width="6.28515625" style="87" customWidth="1"/>
    <col min="5" max="5" width="6" style="87" customWidth="1"/>
    <col min="6" max="6" width="6.5703125" style="87" customWidth="1"/>
    <col min="7" max="8" width="6.85546875" style="87" customWidth="1"/>
    <col min="9" max="9" width="7.28515625" style="87" customWidth="1"/>
    <col min="10" max="10" width="7.140625" style="87" customWidth="1"/>
    <col min="11" max="11" width="6.140625" style="87" customWidth="1"/>
    <col min="12" max="12" width="8" style="87" customWidth="1"/>
    <col min="13" max="13" width="7.7109375" style="87" customWidth="1"/>
    <col min="14" max="14" width="6.42578125" style="87" customWidth="1"/>
    <col min="15" max="15" width="7.28515625" style="87" customWidth="1"/>
    <col min="16" max="16" width="15.140625" style="87" customWidth="1"/>
    <col min="17" max="17" width="12.7109375" style="87" customWidth="1"/>
    <col min="18" max="18" width="9.28515625" style="87" customWidth="1"/>
    <col min="19" max="16384" width="9.140625" style="87"/>
  </cols>
  <sheetData>
    <row r="1" spans="2:21" ht="15.75" thickBot="1"/>
    <row r="2" spans="2:21" ht="19.5" thickBot="1">
      <c r="B2" s="112" t="s">
        <v>75</v>
      </c>
      <c r="C2" s="111"/>
      <c r="D2" s="111"/>
      <c r="E2" s="111"/>
      <c r="F2" s="109" t="s">
        <v>66</v>
      </c>
      <c r="G2" s="123" t="s">
        <v>192</v>
      </c>
      <c r="H2" s="109" t="s">
        <v>67</v>
      </c>
      <c r="I2" s="124" t="s">
        <v>110</v>
      </c>
      <c r="J2" s="125"/>
      <c r="M2" s="96"/>
    </row>
    <row r="3" spans="2:21" ht="20.25" thickTop="1" thickBot="1">
      <c r="B3" s="103"/>
      <c r="C3" s="88" t="s">
        <v>72</v>
      </c>
      <c r="D3" s="88"/>
      <c r="E3" s="96"/>
      <c r="F3" s="88" t="s">
        <v>198</v>
      </c>
      <c r="G3" s="88"/>
      <c r="H3" s="88"/>
      <c r="I3" s="104"/>
      <c r="J3" s="125"/>
      <c r="M3" s="96"/>
      <c r="U3" s="87">
        <v>0</v>
      </c>
    </row>
    <row r="4" spans="2:21" ht="20.25" thickTop="1" thickBot="1">
      <c r="B4" s="113" t="s">
        <v>74</v>
      </c>
      <c r="C4" s="98"/>
      <c r="D4" s="98"/>
      <c r="E4" s="98"/>
      <c r="F4" s="110" t="s">
        <v>66</v>
      </c>
      <c r="G4" s="126" t="s">
        <v>200</v>
      </c>
      <c r="H4" s="110" t="s">
        <v>67</v>
      </c>
      <c r="I4" s="127" t="s">
        <v>201</v>
      </c>
      <c r="J4" s="125"/>
      <c r="M4" s="96"/>
    </row>
    <row r="5" spans="2:21" ht="20.25" thickTop="1" thickBot="1">
      <c r="B5" s="105"/>
      <c r="C5" s="106" t="s">
        <v>72</v>
      </c>
      <c r="D5" s="106"/>
      <c r="E5" s="107"/>
      <c r="F5" s="106" t="s">
        <v>199</v>
      </c>
      <c r="G5" s="106"/>
      <c r="H5" s="106"/>
      <c r="I5" s="108"/>
      <c r="J5" s="125"/>
      <c r="M5" s="96"/>
    </row>
    <row r="6" spans="2:21" ht="19.5" thickBot="1">
      <c r="B6" s="128"/>
      <c r="E6" s="96"/>
      <c r="J6" s="125"/>
      <c r="M6" s="96"/>
    </row>
    <row r="7" spans="2:21" ht="26.25" customHeight="1">
      <c r="B7" s="192" t="s">
        <v>69</v>
      </c>
      <c r="C7" s="193" t="str">
        <f ca="1">IF(C8=""," ","CO1")</f>
        <v>CO1</v>
      </c>
      <c r="D7" s="193" t="str">
        <f ca="1">IF(D8=""," ","CO2")</f>
        <v>CO2</v>
      </c>
      <c r="E7" s="193" t="str">
        <f ca="1">IF(E8=""," ","CO3")</f>
        <v>CO3</v>
      </c>
      <c r="F7" s="193" t="str">
        <f ca="1">IF(F8=""," ","CO4")</f>
        <v xml:space="preserve"> </v>
      </c>
      <c r="G7" s="193" t="str">
        <f ca="1">IF(G8=""," ","CO5")</f>
        <v xml:space="preserve"> </v>
      </c>
      <c r="H7" s="193" t="str">
        <f ca="1">IF(H8=""," ","CO6")</f>
        <v xml:space="preserve"> </v>
      </c>
      <c r="I7" s="193" t="str">
        <f>IF(I8=""," ","CO7")</f>
        <v xml:space="preserve"> </v>
      </c>
      <c r="J7" s="193" t="str">
        <f ca="1">IF(J8=""," ","CO8")</f>
        <v xml:space="preserve"> </v>
      </c>
      <c r="K7" s="193" t="str">
        <f ca="1">IF(K8=""," ","CO9")</f>
        <v xml:space="preserve"> </v>
      </c>
      <c r="L7" s="193" t="str">
        <f ca="1">IF(L8=""," ","CO10")</f>
        <v xml:space="preserve"> </v>
      </c>
      <c r="M7" s="92"/>
      <c r="N7" s="92"/>
      <c r="O7" s="92"/>
      <c r="P7" s="92"/>
      <c r="Q7" s="92"/>
      <c r="R7" s="93"/>
    </row>
    <row r="8" spans="2:21" ht="24.75" customHeight="1">
      <c r="B8" s="194" t="s">
        <v>71</v>
      </c>
      <c r="C8" s="89">
        <f ca="1">IF(COUNTIFS(INDIRECT("'Theory'! " &amp; $G$2 &amp;":" &amp; $I$2),"=*1*",INDIRECT("'Theory'! " &amp; $G$4 &amp;":" &amp; $I$4),"&lt;&gt;0")=0,"",SUMIF(INDIRECT("'Theory'! " &amp; $G$2 &amp;":" &amp; $I$2),"=*1*",INDIRECT("'Theory'! " &amp; $G$4 &amp;":" &amp; $I$4))/COUNTIFS(INDIRECT("'Theory'! " &amp; $G$2 &amp;":" &amp; $I$2),"=*1*",INDIRECT("'Theory'! " &amp; $G$4 &amp;":" &amp; $I$4),"&lt;&gt;0"))</f>
        <v>87.60803423250178</v>
      </c>
      <c r="D8" s="89">
        <f ca="1">IF(COUNTIFS(INDIRECT("'Theory'! " &amp; $G$2 &amp;":" &amp; $I$2),"=*2*",INDIRECT("'Theory'! " &amp; $G$4 &amp;":" &amp; $I$4),"&lt;&gt;0")=0,"",SUMIF(INDIRECT("'Theory'! " &amp; $G$2 &amp;":" &amp; $I$2),"=*2*",INDIRECT("'Theory'! " &amp; $G$4 &amp;":" &amp; $I$4))/COUNTIFS(INDIRECT("'Theory'! " &amp; $G$2 &amp;":" &amp; $I$2),"=*2*",INDIRECT("'Theory'! " &amp; $G$4 &amp;":" &amp; $I$4),"&lt;&gt;0"))</f>
        <v>87.614852306970519</v>
      </c>
      <c r="E8" s="89">
        <f ca="1">IF(COUNTIFS(INDIRECT("'Theory'! " &amp; $G$2 &amp;":" &amp; $I$2),"=*3*",INDIRECT("'Theory'! " &amp; $G$4 &amp;":" &amp; $I$4),"&lt;&gt;0")=0,"",SUMIF(INDIRECT("'Theory'! " &amp; $G$2 &amp;":" &amp; $I$2),"=*3*",INDIRECT("'Theory'! " &amp; $G$4 &amp;":" &amp; $I$4))/COUNTIFS(INDIRECT("'Theory'! " &amp; $G$2 &amp;":" &amp; $I$2),"=*3*",INDIRECT("'Theory'! " &amp; $G$4 &amp;":" &amp; $I$4),"&lt;&gt;0"))</f>
        <v>72.706447067037246</v>
      </c>
      <c r="F8" s="89" t="str">
        <f ca="1">IF(COUNTIFS(INDIRECT("'Theory'! " &amp; $G$2 &amp;":" &amp; $I$2),"=*4*",INDIRECT("'Theory'! " &amp; $G$4 &amp;":" &amp; $I$4),"&lt;&gt;0")=0,"",SUMIF(INDIRECT("'Theory'! " &amp; $G$2 &amp;":" &amp; $I$2),"=*4*",INDIRECT("'Theory'! " &amp; $G$4 &amp;":" &amp; $I$4))/COUNTIFS(INDIRECT("'Theory'! " &amp; $G$2 &amp;":" &amp; $I$2),"=*4*",INDIRECT("'Theory'! " &amp; $G$4 &amp;":" &amp; $I$4),"&lt;&gt;0"))</f>
        <v/>
      </c>
      <c r="G8" s="89" t="str">
        <f ca="1">IF(COUNTIFS(INDIRECT("'Theory'! " &amp; $G$2 &amp;":" &amp; $I$2),"=*5*",INDIRECT("'Theory'! " &amp; $G$4 &amp;":" &amp; $I$4),"&lt;&gt;0")=0,"",SUMIF(INDIRECT("'Theory'! " &amp; $G$2 &amp;":" &amp; $I$2),"=*5*",INDIRECT("'Theory'! " &amp; $G$4 &amp;":" &amp; $I$4))/COUNTIFS(INDIRECT("'Theory'! " &amp; $G$2 &amp;":" &amp; $I$2),"=*5*",INDIRECT("'Theory'! " &amp; $G$4 &amp;":" &amp; $I$4),"&lt;&gt;0"))</f>
        <v/>
      </c>
      <c r="H8" s="89" t="str">
        <f ca="1">IF(COUNTIFS(INDIRECT("'Theory'! " &amp; $G$2 &amp;":" &amp; $I$2),"=*6*",INDIRECT("'Theory'! " &amp; $G$4 &amp;":" &amp; $I$4),"&lt;&gt;0")=0,"",SUMIF(INDIRECT("'Theory'! " &amp; $G$2 &amp;":" &amp; $I$2),"=*6*",INDIRECT("'Theory'! " &amp; $G$4 &amp;":" &amp; $I$4))/COUNTIFS(INDIRECT("'Theory'! " &amp; $G$2 &amp;":" &amp; $I$2),"=*6*",INDIRECT("'Theory'! " &amp; $G$4 &amp;":" &amp; $I$4),"&lt;&gt;0"))</f>
        <v/>
      </c>
      <c r="I8" s="89"/>
      <c r="J8" s="89" t="str">
        <f ca="1">IF(COUNTIFS(INDIRECT("'Theory'! " &amp; $G$2 &amp;":" &amp; $I$2),"=*8*",INDIRECT("'Theory'! " &amp; $G$4 &amp;":" &amp; $I$4),"&lt;&gt;0")=0,"",SUMIF(INDIRECT("'Theory'! " &amp; $G$2 &amp;":" &amp; $I$2),"=*8*",INDIRECT("'Theory'! " &amp; $G$4 &amp;":" &amp; $I$4))/COUNTIFS(INDIRECT("'Theory'! " &amp; $G$2 &amp;":" &amp; $I$2),"=*8*",INDIRECT("'Theory'! " &amp; $G$4 &amp;":" &amp; $I$4),"&lt;&gt;0"))</f>
        <v/>
      </c>
      <c r="K8" s="89" t="str">
        <f ca="1">IF(COUNTIFS(INDIRECT("'Theory'! " &amp; $G$2 &amp;":" &amp; $I$2),"=*9*",INDIRECT("'Theory'! " &amp; $G$4 &amp;":" &amp; $I$4),"&lt;&gt;0")=0,"",SUMIF(INDIRECT("'Theory'! " &amp; $G$2 &amp;":" &amp; $I$2),"=*9*",INDIRECT("'Theory'! " &amp; $G$4 &amp;":" &amp; $I$4))/COUNTIFS(INDIRECT("'Theory'! " &amp; $G$2 &amp;":" &amp; $I$2),"=*9*",INDIRECT("'Theory'! " &amp; $G$4 &amp;":" &amp; $I$4),"&lt;&gt;0"))</f>
        <v/>
      </c>
      <c r="L8" s="89" t="str">
        <f ca="1">IF(COUNTIFS(INDIRECT("'Theory'! " &amp; $G$2 &amp;":" &amp; $I$2),"=*10*",INDIRECT("'Theory'! " &amp; $G$4 &amp;":" &amp; $I$4),"&lt;&gt;0")=0,"",SUMIF(INDIRECT("'Theory'! " &amp; $G$2 &amp;":" &amp; $I$2),"=*10*",INDIRECT("'Theory'! " &amp; $G$4 &amp;":" &amp; $I$4))/COUNTIFS(INDIRECT("'Theory'! " &amp; $G$2 &amp;":" &amp; $I$2),"=*10*",INDIRECT("'Theory'! " &amp; $G$4 &amp;":" &amp; $I$4),"&lt;&gt;0"))</f>
        <v/>
      </c>
      <c r="M8" s="88"/>
      <c r="N8" s="88"/>
      <c r="O8" s="88"/>
      <c r="P8" s="88"/>
      <c r="Q8" s="88"/>
      <c r="R8" s="94"/>
    </row>
    <row r="9" spans="2:21">
      <c r="B9" s="95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94"/>
    </row>
    <row r="10" spans="2:21" ht="26.25">
      <c r="B10" s="97" t="s">
        <v>43</v>
      </c>
      <c r="C10" s="98"/>
      <c r="D10" s="98"/>
      <c r="E10" s="9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94"/>
    </row>
    <row r="11" spans="2:21" ht="32.25" customHeight="1">
      <c r="B11" s="102" t="s">
        <v>70</v>
      </c>
      <c r="C11" s="91" t="str">
        <f ca="1">IF(C12=""," ","CO1")</f>
        <v>CO1</v>
      </c>
      <c r="D11" s="91" t="str">
        <f ca="1">IF(D12=""," ","CO2")</f>
        <v>CO2</v>
      </c>
      <c r="E11" s="91" t="str">
        <f ca="1">IF(E12=""," ","CO3")</f>
        <v>CO3</v>
      </c>
      <c r="F11" s="91" t="str">
        <f ca="1">IF(F12=""," ","CO4")</f>
        <v>CO4</v>
      </c>
      <c r="G11" s="91" t="str">
        <f ca="1">IF(G12=""," ","CO5")</f>
        <v>CO5</v>
      </c>
      <c r="H11" s="91" t="str">
        <f ca="1">IF(H12=""," ","CO6")</f>
        <v xml:space="preserve"> </v>
      </c>
      <c r="I11" s="91" t="str">
        <f>IF(I12=""," ","CO7")</f>
        <v xml:space="preserve"> </v>
      </c>
      <c r="J11" s="91" t="str">
        <f ca="1">IF(J12=""," ","CO8")</f>
        <v xml:space="preserve"> </v>
      </c>
      <c r="K11" s="91" t="str">
        <f ca="1">IF(K12=""," ","CO9")</f>
        <v xml:space="preserve"> </v>
      </c>
      <c r="L11" s="91" t="str">
        <f ca="1">IF(L12=""," ","CO10")</f>
        <v xml:space="preserve"> </v>
      </c>
      <c r="M11" s="88"/>
      <c r="N11" s="88"/>
      <c r="O11" s="88"/>
      <c r="P11" s="88"/>
      <c r="Q11" s="88"/>
      <c r="R11" s="94"/>
    </row>
    <row r="12" spans="2:21" ht="30">
      <c r="B12" s="194" t="s">
        <v>222</v>
      </c>
      <c r="C12" s="90">
        <f ca="1">IFERROR(SUM(C8,Lab!D$81,Quiz1!D$80,Quiz2!D$80)/SUM(COUNTIFS(C8,"&lt;&gt;"&amp;"",C8,"&gt;0"),COUNTIFS(Lab!D$81,"&lt;&gt;"&amp;"",Lab!D$81,"&gt;0"),COUNTIFS(Quiz1!D$80,"&lt;&gt;"&amp;"",Quiz1!D$80,"&gt;0"),COUNTIFS(Quiz2!D$80,"&lt;&gt;"&amp;"",Quiz2!D$80,"&gt;0")),"")</f>
        <v>87.60803423250178</v>
      </c>
      <c r="D12" s="90">
        <f ca="1">IFERROR(SUM(D8,Lab!E$81,Quiz1!E$80,Quiz2!E$80)/SUM(COUNTIFS(D8,"&lt;&gt;"&amp;"",D8,"&gt;0"),COUNTIFS(Lab!E$81,"&lt;&gt;"&amp;"",Lab!E$81,"&gt;0"),COUNTIFS(Quiz1!E$80,"&lt;&gt;"&amp;"",Quiz1!E$80,"&gt;0"),COUNTIFS(Quiz2!E$80,"&lt;&gt;"&amp;"",Quiz2!E$80,"&gt;0")),"")</f>
        <v>87.614852306970519</v>
      </c>
      <c r="E12" s="90">
        <f ca="1">IFERROR(SUM(E8,Lab!F$81,Quiz1!F$80,Quiz2!F$80)/SUM(COUNTIFS(E8,"&lt;&gt;"&amp;"",E8,"&gt;0"),COUNTIFS(Lab!F$81,"&lt;&gt;"&amp;"",Lab!F$81,"&gt;0"),COUNTIFS(Quiz1!F$80,"&lt;&gt;"&amp;"",Quiz1!F$80,"&gt;0"),COUNTIFS(Quiz2!F$80,"&lt;&gt;"&amp;"",Quiz2!F$80,"&gt;0")),"")</f>
        <v>72.706447067037246</v>
      </c>
      <c r="F12" s="90">
        <f ca="1">IFERROR(SUM(F8,Lab!G$81,Quiz1!G$80,Quiz2!G$80)/SUM(COUNTIFS(F8,"&lt;&gt;"&amp;"",F8,"&gt;0"),COUNTIFS(Lab!G$81,"&lt;&gt;"&amp;"",Lab!G$81,"&gt;0"),COUNTIFS(Quiz1!G$80,"&lt;&gt;"&amp;"",Quiz1!G$80,"&gt;0"),COUNTIFS(Quiz2!G$80,"&lt;&gt;"&amp;"",Quiz2!G$80,"&gt;0")),"")</f>
        <v>96.982758620689651</v>
      </c>
      <c r="G12" s="90">
        <f ca="1">IFERROR(SUM(G8,Lab!H$81,Quiz1!H$80,Quiz2!H$80)/SUM(COUNTIFS(G8,"&lt;&gt;"&amp;"",G8,"&gt;0"),COUNTIFS(Lab!H$81,"&lt;&gt;"&amp;"",Lab!H$81,"&gt;0"),COUNTIFS(Quiz1!H$80,"&lt;&gt;"&amp;"",Quiz1!H$80,"&gt;0"),COUNTIFS(Quiz2!H$80,"&lt;&gt;"&amp;"",Quiz2!H$80,"&gt;0")),"")</f>
        <v>93.793103448275858</v>
      </c>
      <c r="H12" s="90" t="str">
        <f ca="1">IFERROR(SUM(H8,Lab!I$81,Quiz1!I$80,Quiz2!I$80)/SUM(COUNTIFS(H8,"&lt;&gt;"&amp;"",H8,"&gt;0"),COUNTIFS(Lab!I$81,"&lt;&gt;"&amp;"",Lab!I$81,"&gt;0"),COUNTIFS(Quiz1!I$80,"&lt;&gt;"&amp;"",Quiz1!I$80,"&gt;0"),COUNTIFS(Quiz2!I$80,"&lt;&gt;"&amp;"",Quiz2!I$80,"&gt;0")),"")</f>
        <v/>
      </c>
      <c r="I12" s="90" t="str">
        <f>IFERROR(SUM(I8,Lab!J$81,Quiz1!J$80,Quiz2!J$80)/SUM(COUNTIFS(I8,"&lt;&gt;"&amp;"",I8,"&gt;0"),COUNTIFS(Lab!J$81,"&lt;&gt;"&amp;"",Lab!J$81,"&gt;0"),COUNTIFS(Quiz1!J$80,"&lt;&gt;"&amp;"",Quiz1!J$80,"&gt;0"),COUNTIFS(Quiz2!J$80,"&lt;&gt;"&amp;"",Quiz2!J$80,"&gt;0")),"")</f>
        <v/>
      </c>
      <c r="J12" s="90" t="str">
        <f ca="1">IFERROR(SUM(J8,Lab!K$81,Quiz1!K$80,Quiz2!K$80)/SUM(COUNTIFS(J8,"&lt;&gt;"&amp;"",J8,"&gt;0"),COUNTIFS(Lab!K$81,"&lt;&gt;"&amp;"",Lab!K$81,"&gt;0"),COUNTIFS(Quiz1!K$80,"&lt;&gt;"&amp;"",Quiz1!K$80,"&gt;0"),COUNTIFS(Quiz2!K$80,"&lt;&gt;"&amp;"",Quiz2!K$80,"&gt;0")),"")</f>
        <v/>
      </c>
      <c r="K12" s="90" t="str">
        <f ca="1">IFERROR(SUM(K8,Lab!L$81,Quiz1!L$80,Quiz2!L$80)/SUM(COUNTIFS(K8,"&lt;&gt;"&amp;"",K8,"&gt;0"),COUNTIFS(Lab!L$81,"&lt;&gt;"&amp;"",Lab!L$81,"&gt;0"),COUNTIFS(Quiz1!L$80,"&lt;&gt;"&amp;"",Quiz1!L$80,"&gt;0"),COUNTIFS(Quiz2!L$80,"&lt;&gt;"&amp;"",Quiz2!L$80,"&gt;0")),"")</f>
        <v/>
      </c>
      <c r="L12" s="90" t="str">
        <f ca="1">IFERROR(SUM(L8,Lab!M$81,Quiz1!M$80,Quiz2!M$80)/SUM(COUNTIFS(L8,"&lt;&gt;"&amp;"",L8,"&gt;0"),COUNTIFS(Lab!M$81,"&lt;&gt;"&amp;"",Lab!M$81,"&gt;0"),COUNTIFS(Quiz1!M$80,"&lt;&gt;"&amp;"",Quiz1!M$80,"&gt;0"),COUNTIFS(Quiz2!M$80,"&lt;&gt;"&amp;"",Quiz2!M$80,"&gt;0")),"")</f>
        <v/>
      </c>
      <c r="M12" s="88"/>
      <c r="N12" s="88"/>
      <c r="O12" s="88"/>
      <c r="P12" s="88"/>
      <c r="Q12" s="88"/>
      <c r="R12" s="94"/>
    </row>
    <row r="13" spans="2:21" ht="22.5" customHeight="1">
      <c r="B13" s="283" t="s">
        <v>219</v>
      </c>
      <c r="C13" s="130">
        <f ca="1">IF(C$12&lt;&gt;"",Theory!$AU$81,"")</f>
        <v>86.379310344827587</v>
      </c>
      <c r="D13" s="130">
        <f ca="1">IF(D$12&lt;&gt;"",Theory!$AU$81,"")</f>
        <v>86.379310344827587</v>
      </c>
      <c r="E13" s="130">
        <f ca="1">IF(E$12&lt;&gt;"",Theory!$AU$81,"")</f>
        <v>86.379310344827587</v>
      </c>
      <c r="F13" s="130">
        <f ca="1">IF(F$12&lt;&gt;"",Theory!$AU$81,"")</f>
        <v>86.379310344827587</v>
      </c>
      <c r="G13" s="130">
        <f ca="1">IF(G$12&lt;&gt;"",Theory!$AU$81,"")</f>
        <v>86.379310344827587</v>
      </c>
      <c r="H13" s="130" t="str">
        <f ca="1">IF(H$12&lt;&gt;"",Theory!$AU$81,"")</f>
        <v/>
      </c>
      <c r="I13" s="130" t="str">
        <f>IF(I$12&lt;&gt;"",Theory!$AU$81,"")</f>
        <v/>
      </c>
      <c r="J13" s="130" t="str">
        <f ca="1">IF(J$12&lt;&gt;"",Theory!$AU$81,"")</f>
        <v/>
      </c>
      <c r="K13" s="130" t="str">
        <f ca="1">IF(K$12&lt;&gt;"",Theory!$AU$81,"")</f>
        <v/>
      </c>
      <c r="L13" s="130" t="str">
        <f ca="1">IF(L$12&lt;&gt;"",Theory!$AU$81,"")</f>
        <v/>
      </c>
      <c r="M13" s="88"/>
      <c r="N13" s="88"/>
      <c r="O13" s="88"/>
      <c r="P13" s="88"/>
      <c r="Q13" s="88"/>
      <c r="R13" s="94"/>
      <c r="T13" s="87" t="str">
        <f ca="1">J17</f>
        <v/>
      </c>
    </row>
    <row r="14" spans="2:21" ht="29.25" customHeight="1">
      <c r="B14" s="284" t="s">
        <v>220</v>
      </c>
      <c r="C14" s="285">
        <f>IFERROR(IF($Q46=0,"",Q46),"")</f>
        <v>88</v>
      </c>
      <c r="D14" s="285">
        <f>IFERROR(IF($Q47=0,"",Q47),"")</f>
        <v>89</v>
      </c>
      <c r="E14" s="285">
        <f>IFERROR(IF($Q48=0,"",Q48),"")</f>
        <v>86</v>
      </c>
      <c r="F14" s="285">
        <f>IFERROR(IF($Q49=0,"",Q49),"")</f>
        <v>85</v>
      </c>
      <c r="G14" s="285">
        <f>IFERROR(IF($Q50=0,"",Q50),"")</f>
        <v>84</v>
      </c>
      <c r="H14" s="285" t="str">
        <f>IFERROR(IF($Q51=0,"",Q51),"")</f>
        <v/>
      </c>
      <c r="I14" s="285" t="str">
        <f>IFERROR(IF($Q52=0,"",Q52),"")</f>
        <v/>
      </c>
      <c r="J14" s="285" t="str">
        <f>IFERROR(IF($Q53=0,"",Q53),"")</f>
        <v/>
      </c>
      <c r="K14" s="285" t="str">
        <f>IFERROR(IF($Q54=0,"",Q54),"")</f>
        <v/>
      </c>
      <c r="L14" s="285" t="str">
        <f>IFERROR(IF($Q55=0,"",Q55),"")</f>
        <v/>
      </c>
      <c r="M14" s="88"/>
      <c r="N14" s="88"/>
      <c r="O14" s="88"/>
      <c r="P14" s="88"/>
      <c r="Q14" s="88"/>
      <c r="R14" s="94"/>
    </row>
    <row r="15" spans="2:21" ht="29.25" customHeight="1">
      <c r="B15" s="130" t="s">
        <v>221</v>
      </c>
      <c r="C15" s="130">
        <f ca="1">IFERROR(AVERAGE(C12:C13),"")</f>
        <v>86.993672288664683</v>
      </c>
      <c r="D15" s="130">
        <f t="shared" ref="D15:L15" ca="1" si="0">IFERROR(AVERAGE(D12:D13),"")</f>
        <v>86.997081325899046</v>
      </c>
      <c r="E15" s="130">
        <f t="shared" ca="1" si="0"/>
        <v>79.542878705932424</v>
      </c>
      <c r="F15" s="130">
        <f t="shared" ca="1" si="0"/>
        <v>91.681034482758619</v>
      </c>
      <c r="G15" s="130">
        <f t="shared" ca="1" si="0"/>
        <v>90.086206896551715</v>
      </c>
      <c r="H15" s="130" t="str">
        <f t="shared" ca="1" si="0"/>
        <v/>
      </c>
      <c r="I15" s="130" t="str">
        <f t="shared" si="0"/>
        <v/>
      </c>
      <c r="J15" s="130" t="str">
        <f t="shared" ca="1" si="0"/>
        <v/>
      </c>
      <c r="K15" s="130" t="str">
        <f t="shared" ca="1" si="0"/>
        <v/>
      </c>
      <c r="L15" s="130" t="str">
        <f t="shared" ca="1" si="0"/>
        <v/>
      </c>
      <c r="M15" s="88"/>
      <c r="N15" s="88"/>
      <c r="O15" s="88"/>
      <c r="P15" s="88"/>
      <c r="Q15" s="88"/>
      <c r="R15" s="94"/>
      <c r="U15" s="87" t="str">
        <f ca="1">K17</f>
        <v/>
      </c>
    </row>
    <row r="16" spans="2:21">
      <c r="B16" s="95"/>
      <c r="C16" s="286" t="str">
        <f ca="1">IF(C17&lt;&gt;"","CO1 ","")</f>
        <v xml:space="preserve">CO1 </v>
      </c>
      <c r="D16" s="286" t="str">
        <f ca="1">IF(D17&lt;&gt;"","CO2 ","")</f>
        <v xml:space="preserve">CO2 </v>
      </c>
      <c r="E16" s="286" t="str">
        <f ca="1">IF(E17&lt;&gt;"","CO3 ","")</f>
        <v xml:space="preserve">CO3 </v>
      </c>
      <c r="F16" s="286" t="str">
        <f ca="1">IF(F17&lt;&gt;"","CO4 ","")</f>
        <v xml:space="preserve">CO4 </v>
      </c>
      <c r="G16" s="286" t="str">
        <f ca="1">IF(G17&lt;&gt;"","CO5 ","")</f>
        <v xml:space="preserve">CO5 </v>
      </c>
      <c r="H16" s="286" t="str">
        <f ca="1">IF(H17&lt;&gt;"","CO6 ","")</f>
        <v/>
      </c>
      <c r="I16" s="286" t="str">
        <f>IF(I17&lt;&gt;"","CO7 ","")</f>
        <v/>
      </c>
      <c r="J16" s="286" t="str">
        <f ca="1">IF(J17&lt;&gt;"","CO8 ","")</f>
        <v/>
      </c>
      <c r="K16" s="286" t="str">
        <f ca="1">IF(K17&lt;&gt;"","CO9 ","")</f>
        <v/>
      </c>
      <c r="L16" s="286" t="str">
        <f ca="1">IF(L17&lt;&gt;"","CO10 ","")</f>
        <v/>
      </c>
      <c r="M16" s="88"/>
      <c r="N16" s="88"/>
      <c r="O16" s="88"/>
      <c r="P16" s="88"/>
      <c r="Q16" s="88"/>
      <c r="R16" s="94"/>
    </row>
    <row r="17" spans="2:18" ht="45" customHeight="1">
      <c r="B17" s="195" t="s">
        <v>223</v>
      </c>
      <c r="C17" s="90">
        <f ca="1">IFERROR(IF(C$12&lt;&gt;"",C$12*0.8,"") + IF(C$13&lt;&gt;"",C$13 * 0.1,"")+ IF(C$14&lt;&gt;"",C$14 * 0.1,""),"")</f>
        <v>87.524358420484191</v>
      </c>
      <c r="D17" s="90">
        <f t="shared" ref="D17:L17" ca="1" si="1">IFERROR(IF(D$12&lt;&gt;"",D$12*0.8,"") + IF(D$13&lt;&gt;"",D$13 * 0.1,"")+ IF(D$14&lt;&gt;"",D$14 * 0.1,""),"")</f>
        <v>87.629812880059191</v>
      </c>
      <c r="E17" s="90">
        <f t="shared" ca="1" si="1"/>
        <v>75.403088688112547</v>
      </c>
      <c r="F17" s="90">
        <f t="shared" ca="1" si="1"/>
        <v>94.724137931034491</v>
      </c>
      <c r="G17" s="90">
        <f t="shared" ca="1" si="1"/>
        <v>92.072413793103451</v>
      </c>
      <c r="H17" s="90" t="str">
        <f t="shared" ca="1" si="1"/>
        <v/>
      </c>
      <c r="I17" s="90" t="str">
        <f t="shared" si="1"/>
        <v/>
      </c>
      <c r="J17" s="90" t="str">
        <f t="shared" ca="1" si="1"/>
        <v/>
      </c>
      <c r="K17" s="90" t="str">
        <f t="shared" ca="1" si="1"/>
        <v/>
      </c>
      <c r="L17" s="90" t="str">
        <f t="shared" ca="1" si="1"/>
        <v/>
      </c>
      <c r="M17" s="88"/>
      <c r="N17" s="88"/>
      <c r="O17" s="88"/>
      <c r="P17" s="88"/>
      <c r="Q17" s="88"/>
      <c r="R17" s="94"/>
    </row>
    <row r="18" spans="2:18" ht="15.75" thickBot="1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</row>
    <row r="19" spans="2:18" ht="33" customHeight="1"/>
    <row r="22" spans="2:18">
      <c r="B22" s="136" t="s">
        <v>121</v>
      </c>
      <c r="C22" s="130" t="s">
        <v>123</v>
      </c>
      <c r="D22" s="250" t="s">
        <v>124</v>
      </c>
      <c r="E22" s="250" t="s">
        <v>125</v>
      </c>
      <c r="F22" s="130" t="s">
        <v>126</v>
      </c>
      <c r="G22" s="130" t="s">
        <v>127</v>
      </c>
      <c r="H22" s="130" t="s">
        <v>128</v>
      </c>
      <c r="I22" s="130" t="s">
        <v>129</v>
      </c>
      <c r="J22" s="130" t="s">
        <v>130</v>
      </c>
      <c r="K22" s="130" t="s">
        <v>131</v>
      </c>
      <c r="L22" s="130" t="s">
        <v>132</v>
      </c>
    </row>
    <row r="23" spans="2:18">
      <c r="C23" s="130">
        <f>COUNTIFS(Theory!AS14:AS74,"&gt;=0",Theory!AS14:AS74,"&lt;=5")</f>
        <v>0</v>
      </c>
      <c r="D23" s="130">
        <f>COUNTIFS(Theory!AS14:AS74,"&gt;=06",Theory!AS14:AS74,"&lt;=10")</f>
        <v>0</v>
      </c>
      <c r="E23" s="130">
        <f>COUNTIFS(Theory!AS14:AS74,"&gt;=11",Theory!AS14:AS74,"&lt;=15")</f>
        <v>0</v>
      </c>
      <c r="F23" s="130">
        <f>COUNTIFS(Theory!AS14:AS74,"&gt;=16",Theory!AS14:AS74,"&lt;=20")</f>
        <v>0</v>
      </c>
      <c r="G23" s="130">
        <f>COUNTIFS(Theory!AS14:AS74,"&gt;=21",Theory!AS14:AS74,"&lt;=25")</f>
        <v>0</v>
      </c>
      <c r="H23" s="130">
        <f>COUNTIFS(Theory!AS14:AS74,"&gt;=26",Theory!AS14:AS74,"&lt;=30")</f>
        <v>0</v>
      </c>
      <c r="I23" s="130">
        <f>COUNTIFS(Theory!AS14:AS74,"&gt;=31",Theory!AS14:AS74,"&lt;=35")</f>
        <v>1</v>
      </c>
      <c r="J23" s="130">
        <f>COUNTIFS(Theory!AS14:AS74,"&gt;=36",Theory!AS14:AS74,"&lt;=40")</f>
        <v>5</v>
      </c>
      <c r="K23" s="130">
        <f>COUNTIFS(Theory!AS14:AS74,"&gt;=41",Theory!AS14:AS74,"&lt;=45")</f>
        <v>17</v>
      </c>
      <c r="L23" s="130">
        <f>COUNTIFS(Theory!AS14:AS74,"&gt;=46",Theory!AS14:AS74,"&lt;=50")</f>
        <v>35</v>
      </c>
    </row>
    <row r="25" spans="2:18">
      <c r="B25" s="133" t="s">
        <v>119</v>
      </c>
      <c r="C25" s="132"/>
      <c r="D25" s="132"/>
      <c r="E25" s="132"/>
      <c r="F25" s="132"/>
      <c r="G25" s="132"/>
      <c r="H25" s="132"/>
      <c r="I25" s="132"/>
      <c r="J25" s="132"/>
      <c r="K25"/>
    </row>
    <row r="26" spans="2:18">
      <c r="C26" s="131" t="s">
        <v>115</v>
      </c>
      <c r="D26" s="131" t="s">
        <v>112</v>
      </c>
      <c r="E26" s="131" t="s">
        <v>113</v>
      </c>
      <c r="F26" s="131" t="s">
        <v>114</v>
      </c>
      <c r="G26" s="131" t="s">
        <v>117</v>
      </c>
      <c r="H26" s="131" t="s">
        <v>116</v>
      </c>
      <c r="I26" s="131" t="s">
        <v>118</v>
      </c>
      <c r="J26" s="131" t="s">
        <v>120</v>
      </c>
      <c r="K26" s="131" t="s">
        <v>122</v>
      </c>
    </row>
    <row r="27" spans="2:18">
      <c r="C27" s="130">
        <f>COUNTIF(Theory!$AU$14:$AU$78,"=S")</f>
        <v>8</v>
      </c>
      <c r="D27" s="130">
        <f>COUNTIF(Theory!$AU$14:$AU$78,"=A")</f>
        <v>37</v>
      </c>
      <c r="E27" s="130">
        <f>COUNTIF(Theory!$AU$14:$AU$78,"=B")</f>
        <v>11</v>
      </c>
      <c r="F27" s="130">
        <f>COUNTIF(Theory!$AU$14:$AU$78,"=C")</f>
        <v>0</v>
      </c>
      <c r="G27" s="130">
        <f>COUNTIF(Theory!$AU$14:$AU$78,"=D")</f>
        <v>0</v>
      </c>
      <c r="H27" s="130">
        <f>COUNTIF(Theory!$AU$14:$AU$78,"=E")</f>
        <v>0</v>
      </c>
      <c r="I27" s="130">
        <f>COUNTIF(Theory!$AU$14:$AU$78,"=F")</f>
        <v>0</v>
      </c>
      <c r="J27" s="130">
        <f>COUNTIF(Theory!$AU$14:$AU$78,"=X")</f>
        <v>2</v>
      </c>
      <c r="K27" s="3">
        <f>SUM(C27:J27)</f>
        <v>58</v>
      </c>
    </row>
    <row r="41" spans="2:17" ht="15.75" thickBot="1">
      <c r="H41" s="135"/>
    </row>
    <row r="42" spans="2:17" ht="15.75" thickBot="1">
      <c r="I42" s="384" t="s">
        <v>193</v>
      </c>
      <c r="J42" s="384"/>
      <c r="K42" s="227">
        <f>CORREL(Theory!AS14:AS71,Theory!AT14:AT71)</f>
        <v>0.59658814441362529</v>
      </c>
    </row>
    <row r="43" spans="2:17" ht="23.25">
      <c r="B43" s="168"/>
    </row>
    <row r="44" spans="2:17">
      <c r="B44" s="170" t="s">
        <v>137</v>
      </c>
      <c r="C44" s="170"/>
      <c r="D44" s="170"/>
      <c r="E44" s="170"/>
      <c r="F44" s="170"/>
      <c r="O44" s="170" t="s">
        <v>146</v>
      </c>
      <c r="P44" s="170"/>
    </row>
    <row r="45" spans="2:17" ht="30">
      <c r="P45" s="159" t="s">
        <v>151</v>
      </c>
      <c r="Q45" s="159" t="s">
        <v>152</v>
      </c>
    </row>
    <row r="46" spans="2:17">
      <c r="C46" s="158" t="s">
        <v>27</v>
      </c>
      <c r="D46" s="158" t="s">
        <v>28</v>
      </c>
      <c r="E46" s="158" t="s">
        <v>29</v>
      </c>
      <c r="F46" s="158" t="s">
        <v>30</v>
      </c>
      <c r="G46" s="158" t="s">
        <v>31</v>
      </c>
      <c r="H46" s="158" t="s">
        <v>63</v>
      </c>
      <c r="I46" s="158" t="s">
        <v>65</v>
      </c>
      <c r="J46" s="158" t="s">
        <v>68</v>
      </c>
      <c r="K46" s="158" t="s">
        <v>76</v>
      </c>
      <c r="L46" s="158" t="s">
        <v>77</v>
      </c>
      <c r="M46" s="158" t="s">
        <v>122</v>
      </c>
      <c r="O46" s="158" t="s">
        <v>27</v>
      </c>
      <c r="P46" s="130">
        <f>IFERROR(ROUND((CO_PO_PSO_MAPPING!C18*4+CO_PO_PSO_MAPPING!D18*3+CO_PO_PSO_MAPPING!E18*2+CO_PO_PSO_MAPPING!F18*1)/SUM(CO_PO_PSO_MAPPING!C18:F18),2),0)</f>
        <v>3.52</v>
      </c>
      <c r="Q46" s="130">
        <f>ROUND(P46/4*100,0)</f>
        <v>88</v>
      </c>
    </row>
    <row r="47" spans="2:17">
      <c r="B47" s="158" t="s">
        <v>138</v>
      </c>
      <c r="C47" s="130">
        <f>SUMIF(CO_PO_PSO_MAPPING!$V$4:$V$15,"*1*",CO_PO_PSO_MAPPING!$U$4:$U$15)</f>
        <v>16</v>
      </c>
      <c r="D47" s="130">
        <f>SUMIF(CO_PO_PSO_MAPPING!$V$4:$V$15,"*2*",CO_PO_PSO_MAPPING!$U$4:$U$15)</f>
        <v>28</v>
      </c>
      <c r="E47" s="130">
        <f>SUMIF(CO_PO_PSO_MAPPING!$V$4:$V$15,"*3*",CO_PO_PSO_MAPPING!$U$4:$U$15)</f>
        <v>0</v>
      </c>
      <c r="F47" s="130">
        <f>SUMIF(CO_PO_PSO_MAPPING!$V$4:$V$15,"*4*",CO_PO_PSO_MAPPING!$U$4:$U$15)</f>
        <v>0</v>
      </c>
      <c r="G47" s="130">
        <f>SUMIF(CO_PO_PSO_MAPPING!$V$4:$V$15,"*5*",CO_PO_PSO_MAPPING!$U$4:$U$15)</f>
        <v>0</v>
      </c>
      <c r="H47" s="130">
        <f>SUMIF(CO_PO_PSO_MAPPING!$V$4:$V$15,"*6*",CO_PO_PSO_MAPPING!$U$4:$U$15)</f>
        <v>0</v>
      </c>
      <c r="I47" s="130">
        <f>SUMIF(CO_PO_PSO_MAPPING!$V$4:$V$15,"*7*",CO_PO_PSO_MAPPING!$U$4:$U$15)</f>
        <v>0</v>
      </c>
      <c r="J47" s="130">
        <f>SUMIF(CO_PO_PSO_MAPPING!$V$4:$V$15,"*8*",CO_PO_PSO_MAPPING!$U$4:$U$15)</f>
        <v>0</v>
      </c>
      <c r="K47" s="130">
        <f>SUMIF(CO_PO_PSO_MAPPING!$V$4:$V$15,"*9*",CO_PO_PSO_MAPPING!$U$4:$U$15)</f>
        <v>0</v>
      </c>
      <c r="L47" s="130">
        <f>SUMIF(CO_PO_PSO_MAPPING!$V$4:$V$15,"*10*",CO_PO_PSO_MAPPING!$U$4:$U$15)</f>
        <v>0</v>
      </c>
      <c r="M47" s="177">
        <f t="shared" ref="M47:M54" si="2">SUM(C47:L47)</f>
        <v>44</v>
      </c>
      <c r="O47" s="158" t="s">
        <v>28</v>
      </c>
      <c r="P47" s="130">
        <f>IFERROR(ROUND((CO_PO_PSO_MAPPING!C19*4+CO_PO_PSO_MAPPING!D19*3+CO_PO_PSO_MAPPING!E19*2+CO_PO_PSO_MAPPING!F19*1)/SUM(CO_PO_PSO_MAPPING!C19:F19),2),0)</f>
        <v>3.55</v>
      </c>
      <c r="Q47" s="130">
        <f t="shared" ref="Q47:Q55" si="3">ROUND(P47/4*100,0)</f>
        <v>89</v>
      </c>
    </row>
    <row r="48" spans="2:17">
      <c r="B48" s="158" t="s">
        <v>139</v>
      </c>
      <c r="C48" s="130">
        <f>SUMIF(CO_PO_PSO_MAPPING!$V$16:$V$28,"*1*",CO_PO_PSO_MAPPING!$U$16:$U$28)</f>
        <v>18</v>
      </c>
      <c r="D48" s="130">
        <f>SUMIF(CO_PO_PSO_MAPPING!$V$16:$V$28,"*2*",CO_PO_PSO_MAPPING!$U$16:$U$28)</f>
        <v>0</v>
      </c>
      <c r="E48" s="130">
        <f>SUMIF(CO_PO_PSO_MAPPING!$V$16:$V$28,"*3*",CO_PO_PSO_MAPPING!$U$16:$U$28)</f>
        <v>30</v>
      </c>
      <c r="F48" s="130">
        <f>SUMIF(CO_PO_PSO_MAPPING!$V$16:$V$28,"*4*",CO_PO_PSO_MAPPING!$U$16:$U$28)</f>
        <v>0</v>
      </c>
      <c r="G48" s="130">
        <f>SUMIF(CO_PO_PSO_MAPPING!$V$16:$V$28,"*5*",CO_PO_PSO_MAPPING!$U$16:$U$28)</f>
        <v>0</v>
      </c>
      <c r="H48" s="130">
        <f>SUMIF(CO_PO_PSO_MAPPING!$V$16:$V$28,"*6*",CO_PO_PSO_MAPPING!$U$16:$U$28)</f>
        <v>0</v>
      </c>
      <c r="I48" s="130">
        <f>SUMIF(CO_PO_PSO_MAPPING!$V$16:$V$28,"*7*",CO_PO_PSO_MAPPING!$U$16:$U$28)</f>
        <v>0</v>
      </c>
      <c r="J48" s="130">
        <f>SUMIF(CO_PO_PSO_MAPPING!$V$16:$V$28,"*8*",CO_PO_PSO_MAPPING!$U$16:$U$28)</f>
        <v>0</v>
      </c>
      <c r="K48" s="130">
        <f>SUMIF(CO_PO_PSO_MAPPING!$V$16:$V$28,"*9*",CO_PO_PSO_MAPPING!$U$16:$U$28)</f>
        <v>0</v>
      </c>
      <c r="L48" s="130">
        <f>SUMIF(CO_PO_PSO_MAPPING!$V$16:$V$28,"*10*",CO_PO_PSO_MAPPING!$U$16:$U$28)</f>
        <v>0</v>
      </c>
      <c r="M48" s="177">
        <f t="shared" si="2"/>
        <v>48</v>
      </c>
      <c r="O48" s="158" t="s">
        <v>29</v>
      </c>
      <c r="P48" s="130">
        <f>IFERROR(ROUND((CO_PO_PSO_MAPPING!C20*4+CO_PO_PSO_MAPPING!D20*3+CO_PO_PSO_MAPPING!E20*2+CO_PO_PSO_MAPPING!F20*1)/SUM(CO_PO_PSO_MAPPING!C20:F20),2),0)</f>
        <v>3.42</v>
      </c>
      <c r="Q48" s="130">
        <f t="shared" si="3"/>
        <v>86</v>
      </c>
    </row>
    <row r="49" spans="2:17">
      <c r="B49" s="158" t="s">
        <v>140</v>
      </c>
      <c r="C49" s="130">
        <f>SUMIF(CO_PO_PSO_MAPPING!$V$29:$V$40,"*1*",CO_PO_PSO_MAPPING!$U$29:$U$40)</f>
        <v>18</v>
      </c>
      <c r="D49" s="130">
        <f>SUMIF(CO_PO_PSO_MAPPING!$V$29:$V$40,"*2*",CO_PO_PSO_MAPPING!$U$29:$U$40)</f>
        <v>18</v>
      </c>
      <c r="E49" s="130">
        <f>SUMIF(CO_PO_PSO_MAPPING!$V$29:$V$40,"*3*",CO_PO_PSO_MAPPING!$U$29:$U$40)</f>
        <v>24</v>
      </c>
      <c r="F49" s="130">
        <f>SUMIF(CO_PO_PSO_MAPPING!$V$29:$V$40,"*4*",CO_PO_PSO_MAPPING!$U$29:$U$40)</f>
        <v>0</v>
      </c>
      <c r="G49" s="130">
        <f>SUMIF(CO_PO_PSO_MAPPING!$V$29:$V$40,"*5*",CO_PO_PSO_MAPPING!$U$29:$U$40)</f>
        <v>0</v>
      </c>
      <c r="H49" s="130">
        <f>SUMIF(CO_PO_PSO_MAPPING!$V$29:$V$40,"*6*",CO_PO_PSO_MAPPING!$U$29:$U$40)</f>
        <v>0</v>
      </c>
      <c r="I49" s="130">
        <f>SUMIF(CO_PO_PSO_MAPPING!$V$29:$V$40,"*7*",CO_PO_PSO_MAPPING!$U$29:$U$40)</f>
        <v>0</v>
      </c>
      <c r="J49" s="130">
        <f>SUMIF(CO_PO_PSO_MAPPING!$V$29:$V$40,"*8*",CO_PO_PSO_MAPPING!$U$29:$U$40)</f>
        <v>0</v>
      </c>
      <c r="K49" s="130">
        <f>SUMIF(CO_PO_PSO_MAPPING!$V$29:$V$40,"*9*",CO_PO_PSO_MAPPING!$U$29:$U$40)</f>
        <v>0</v>
      </c>
      <c r="L49" s="130">
        <f>SUMIF(CO_PO_PSO_MAPPING!$V$29:$V$40,"*10*",CO_PO_PSO_MAPPING!$U$29:$U$40)</f>
        <v>0</v>
      </c>
      <c r="M49" s="177">
        <f t="shared" si="2"/>
        <v>60</v>
      </c>
      <c r="O49" s="158" t="s">
        <v>30</v>
      </c>
      <c r="P49" s="130">
        <f>IFERROR(ROUND((CO_PO_PSO_MAPPING!C21*4+CO_PO_PSO_MAPPING!D21*3+CO_PO_PSO_MAPPING!E21*2+CO_PO_PSO_MAPPING!F21*1)/SUM(CO_PO_PSO_MAPPING!C21:F21),2),0)</f>
        <v>3.39</v>
      </c>
      <c r="Q49" s="130">
        <f t="shared" si="3"/>
        <v>85</v>
      </c>
    </row>
    <row r="50" spans="2:17">
      <c r="B50" s="158" t="s">
        <v>141</v>
      </c>
      <c r="C50" s="130">
        <v>8</v>
      </c>
      <c r="D50" s="130">
        <v>6</v>
      </c>
      <c r="E50" s="130">
        <v>6</v>
      </c>
      <c r="F50" s="130">
        <f>SUMIF(CO_PO_PSO_MAPPING!$V$41,"*4*",CO_PO_PSO_MAPPING!$U$41)</f>
        <v>0</v>
      </c>
      <c r="G50" s="130">
        <f>SUMIF(CO_PO_PSO_MAPPING!$V$41,"*5*",CO_PO_PSO_MAPPING!$U$41)</f>
        <v>0</v>
      </c>
      <c r="H50" s="130">
        <f>SUMIF(CO_PO_PSO_MAPPING!$V$41,"*6*",CO_PO_PSO_MAPPING!$U$41)</f>
        <v>0</v>
      </c>
      <c r="I50" s="130">
        <f>SUMIF(CO_PO_PSO_MAPPING!$V$41,"*7*",CO_PO_PSO_MAPPING!$U$41)</f>
        <v>0</v>
      </c>
      <c r="J50" s="130">
        <f>SUMIF(CO_PO_PSO_MAPPING!$V$41,"*8*",CO_PO_PSO_MAPPING!$U$41)</f>
        <v>0</v>
      </c>
      <c r="K50" s="130">
        <f>SUMIF(CO_PO_PSO_MAPPING!$V$41,"*9*",CO_PO_PSO_MAPPING!$U$41)</f>
        <v>0</v>
      </c>
      <c r="L50" s="130">
        <f>SUMIF(CO_PO_PSO_MAPPING!$V$41,"*10*",CO_PO_PSO_MAPPING!$U$41)</f>
        <v>0</v>
      </c>
      <c r="M50" s="177">
        <f t="shared" si="2"/>
        <v>20</v>
      </c>
      <c r="O50" s="158" t="s">
        <v>31</v>
      </c>
      <c r="P50" s="130">
        <f>IFERROR(ROUND((CO_PO_PSO_MAPPING!C22*4+CO_PO_PSO_MAPPING!D22*3+CO_PO_PSO_MAPPING!E22*2+CO_PO_PSO_MAPPING!F22*1)/SUM(CO_PO_PSO_MAPPING!C22:F22),2),0)</f>
        <v>3.36</v>
      </c>
      <c r="Q50" s="130">
        <f t="shared" si="3"/>
        <v>84</v>
      </c>
    </row>
    <row r="51" spans="2:17">
      <c r="B51" s="158" t="s">
        <v>142</v>
      </c>
      <c r="C51" s="130">
        <f>SUMIF(CO_PO_PSO_MAPPING!$V$42,"*1*",CO_PO_PSO_MAPPING!$U$42)</f>
        <v>0</v>
      </c>
      <c r="D51" s="130">
        <f>SUMIF(CO_PO_PSO_MAPPING!$V$42,"*2*",CO_PO_PSO_MAPPING!$U$42)</f>
        <v>0</v>
      </c>
      <c r="E51" s="130">
        <f>SUMIF(CO_PO_PSO_MAPPING!$V$42,"*3*",CO_PO_PSO_MAPPING!$U$42)</f>
        <v>0</v>
      </c>
      <c r="F51" s="130">
        <f>SUMIF(CO_PO_PSO_MAPPING!$V$42,"*4*",CO_PO_PSO_MAPPING!$U$42)</f>
        <v>0</v>
      </c>
      <c r="G51" s="130">
        <f>SUMIF(CO_PO_PSO_MAPPING!$V$42,"*5*",CO_PO_PSO_MAPPING!$U$42)</f>
        <v>0</v>
      </c>
      <c r="H51" s="130">
        <f>SUMIF(CO_PO_PSO_MAPPING!$V$42,"*6*",CO_PO_PSO_MAPPING!$U$42)</f>
        <v>0</v>
      </c>
      <c r="I51" s="130">
        <f>SUMIF(CO_PO_PSO_MAPPING!$V$42,"*7*",CO_PO_PSO_MAPPING!$U$42)</f>
        <v>0</v>
      </c>
      <c r="J51" s="130">
        <f>SUMIF(CO_PO_PSO_MAPPING!$V$42,"*8*",CO_PO_PSO_MAPPING!$U$42)</f>
        <v>0</v>
      </c>
      <c r="K51" s="130">
        <f>SUMIF(CO_PO_PSO_MAPPING!$V$42,"*9*",CO_PO_PSO_MAPPING!$U$42)</f>
        <v>0</v>
      </c>
      <c r="L51" s="130">
        <f>SUMIF(CO_PO_PSO_MAPPING!$V$42,"*10*",CO_PO_PSO_MAPPING!$U$42)</f>
        <v>0</v>
      </c>
      <c r="M51" s="177">
        <f t="shared" si="2"/>
        <v>0</v>
      </c>
      <c r="O51" s="158" t="s">
        <v>63</v>
      </c>
      <c r="P51" s="130">
        <f>IFERROR(ROUND((CO_PO_PSO_MAPPING!C23*4+CO_PO_PSO_MAPPING!D23*3+CO_PO_PSO_MAPPING!E23*2+CO_PO_PSO_MAPPING!F23*1)/SUM(CO_PO_PSO_MAPPING!C23:F23),2),0)</f>
        <v>0</v>
      </c>
      <c r="Q51" s="130">
        <f t="shared" si="3"/>
        <v>0</v>
      </c>
    </row>
    <row r="52" spans="2:17">
      <c r="B52" s="158" t="s">
        <v>143</v>
      </c>
      <c r="C52" s="130">
        <f>SUMIF(CO_PO_PSO_MAPPING!$V$43,"*1*",CO_PO_PSO_MAPPING!$U$43)</f>
        <v>0</v>
      </c>
      <c r="D52" s="130">
        <f>SUMIF(CO_PO_PSO_MAPPING!$V$43,"*2*",CO_PO_PSO_MAPPING!$U$43)</f>
        <v>0</v>
      </c>
      <c r="E52" s="130">
        <f>SUMIF(CO_PO_PSO_MAPPING!$V$43,"*3*",CO_PO_PSO_MAPPING!$U$43)</f>
        <v>0</v>
      </c>
      <c r="F52" s="130">
        <f>SUMIF(CO_PO_PSO_MAPPING!$V$43,"*4*",CO_PO_PSO_MAPPING!$U$43)</f>
        <v>15</v>
      </c>
      <c r="G52" s="130">
        <f>SUMIF(CO_PO_PSO_MAPPING!$V$43,"*5*",CO_PO_PSO_MAPPING!$U$43)</f>
        <v>0</v>
      </c>
      <c r="H52" s="130">
        <f>SUMIF(CO_PO_PSO_MAPPING!$V$43,"*6*",CO_PO_PSO_MAPPING!$U$43)</f>
        <v>0</v>
      </c>
      <c r="I52" s="130">
        <f>SUMIF(CO_PO_PSO_MAPPING!$V$43,"*7*",CO_PO_PSO_MAPPING!$U$43)</f>
        <v>0</v>
      </c>
      <c r="J52" s="130">
        <f>SUMIF(CO_PO_PSO_MAPPING!$V$43,"*8*",CO_PO_PSO_MAPPING!$U$43)</f>
        <v>0</v>
      </c>
      <c r="K52" s="130">
        <f>SUMIF(CO_PO_PSO_MAPPING!$V$43,"*9*",CO_PO_PSO_MAPPING!$U$43)</f>
        <v>0</v>
      </c>
      <c r="L52" s="130">
        <f>SUMIF(CO_PO_PSO_MAPPING!$V$43,"*10*",CO_PO_PSO_MAPPING!$U$43)</f>
        <v>0</v>
      </c>
      <c r="M52" s="177">
        <f t="shared" si="2"/>
        <v>15</v>
      </c>
      <c r="O52" s="158" t="s">
        <v>65</v>
      </c>
      <c r="P52" s="130">
        <f>IFERROR(ROUND((CO_PO_PSO_MAPPING!C24*4+CO_PO_PSO_MAPPING!D24*3+CO_PO_PSO_MAPPING!E24*2+CO_PO_PSO_MAPPING!F24*1)/SUM(CO_PO_PSO_MAPPING!C24:F24),2),0)</f>
        <v>0</v>
      </c>
      <c r="Q52" s="130">
        <f t="shared" si="3"/>
        <v>0</v>
      </c>
    </row>
    <row r="53" spans="2:17">
      <c r="B53" s="158" t="s">
        <v>136</v>
      </c>
      <c r="C53" s="130">
        <f>SUMIF(CO_PO_PSO_MAPPING!$V$44,"*1*",CO_PO_PSO_MAPPING!$U$44)</f>
        <v>0</v>
      </c>
      <c r="D53" s="130">
        <f>SUMIF(CO_PO_PSO_MAPPING!$V$44,"*2*",CO_PO_PSO_MAPPING!$U$44)</f>
        <v>0</v>
      </c>
      <c r="E53" s="130">
        <f>SUMIF(CO_PO_PSO_MAPPING!$V$44,"*3*",CO_PO_PSO_MAPPING!$U$44)</f>
        <v>0</v>
      </c>
      <c r="F53" s="130">
        <f>SUMIF(CO_PO_PSO_MAPPING!$V$44,"*4*",CO_PO_PSO_MAPPING!$U$44)</f>
        <v>0</v>
      </c>
      <c r="G53" s="130">
        <f>SUMIF(CO_PO_PSO_MAPPING!$V$44,"*5*",CO_PO_PSO_MAPPING!$U$44)</f>
        <v>10</v>
      </c>
      <c r="H53" s="130">
        <f>SUMIF(CO_PO_PSO_MAPPING!$V$44,"*6*",CO_PO_PSO_MAPPING!$U$44)</f>
        <v>0</v>
      </c>
      <c r="I53" s="130">
        <f>SUMIF(CO_PO_PSO_MAPPING!$V$44,"*7*",CO_PO_PSO_MAPPING!$U$44)</f>
        <v>0</v>
      </c>
      <c r="J53" s="130">
        <f>SUMIF(CO_PO_PSO_MAPPING!$V$44,"*8*",CO_PO_PSO_MAPPING!$U$44)</f>
        <v>0</v>
      </c>
      <c r="K53" s="130">
        <f>SUMIF(CO_PO_PSO_MAPPING!$V$44,"*9*",CO_PO_PSO_MAPPING!$U$44)</f>
        <v>0</v>
      </c>
      <c r="L53" s="130">
        <f>SUMIF(CO_PO_PSO_MAPPING!$V$44,"*10*",CO_PO_PSO_MAPPING!$U$44)</f>
        <v>0</v>
      </c>
      <c r="M53" s="177">
        <f t="shared" si="2"/>
        <v>10</v>
      </c>
      <c r="O53" s="158" t="s">
        <v>68</v>
      </c>
      <c r="P53" s="130">
        <f>IFERROR(ROUND((CO_PO_PSO_MAPPING!C25*4+CO_PO_PSO_MAPPING!D25*3+CO_PO_PSO_MAPPING!E25*2+CO_PO_PSO_MAPPING!F25*1)/SUM(CO_PO_PSO_MAPPING!C25:F25),2),0)</f>
        <v>0</v>
      </c>
      <c r="Q53" s="130">
        <f t="shared" si="3"/>
        <v>0</v>
      </c>
    </row>
    <row r="54" spans="2:17">
      <c r="B54" s="175" t="s">
        <v>144</v>
      </c>
      <c r="C54" s="176">
        <f>SUM(C47:C53)</f>
        <v>60</v>
      </c>
      <c r="D54" s="176">
        <f t="shared" ref="D54:L54" si="4">SUM(D47:D53)</f>
        <v>52</v>
      </c>
      <c r="E54" s="176">
        <f t="shared" si="4"/>
        <v>60</v>
      </c>
      <c r="F54" s="176">
        <f t="shared" si="4"/>
        <v>15</v>
      </c>
      <c r="G54" s="176">
        <f t="shared" si="4"/>
        <v>10</v>
      </c>
      <c r="H54" s="176">
        <f t="shared" si="4"/>
        <v>0</v>
      </c>
      <c r="I54" s="176">
        <f t="shared" si="4"/>
        <v>0</v>
      </c>
      <c r="J54" s="176">
        <f t="shared" si="4"/>
        <v>0</v>
      </c>
      <c r="K54" s="176">
        <f t="shared" si="4"/>
        <v>0</v>
      </c>
      <c r="L54" s="176">
        <f t="shared" si="4"/>
        <v>0</v>
      </c>
      <c r="M54" s="176">
        <f t="shared" si="2"/>
        <v>197</v>
      </c>
      <c r="O54" s="158" t="s">
        <v>76</v>
      </c>
      <c r="P54" s="130">
        <f>IFERROR(ROUND((CO_PO_PSO_MAPPING!C26*4+CO_PO_PSO_MAPPING!D26*3+CO_PO_PSO_MAPPING!E26*2+CO_PO_PSO_MAPPING!F26*1)/SUM(CO_PO_PSO_MAPPING!C26:F26),2),0)</f>
        <v>0</v>
      </c>
      <c r="Q54" s="130">
        <f t="shared" si="3"/>
        <v>0</v>
      </c>
    </row>
    <row r="55" spans="2:17">
      <c r="B55" s="178" t="s">
        <v>145</v>
      </c>
      <c r="C55" s="179">
        <f t="shared" ref="C55:M55" si="5">ROUND(C54/$M$54*100,0)</f>
        <v>30</v>
      </c>
      <c r="D55" s="179">
        <f t="shared" si="5"/>
        <v>26</v>
      </c>
      <c r="E55" s="179">
        <f t="shared" si="5"/>
        <v>30</v>
      </c>
      <c r="F55" s="179">
        <f t="shared" si="5"/>
        <v>8</v>
      </c>
      <c r="G55" s="179">
        <f t="shared" si="5"/>
        <v>5</v>
      </c>
      <c r="H55" s="179">
        <f t="shared" si="5"/>
        <v>0</v>
      </c>
      <c r="I55" s="179">
        <f t="shared" si="5"/>
        <v>0</v>
      </c>
      <c r="J55" s="179">
        <f t="shared" si="5"/>
        <v>0</v>
      </c>
      <c r="K55" s="179">
        <f t="shared" si="5"/>
        <v>0</v>
      </c>
      <c r="L55" s="179">
        <f t="shared" si="5"/>
        <v>0</v>
      </c>
      <c r="M55" s="179">
        <f t="shared" si="5"/>
        <v>100</v>
      </c>
      <c r="O55" s="158" t="s">
        <v>77</v>
      </c>
      <c r="P55" s="130">
        <f>IFERROR(ROUND((CO_PO_PSO_MAPPING!C27*4+CO_PO_PSO_MAPPING!D27*3+CO_PO_PSO_MAPPING!E27*2+CO_PO_PSO_MAPPING!F27*1)/SUM(CO_PO_PSO_MAPPING!C27:F27),2),0)</f>
        <v>0</v>
      </c>
      <c r="Q55" s="130">
        <f t="shared" si="3"/>
        <v>0</v>
      </c>
    </row>
    <row r="57" spans="2:17" ht="15.75" thickBot="1"/>
    <row r="58" spans="2:17" ht="45">
      <c r="B58" s="86" t="s">
        <v>202</v>
      </c>
      <c r="C58" s="58" t="s">
        <v>45</v>
      </c>
      <c r="D58" s="58" t="s">
        <v>46</v>
      </c>
      <c r="E58" s="58" t="s">
        <v>47</v>
      </c>
      <c r="F58" s="58" t="s">
        <v>48</v>
      </c>
      <c r="G58" s="58" t="s">
        <v>49</v>
      </c>
      <c r="H58" s="58" t="s">
        <v>50</v>
      </c>
      <c r="I58" s="58" t="s">
        <v>51</v>
      </c>
      <c r="J58" s="58" t="s">
        <v>52</v>
      </c>
      <c r="K58" s="58" t="s">
        <v>53</v>
      </c>
      <c r="L58" s="58" t="s">
        <v>54</v>
      </c>
      <c r="M58" s="58" t="s">
        <v>55</v>
      </c>
      <c r="N58" s="58" t="s">
        <v>56</v>
      </c>
      <c r="O58" s="58" t="s">
        <v>107</v>
      </c>
      <c r="P58" s="58" t="s">
        <v>108</v>
      </c>
      <c r="Q58" s="209" t="s">
        <v>109</v>
      </c>
    </row>
    <row r="59" spans="2:17" ht="64.5">
      <c r="B59" s="213" t="str">
        <f>CO_PO_PSO_MAPPING!A4</f>
        <v>CO1:Ability to apply knowledge of mobile app development using android packages and resources for different applications.</v>
      </c>
      <c r="C59" s="223">
        <f>IF(CO_PO_PSO_MAPPING!C4&gt;=1,IF(AND($C$55&lt;10,$C$55&gt;0),1,IF(AND($C$55&gt;10,$C$55&lt;20),2,IF($C$55&gt;20,3,""))),"")</f>
        <v>3</v>
      </c>
      <c r="D59" s="223" t="str">
        <f>IF(CO_PO_PSO_MAPPING!D4&gt;=1,IF(AND($C$55&lt;10,$C$55&gt;0),1,IF(AND($C$55&gt;10,$C$55&lt;20),2,IF($C$55&gt;20,3,""))),"")</f>
        <v/>
      </c>
      <c r="E59" s="223" t="str">
        <f>IF(CO_PO_PSO_MAPPING!E4&gt;=1,IF(AND($C$55&lt;10,$C$55&gt;0),1,IF(AND($C$55&gt;10,$C$55&lt;20),2,IF($C$55&gt;20,3,""))),"")</f>
        <v/>
      </c>
      <c r="F59" s="223" t="str">
        <f>IF(CO_PO_PSO_MAPPING!F4&gt;=1,IF(AND($C$55&lt;10,$C$55&gt;0),1,IF(AND($C$55&gt;10,$C$55&lt;20),2,IF($C$55&gt;20,3,""))),"")</f>
        <v/>
      </c>
      <c r="G59" s="223" t="str">
        <f>IF(CO_PO_PSO_MAPPING!G4&gt;=1,IF(AND($C$55&lt;10,$C$55&gt;0),1,IF(AND($C$55&gt;10,$C$55&lt;20),2,IF($C$55&gt;20,3,""))),"")</f>
        <v/>
      </c>
      <c r="H59" s="223" t="str">
        <f>IF(CO_PO_PSO_MAPPING!H4&gt;=1,IF(AND($C$55&lt;10,$C$55&gt;0),1,IF(AND($C$55&gt;10,$C$55&lt;20),2,IF($C$55&gt;20,3,""))),"")</f>
        <v/>
      </c>
      <c r="I59" s="223" t="str">
        <f>IF(CO_PO_PSO_MAPPING!I4&gt;=1,IF(AND($C$55&lt;10,$C$55&gt;0),1,IF(AND($C$55&gt;10,$C$55&lt;20),2,IF($C$55&gt;20,3,""))),"")</f>
        <v/>
      </c>
      <c r="J59" s="223" t="str">
        <f>IF(CO_PO_PSO_MAPPING!J4&gt;=1,IF(AND($C$55&lt;10,$C$55&gt;0),1,IF(AND($C$55&gt;10,$C$55&lt;20),2,IF($C$55&gt;20,3,""))),"")</f>
        <v/>
      </c>
      <c r="K59" s="223" t="str">
        <f>IF(CO_PO_PSO_MAPPING!K4&gt;=1,IF(AND($C$55&lt;10,$C$55&gt;0),1,IF(AND($C$55&gt;10,$C$55&lt;20),2,IF($C$55&gt;20,3,""))),"")</f>
        <v/>
      </c>
      <c r="L59" s="223" t="str">
        <f>IF(CO_PO_PSO_MAPPING!L4&gt;=1,IF(AND($C$55&lt;10,$C$55&gt;0),1,IF(AND($C$55&gt;10,$C$55&lt;20),2,IF($C$55&gt;20,3,""))),"")</f>
        <v/>
      </c>
      <c r="M59" s="223" t="str">
        <f>IF(CO_PO_PSO_MAPPING!M4&gt;=1,IF(AND($C$55&lt;10,$C$55&gt;0),1,IF(AND($C$55&gt;10,$C$55&lt;20),2,IF($C$55&gt;20,3,""))),"")</f>
        <v/>
      </c>
      <c r="N59" s="223" t="str">
        <f>IF(CO_PO_PSO_MAPPING!N4&gt;=1,IF(AND($C$55&lt;10,$C$55&gt;0),1,IF(AND($C$55&gt;10,$C$55&lt;20),2,IF($C$55&gt;20,3,""))),"")</f>
        <v/>
      </c>
      <c r="O59" s="223" t="str">
        <f>IF(CO_PO_PSO_MAPPING!O4&gt;=1,IF(AND($C$55&lt;10,$C$55&gt;0),1,IF(AND($C$55&gt;10,$C$55&lt;20),2,IF($C$55&gt;20,3,""))),"")</f>
        <v/>
      </c>
      <c r="P59" s="223">
        <f>IF(CO_PO_PSO_MAPPING!P4&gt;=1,IF(AND($C$55&lt;10,$C$55&gt;0),1,IF(AND($C$55&gt;10,$C$55&lt;20),2,IF($C$55&gt;20,3,""))),"")</f>
        <v>3</v>
      </c>
      <c r="Q59" s="223" t="str">
        <f>IF(CO_PO_PSO_MAPPING!Q4&gt;=1,IF(AND($C$55&lt;10,$C$55&gt;0),1,IF(AND($C$55&gt;10,$C$55&lt;20),2,IF($C$55&gt;20,3,""))),"")</f>
        <v/>
      </c>
    </row>
    <row r="60" spans="2:17" ht="51.75">
      <c r="B60" s="213" t="str">
        <f>CO_PO_PSO_MAPPING!A5</f>
        <v>CO2:Ability to analyze the given android program to identify bugs and to write correct code.</v>
      </c>
      <c r="C60" s="223" t="str">
        <f>IF(CO_PO_PSO_MAPPING!C5&gt;=1,IF(AND($D$55&lt;10,$D$55&gt;0),1,IF(AND($D$55&gt;10,$D$55&lt;20),2,IF($D$55&gt;20,3,""))),"")</f>
        <v/>
      </c>
      <c r="D60" s="223">
        <f>IF(CO_PO_PSO_MAPPING!D5&gt;=1,IF(AND($D$55&lt;10,$D$55&gt;0),1,IF(AND($D$55&gt;10,$D$55&lt;20),2,IF($D$55&gt;20,3,""))),"")</f>
        <v>3</v>
      </c>
      <c r="E60" s="223" t="str">
        <f>IF(CO_PO_PSO_MAPPING!E5&gt;=1,IF(AND($D$55&lt;10,$D$55&gt;0),1,IF(AND($D$55&gt;10,$D$55&lt;20),2,IF($D$55&gt;20,3,""))),"")</f>
        <v/>
      </c>
      <c r="F60" s="223" t="str">
        <f>IF(CO_PO_PSO_MAPPING!F5&gt;=1,IF(AND($D$55&lt;10,$D$55&gt;0),1,IF(AND($D$55&gt;10,$D$55&lt;20),2,IF($D$55&gt;20,3,""))),"")</f>
        <v/>
      </c>
      <c r="G60" s="223" t="str">
        <f>IF(CO_PO_PSO_MAPPING!G5&gt;=1,IF(AND($D$55&lt;10,$D$55&gt;0),1,IF(AND($D$55&gt;10,$D$55&lt;20),2,IF($D$55&gt;20,3,""))),"")</f>
        <v/>
      </c>
      <c r="H60" s="223" t="str">
        <f>IF(CO_PO_PSO_MAPPING!H5&gt;=1,IF(AND($D$55&lt;10,$D$55&gt;0),1,IF(AND($D$55&gt;10,$D$55&lt;20),2,IF($D$55&gt;20,3,""))),"")</f>
        <v/>
      </c>
      <c r="I60" s="223" t="str">
        <f>IF(CO_PO_PSO_MAPPING!I5&gt;=1,IF(AND($D$55&lt;10,$D$55&gt;0),1,IF(AND($D$55&gt;10,$D$55&lt;20),2,IF($D$55&gt;20,3,""))),"")</f>
        <v/>
      </c>
      <c r="J60" s="223" t="str">
        <f>IF(CO_PO_PSO_MAPPING!J5&gt;=1,IF(AND($D$55&lt;10,$D$55&gt;0),1,IF(AND($D$55&gt;10,$D$55&lt;20),2,IF($D$55&gt;20,3,""))),"")</f>
        <v/>
      </c>
      <c r="K60" s="223" t="str">
        <f>IF(CO_PO_PSO_MAPPING!K5&gt;=1,IF(AND($D$55&lt;10,$D$55&gt;0),1,IF(AND($D$55&gt;10,$D$55&lt;20),2,IF($D$55&gt;20,3,""))),"")</f>
        <v/>
      </c>
      <c r="L60" s="223" t="str">
        <f>IF(CO_PO_PSO_MAPPING!L5&gt;=1,IF(AND($D$55&lt;10,$D$55&gt;0),1,IF(AND($D$55&gt;10,$D$55&lt;20),2,IF($D$55&gt;20,3,""))),"")</f>
        <v/>
      </c>
      <c r="M60" s="223" t="str">
        <f>IF(CO_PO_PSO_MAPPING!M5&gt;=1,IF(AND($D$55&lt;10,$D$55&gt;0),1,IF(AND($D$55&gt;10,$D$55&lt;20),2,IF($D$55&gt;20,3,""))),"")</f>
        <v/>
      </c>
      <c r="N60" s="223" t="str">
        <f>IF(CO_PO_PSO_MAPPING!N5&gt;=1,IF(AND($D$55&lt;10,$D$55&gt;0),1,IF(AND($D$55&gt;10,$D$55&lt;20),2,IF($D$55&gt;20,3,""))),"")</f>
        <v/>
      </c>
      <c r="O60" s="223" t="str">
        <f>IF(CO_PO_PSO_MAPPING!O5&gt;=1,IF(AND($D$55&lt;10,$D$55&gt;0),1,IF(AND($D$55&gt;10,$D$55&lt;20),2,IF($D$55&gt;20,3,""))),"")</f>
        <v/>
      </c>
      <c r="P60" s="223">
        <f>IF(CO_PO_PSO_MAPPING!P5&gt;=1,IF(AND($D$55&lt;10,$D$55&gt;0),1,IF(AND($D$55&gt;10,$D$55&lt;20),2,IF($D$55&gt;20,3,""))),"")</f>
        <v>3</v>
      </c>
      <c r="Q60" s="223" t="str">
        <f>IF(CO_PO_PSO_MAPPING!Q5&gt;=1,IF(AND($D$55&lt;10,$D$55&gt;0),1,IF(AND($D$55&gt;10,$D$55&lt;20),2,IF($D$55&gt;20,3,""))),"")</f>
        <v/>
      </c>
    </row>
    <row r="61" spans="2:17" ht="39">
      <c r="B61" s="213" t="str">
        <f>CO_PO_PSO_MAPPING!A6</f>
        <v>CO3: Ability to design android mobile applications for a given requirement.</v>
      </c>
      <c r="C61" s="223" t="str">
        <f>IF(CO_PO_PSO_MAPPING!C6&gt;=1,IF(AND($E$55&lt;10,$E$55&gt;0),1,IF(AND($E$55&gt;10,$E$55&lt;20),2,IF($E$55&gt;20,3,""))),"")</f>
        <v/>
      </c>
      <c r="D61" s="223" t="str">
        <f>IF(CO_PO_PSO_MAPPING!D6&gt;=1,IF(AND($E$55&lt;10,$E$55&gt;0),1,IF(AND($E$55&gt;10,$E$55&lt;20),2,IF($E$55&gt;20,3,""))),"")</f>
        <v/>
      </c>
      <c r="E61" s="223">
        <f>IF(CO_PO_PSO_MAPPING!E6&gt;=1,IF(AND($E$55&lt;10,$E$55&gt;0),1,IF(AND($E$55&gt;10,$E$55&lt;20),2,IF($E$55&gt;20,3,""))),"")</f>
        <v>3</v>
      </c>
      <c r="F61" s="223" t="str">
        <f>IF(CO_PO_PSO_MAPPING!F6&gt;=1,IF(AND($E$55&lt;10,$E$55&gt;0),1,IF(AND($E$55&gt;10,$E$55&lt;20),2,IF($E$55&gt;20,3,""))),"")</f>
        <v/>
      </c>
      <c r="G61" s="223" t="str">
        <f>IF(CO_PO_PSO_MAPPING!G6&gt;=1,IF(AND($E$55&lt;10,$E$55&gt;0),1,IF(AND($E$55&gt;10,$E$55&lt;20),2,IF($E$55&gt;20,3,""))),"")</f>
        <v/>
      </c>
      <c r="H61" s="223" t="str">
        <f>IF(CO_PO_PSO_MAPPING!H6&gt;=1,IF(AND($E$55&lt;10,$E$55&gt;0),1,IF(AND($E$55&gt;10,$E$55&lt;20),2,IF($E$55&gt;20,3,""))),"")</f>
        <v/>
      </c>
      <c r="I61" s="223" t="str">
        <f>IF(CO_PO_PSO_MAPPING!I6&gt;=1,IF(AND($E$55&lt;10,$E$55&gt;0),1,IF(AND($E$55&gt;10,$E$55&lt;20),2,IF($E$55&gt;20,3,""))),"")</f>
        <v/>
      </c>
      <c r="J61" s="223" t="str">
        <f>IF(CO_PO_PSO_MAPPING!J6&gt;=1,IF(AND($E$55&lt;10,$E$55&gt;0),1,IF(AND($E$55&gt;10,$E$55&lt;20),2,IF($E$55&gt;20,3,""))),"")</f>
        <v/>
      </c>
      <c r="K61" s="223" t="str">
        <f>IF(CO_PO_PSO_MAPPING!K6&gt;=1,IF(AND($E$55&lt;10,$E$55&gt;0),1,IF(AND($E$55&gt;10,$E$55&lt;20),2,IF($E$55&gt;20,3,""))),"")</f>
        <v/>
      </c>
      <c r="L61" s="223" t="str">
        <f>IF(CO_PO_PSO_MAPPING!L6&gt;=1,IF(AND($E$55&lt;10,$E$55&gt;0),1,IF(AND($E$55&gt;10,$E$55&lt;20),2,IF($E$55&gt;20,3,""))),"")</f>
        <v/>
      </c>
      <c r="M61" s="223" t="str">
        <f>IF(CO_PO_PSO_MAPPING!M6&gt;=1,IF(AND($E$55&lt;10,$E$55&gt;0),1,IF(AND($E$55&gt;10,$E$55&lt;20),2,IF($E$55&gt;20,3,""))),"")</f>
        <v/>
      </c>
      <c r="N61" s="223" t="str">
        <f>IF(CO_PO_PSO_MAPPING!N6&gt;=1,IF(AND($E$55&lt;10,$E$55&gt;0),1,IF(AND($E$55&gt;10,$E$55&lt;20),2,IF($E$55&gt;20,3,""))),"")</f>
        <v/>
      </c>
      <c r="O61" s="223" t="str">
        <f>IF(CO_PO_PSO_MAPPING!O6&gt;=1,IF(AND($E$55&lt;10,$E$55&gt;0),1,IF(AND($E$55&gt;10,$E$55&lt;20),2,IF($E$55&gt;20,3,""))),"")</f>
        <v/>
      </c>
      <c r="P61" s="223">
        <f>IF(CO_PO_PSO_MAPPING!P6&gt;=1,IF(AND($E$55&lt;10,$E$55&gt;0),1,IF(AND($E$55&gt;10,$E$55&lt;20),2,IF($E$55&gt;20,3,""))),"")</f>
        <v>3</v>
      </c>
      <c r="Q61" s="223">
        <f>IF(CO_PO_PSO_MAPPING!Q6&gt;=1,IF(AND($E$55&lt;10,$E$55&gt;0),1,IF(AND($E$55&gt;10,$E$55&lt;20),2,IF($E$55&gt;20,3,""))),"")</f>
        <v>3</v>
      </c>
    </row>
    <row r="62" spans="2:17" ht="69" customHeight="1">
      <c r="B62" s="213" t="str">
        <f>CO_PO_PSO_MAPPING!A7</f>
        <v>CO4: Ability to conduct practical experiments for demonstrating  features of  mobile applications using android studio platform</v>
      </c>
      <c r="C62" s="223" t="str">
        <f>IF(CO_PO_PSO_MAPPING!C7&gt;=1,IF(AND($F$55&lt;10,$F$55&gt;0),1,IF(AND($F$55&gt;10,$F$55&lt;20),2,IF($F$55&gt;20,3,""))),"")</f>
        <v/>
      </c>
      <c r="D62" s="223" t="str">
        <f>IF(CO_PO_PSO_MAPPING!D7&gt;=1,IF(AND($F$55&lt;10,$F$55&gt;0),1,IF(AND($F$55&gt;10,$F$55&lt;20),2,IF($F$55&gt;20,3,""))),"")</f>
        <v/>
      </c>
      <c r="E62" s="223" t="str">
        <f>IF(CO_PO_PSO_MAPPING!E7&gt;=1,IF(AND($F$55&lt;10,$F$55&gt;0),1,IF(AND($F$55&gt;10,$F$55&lt;20),2,IF($F$55&gt;20,3,""))),"")</f>
        <v/>
      </c>
      <c r="F62" s="223" t="str">
        <f>IF(CO_PO_PSO_MAPPING!F7&gt;=1,IF(AND($F$55&lt;10,$F$55&gt;0),1,IF(AND($F$55&gt;10,$F$55&lt;20),2,IF($F$55&gt;20,3,""))),"")</f>
        <v/>
      </c>
      <c r="G62" s="223">
        <f>IF(CO_PO_PSO_MAPPING!G7&gt;=1,IF(AND($F$55&lt;10,$F$55&gt;0),1,IF(AND($F$55&gt;10,$F$55&lt;20),2,IF($F$55&gt;20,3,""))),"")</f>
        <v>1</v>
      </c>
      <c r="H62" s="223" t="str">
        <f>IF(CO_PO_PSO_MAPPING!H7&gt;=1,IF(AND($F$55&lt;10,$F$55&gt;0),1,IF(AND($F$55&gt;10,$F$55&lt;20),2,IF($F$55&gt;20,3,""))),"")</f>
        <v/>
      </c>
      <c r="I62" s="223" t="str">
        <f>IF(CO_PO_PSO_MAPPING!I7&gt;=1,IF(AND($F$55&lt;10,$F$55&gt;0),1,IF(AND($F$55&gt;10,$F$55&lt;20),2,IF($F$55&gt;20,3,""))),"")</f>
        <v/>
      </c>
      <c r="J62" s="223" t="str">
        <f>IF(CO_PO_PSO_MAPPING!J7&gt;=1,IF(AND($F$55&lt;10,$F$55&gt;0),1,IF(AND($F$55&gt;10,$F$55&lt;20),2,IF($F$55&gt;20,3,""))),"")</f>
        <v/>
      </c>
      <c r="K62" s="223" t="str">
        <f>IF(CO_PO_PSO_MAPPING!K7&gt;=1,IF(AND($F$55&lt;10,$F$55&gt;0),1,IF(AND($F$55&gt;10,$F$55&lt;20),2,IF($F$55&gt;20,3,""))),"")</f>
        <v/>
      </c>
      <c r="L62" s="223" t="str">
        <f>IF(CO_PO_PSO_MAPPING!L7&gt;=1,IF(AND($F$55&lt;10,$F$55&gt;0),1,IF(AND($F$55&gt;10,$F$55&lt;20),2,IF($F$55&gt;20,3,""))),"")</f>
        <v/>
      </c>
      <c r="M62" s="223" t="str">
        <f>IF(CO_PO_PSO_MAPPING!M7&gt;=1,IF(AND($F$55&lt;10,$F$55&gt;0),1,IF(AND($F$55&gt;10,$F$55&lt;20),2,IF($F$55&gt;20,3,""))),"")</f>
        <v/>
      </c>
      <c r="N62" s="223" t="str">
        <f>IF(CO_PO_PSO_MAPPING!N7&gt;=1,IF(AND($F$55&lt;10,$F$55&gt;0),1,IF(AND($F$55&gt;10,$F$55&lt;20),2,IF($F$55&gt;20,3,""))),"")</f>
        <v/>
      </c>
      <c r="O62" s="223" t="str">
        <f>IF(CO_PO_PSO_MAPPING!O7&gt;=1,IF(AND($F$55&lt;10,$F$55&gt;0),1,IF(AND($F$55&gt;10,$F$55&lt;20),2,IF($F$55&gt;20,3,""))),"")</f>
        <v/>
      </c>
      <c r="P62" s="223">
        <f>IF(CO_PO_PSO_MAPPING!P7&gt;=1,IF(AND($F$55&lt;10,$F$55&gt;0),1,IF(AND($F$55&gt;10,$F$55&lt;20),2,IF($F$55&gt;20,3,""))),"")</f>
        <v>1</v>
      </c>
      <c r="Q62" s="223" t="str">
        <f>IF(CO_PO_PSO_MAPPING!Q7&gt;=1,IF(AND($F$55&lt;10,$F$55&gt;0),1,IF(AND($F$55&gt;10,$F$55&lt;20),2,IF($F$55&gt;20,3,""))),"")</f>
        <v/>
      </c>
    </row>
    <row r="63" spans="2:17" ht="51.75">
      <c r="B63" s="213" t="str">
        <f>CO_PO_PSO_MAPPING!A8</f>
        <v>CO5: Ability to develop a project using android studio platform to solve societal problems.</v>
      </c>
      <c r="C63" s="223">
        <f>IF(CO_PO_PSO_MAPPING!C8&gt;=1,IF(AND($G$55&lt;10,$G$55&gt;0),1,IF(AND($G$55&gt;10,$G$55&lt;20),2,IF($G$55&gt;20,3,""))),"")</f>
        <v>1</v>
      </c>
      <c r="D63" s="223">
        <f>IF(CO_PO_PSO_MAPPING!D8&gt;=1,IF(AND($G$55&lt;10,$G$55&gt;0),1,IF(AND($G$55&gt;10,$G$55&lt;20),2,IF($G$55&gt;20,3,""))),"")</f>
        <v>1</v>
      </c>
      <c r="E63" s="223">
        <f>IF(CO_PO_PSO_MAPPING!E8&gt;=1,IF(AND($G$55&lt;10,$G$55&gt;0),1,IF(AND($G$55&gt;10,$G$55&lt;20),2,IF($G$55&gt;20,3,""))),"")</f>
        <v>1</v>
      </c>
      <c r="F63" s="223">
        <f>IF(CO_PO_PSO_MAPPING!F8&gt;=1,IF(AND($G$55&lt;10,$G$55&gt;0),1,IF(AND($G$55&gt;10,$G$55&lt;20),2,IF($G$55&gt;20,3,""))),"")</f>
        <v>1</v>
      </c>
      <c r="G63" s="223">
        <f>IF(CO_PO_PSO_MAPPING!G8&gt;=1,IF(AND($G$55&lt;10,$G$55&gt;0),1,IF(AND($G$55&gt;10,$G$55&lt;20),2,IF($G$55&gt;20,3,""))),"")</f>
        <v>1</v>
      </c>
      <c r="H63" s="223">
        <f>IF(CO_PO_PSO_MAPPING!H8&gt;=1,IF(AND($G$55&lt;10,$G$55&gt;0),1,IF(AND($G$55&gt;10,$G$55&lt;20),2,IF($G$55&gt;20,3,""))),"")</f>
        <v>1</v>
      </c>
      <c r="I63" s="223" t="str">
        <f>IF(CO_PO_PSO_MAPPING!I8&gt;=1,IF(AND($G$55&lt;10,$G$55&gt;0),1,IF(AND($G$55&gt;10,$G$55&lt;20),2,IF($G$55&gt;20,3,""))),"")</f>
        <v/>
      </c>
      <c r="J63" s="223" t="str">
        <f>IF(CO_PO_PSO_MAPPING!J8&gt;=1,IF(AND($G$55&lt;10,$G$55&gt;0),1,IF(AND($G$55&gt;10,$G$55&lt;20),2,IF($G$55&gt;20,3,""))),"")</f>
        <v/>
      </c>
      <c r="K63" s="223">
        <f>IF(CO_PO_PSO_MAPPING!K8&gt;=1,IF(AND($G$55&lt;10,$G$55&gt;0),1,IF(AND($G$55&gt;10,$G$55&lt;20),2,IF($G$55&gt;20,3,""))),"")</f>
        <v>1</v>
      </c>
      <c r="L63" s="223">
        <f>IF(CO_PO_PSO_MAPPING!L8&gt;=1,IF(AND($G$55&lt;10,$G$55&gt;0),1,IF(AND($G$55&gt;10,$G$55&lt;20),2,IF($G$55&gt;20,3,""))),"")</f>
        <v>1</v>
      </c>
      <c r="M63" s="223" t="str">
        <f>IF(CO_PO_PSO_MAPPING!M8&gt;=1,IF(AND($G$55&lt;10,$G$55&gt;0),1,IF(AND($G$55&gt;10,$G$55&lt;20),2,IF($G$55&gt;20,3,""))),"")</f>
        <v/>
      </c>
      <c r="N63" s="223">
        <f>IF(CO_PO_PSO_MAPPING!N8&gt;=1,IF(AND($G$55&lt;10,$G$55&gt;0),1,IF(AND($G$55&gt;10,$G$55&lt;20),2,IF($G$55&gt;20,3,""))),"")</f>
        <v>1</v>
      </c>
      <c r="O63" s="223">
        <f>IF(CO_PO_PSO_MAPPING!O8&gt;=1,IF(AND($G$55&lt;10,$G$55&gt;0),1,IF(AND($G$55&gt;10,$G$55&lt;20),2,IF($G$55&gt;20,3,""))),"")</f>
        <v>1</v>
      </c>
      <c r="P63" s="223">
        <f>IF(CO_PO_PSO_MAPPING!P8&gt;=1,IF(AND($G$55&lt;10,$G$55&gt;0),1,IF(AND($G$55&gt;10,$G$55&lt;20),2,IF($G$55&gt;20,3,""))),"")</f>
        <v>1</v>
      </c>
      <c r="Q63" s="223">
        <f>IF(CO_PO_PSO_MAPPING!Q8&gt;=1,IF(AND($G$55&lt;10,$G$55&gt;0),1,IF(AND($G$55&gt;10,$G$55&lt;20),2,IF($G$55&gt;20,3,""))),"")</f>
        <v>1</v>
      </c>
    </row>
    <row r="64" spans="2:17" ht="15.75">
      <c r="B64" s="213" t="str">
        <f>CO_PO_PSO_MAPPING!A9</f>
        <v>CO6</v>
      </c>
      <c r="C64" s="223" t="str">
        <f>IF(CO_PO_PSO_MAPPING!C9&gt;=1,IF(AND($H$55&lt;10,$H$55&gt;0),1,IF(AND($H$55&gt;10,$H$55&lt;20),2,IF($H$55&gt;20,3,""))),"")</f>
        <v/>
      </c>
      <c r="D64" s="223" t="str">
        <f>IF(CO_PO_PSO_MAPPING!D9&gt;=1,IF(AND($H$55&lt;10,$H$55&gt;0),1,IF(AND($H$55&gt;10,$H$55&lt;20),2,IF($H$55&gt;20,3,""))),"")</f>
        <v/>
      </c>
      <c r="E64" s="223" t="str">
        <f>IF(CO_PO_PSO_MAPPING!E9&gt;=1,IF(AND($H$55&lt;10,$H$55&gt;0),1,IF(AND($H$55&gt;10,$H$55&lt;20),2,IF($H$55&gt;20,3,""))),"")</f>
        <v/>
      </c>
      <c r="F64" s="223" t="str">
        <f>IF(CO_PO_PSO_MAPPING!F9&gt;=1,IF(AND($H$55&lt;10,$H$55&gt;0),1,IF(AND($H$55&gt;10,$H$55&lt;20),2,IF($H$55&gt;20,3,""))),"")</f>
        <v/>
      </c>
      <c r="G64" s="223" t="str">
        <f>IF(CO_PO_PSO_MAPPING!G9&gt;=1,IF(AND($H$55&lt;10,$H$55&gt;0),1,IF(AND($H$55&gt;10,$H$55&lt;20),2,IF($H$55&gt;20,3,""))),"")</f>
        <v/>
      </c>
      <c r="H64" s="223" t="str">
        <f>IF(CO_PO_PSO_MAPPING!H9&gt;=1,IF(AND($H$55&lt;10,$H$55&gt;0),1,IF(AND($H$55&gt;10,$H$55&lt;20),2,IF($H$55&gt;20,3,""))),"")</f>
        <v/>
      </c>
      <c r="I64" s="223" t="str">
        <f>IF(CO_PO_PSO_MAPPING!I9&gt;=1,IF(AND($H$55&lt;10,$H$55&gt;0),1,IF(AND($H$55&gt;10,$H$55&lt;20),2,IF($H$55&gt;20,3,""))),"")</f>
        <v/>
      </c>
      <c r="J64" s="223" t="str">
        <f>IF(CO_PO_PSO_MAPPING!J9&gt;=1,IF(AND($H$55&lt;10,$H$55&gt;0),1,IF(AND($H$55&gt;10,$H$55&lt;20),2,IF($H$55&gt;20,3,""))),"")</f>
        <v/>
      </c>
      <c r="K64" s="223" t="str">
        <f>IF(CO_PO_PSO_MAPPING!K9&gt;=1,IF(AND($H$55&lt;10,$H$55&gt;0),1,IF(AND($H$55&gt;10,$H$55&lt;20),2,IF($H$55&gt;20,3,""))),"")</f>
        <v/>
      </c>
      <c r="L64" s="223" t="str">
        <f>IF(CO_PO_PSO_MAPPING!L9&gt;=1,IF(AND($H$55&lt;10,$H$55&gt;0),1,IF(AND($H$55&gt;10,$H$55&lt;20),2,IF($H$55&gt;20,3,""))),"")</f>
        <v/>
      </c>
      <c r="M64" s="223" t="str">
        <f>IF(CO_PO_PSO_MAPPING!M9&gt;=1,IF(AND($H$55&lt;10,$H$55&gt;0),1,IF(AND($H$55&gt;10,$H$55&lt;20),2,IF($H$55&gt;20,3,""))),"")</f>
        <v/>
      </c>
      <c r="N64" s="223" t="str">
        <f>IF(CO_PO_PSO_MAPPING!N9&gt;=1,IF(AND($H$55&lt;10,$H$55&gt;0),1,IF(AND($H$55&gt;10,$H$55&lt;20),2,IF($H$55&gt;20,3,""))),"")</f>
        <v/>
      </c>
      <c r="O64" s="223" t="str">
        <f>IF(CO_PO_PSO_MAPPING!O9&gt;=1,IF(AND($H$55&lt;10,$H$55&gt;0),1,IF(AND($H$55&gt;10,$H$55&lt;20),2,IF($H$55&gt;20,3,""))),"")</f>
        <v/>
      </c>
      <c r="P64" s="223" t="str">
        <f>IF(CO_PO_PSO_MAPPING!P9&gt;=1,IF(AND($H$55&lt;10,$H$55&gt;0),1,IF(AND($H$55&gt;10,$H$55&lt;20),2,IF($H$55&gt;20,3,""))),"")</f>
        <v/>
      </c>
      <c r="Q64" s="223" t="str">
        <f>IF(CO_PO_PSO_MAPPING!Q9&gt;=1,IF(AND($H$55&lt;10,$H$55&gt;0),1,IF(AND($H$55&gt;10,$H$55&lt;20),2,IF($H$55&gt;20,3,""))),"")</f>
        <v/>
      </c>
    </row>
    <row r="65" spans="2:18" ht="15.75">
      <c r="B65" s="213" t="str">
        <f>CO_PO_PSO_MAPPING!A10</f>
        <v>CO7</v>
      </c>
      <c r="C65" s="223" t="str">
        <f>IF(CO_PO_PSO_MAPPING!C10&gt;=1,IF(AND($I$55&lt;10,$I$55&gt;0),1,IF(AND($I$55&gt;10,$I$55&lt;20),2,IF($I$55&gt;20,3,""))),"")</f>
        <v/>
      </c>
      <c r="D65" s="223" t="str">
        <f>IF(CO_PO_PSO_MAPPING!D10&gt;=1,IF(AND($I$55&lt;10,$I$55&gt;0),1,IF(AND($I$55&gt;10,$I$55&lt;20),2,IF($I$55&gt;20,3,""))),"")</f>
        <v/>
      </c>
      <c r="E65" s="223" t="str">
        <f>IF(CO_PO_PSO_MAPPING!E10&gt;=1,IF(AND($I$55&lt;10,$I$55&gt;0),1,IF(AND($I$55&gt;10,$I$55&lt;20),2,IF($I$55&gt;20,3,""))),"")</f>
        <v/>
      </c>
      <c r="F65" s="223" t="str">
        <f>IF(CO_PO_PSO_MAPPING!F10&gt;=1,IF(AND($I$55&lt;10,$I$55&gt;0),1,IF(AND($I$55&gt;10,$I$55&lt;20),2,IF($I$55&gt;20,3,""))),"")</f>
        <v/>
      </c>
      <c r="G65" s="223" t="str">
        <f>IF(CO_PO_PSO_MAPPING!G10&gt;=1,IF(AND($I$55&lt;10,$I$55&gt;0),1,IF(AND($I$55&gt;10,$I$55&lt;20),2,IF($I$55&gt;20,3,""))),"")</f>
        <v/>
      </c>
      <c r="H65" s="223" t="str">
        <f>IF(CO_PO_PSO_MAPPING!H10&gt;=1,IF(AND($I$55&lt;10,$I$55&gt;0),1,IF(AND($I$55&gt;10,$I$55&lt;20),2,IF($I$55&gt;20,3,""))),"")</f>
        <v/>
      </c>
      <c r="I65" s="223" t="str">
        <f>IF(CO_PO_PSO_MAPPING!I10&gt;=1,IF(AND($I$55&lt;10,$I$55&gt;0),1,IF(AND($I$55&gt;10,$I$55&lt;20),2,IF($I$55&gt;20,3,""))),"")</f>
        <v/>
      </c>
      <c r="J65" s="223" t="str">
        <f>IF(CO_PO_PSO_MAPPING!J10&gt;=1,IF(AND($I$55&lt;10,$I$55&gt;0),1,IF(AND($I$55&gt;10,$I$55&lt;20),2,IF($I$55&gt;20,3,""))),"")</f>
        <v/>
      </c>
      <c r="K65" s="223" t="str">
        <f>IF(CO_PO_PSO_MAPPING!K10&gt;=1,IF(AND($I$55&lt;10,$I$55&gt;0),1,IF(AND($I$55&gt;10,$I$55&lt;20),2,IF($I$55&gt;20,3,""))),"")</f>
        <v/>
      </c>
      <c r="L65" s="223" t="str">
        <f>IF(CO_PO_PSO_MAPPING!L10&gt;=1,IF(AND($I$55&lt;10,$I$55&gt;0),1,IF(AND($I$55&gt;10,$I$55&lt;20),2,IF($I$55&gt;20,3,""))),"")</f>
        <v/>
      </c>
      <c r="M65" s="223" t="str">
        <f>IF(CO_PO_PSO_MAPPING!M10&gt;=1,IF(AND($I$55&lt;10,$I$55&gt;0),1,IF(AND($I$55&gt;10,$I$55&lt;20),2,IF($I$55&gt;20,3,""))),"")</f>
        <v/>
      </c>
      <c r="N65" s="223" t="str">
        <f>IF(CO_PO_PSO_MAPPING!N10&gt;=1,IF(AND($I$55&lt;10,$I$55&gt;0),1,IF(AND($I$55&gt;10,$I$55&lt;20),2,IF($I$55&gt;20,3,""))),"")</f>
        <v/>
      </c>
      <c r="O65" s="223" t="str">
        <f>IF(CO_PO_PSO_MAPPING!O10&gt;=1,IF(AND($I$55&lt;10,$I$55&gt;0),1,IF(AND($I$55&gt;10,$I$55&lt;20),2,IF($I$55&gt;20,3,""))),"")</f>
        <v/>
      </c>
      <c r="P65" s="223" t="str">
        <f>IF(CO_PO_PSO_MAPPING!P10&gt;=1,IF(AND($I$55&lt;10,$I$55&gt;0),1,IF(AND($I$55&gt;10,$I$55&lt;20),2,IF($I$55&gt;20,3,""))),"")</f>
        <v/>
      </c>
      <c r="Q65" s="223" t="str">
        <f>IF(CO_PO_PSO_MAPPING!Q10&gt;=1,IF(AND($I$55&lt;10,$I$55&gt;0),1,IF(AND($I$55&gt;10,$I$55&lt;20),2,IF($I$55&gt;20,3,""))),"")</f>
        <v/>
      </c>
    </row>
    <row r="66" spans="2:18" ht="15.75">
      <c r="B66" s="213" t="str">
        <f>CO_PO_PSO_MAPPING!A11</f>
        <v>CO8</v>
      </c>
      <c r="C66" s="223" t="str">
        <f>IF(CO_PO_PSO_MAPPING!C11&gt;=1,IF(AND($J$55&lt;10,$J$55&gt;0),1,IF(AND($J$55&gt;10,$J$55&lt;20),2,IF($J$55&gt;20,3,""))),"")</f>
        <v/>
      </c>
      <c r="D66" s="223" t="str">
        <f>IF(CO_PO_PSO_MAPPING!D11&gt;=1,IF(AND($J$55&lt;10,$J$55&gt;0),1,IF(AND($J$55&gt;10,$J$55&lt;20),2,IF($J$55&gt;20,3,""))),"")</f>
        <v/>
      </c>
      <c r="E66" s="223" t="str">
        <f>IF(CO_PO_PSO_MAPPING!E11&gt;=1,IF(AND($J$55&lt;10,$J$55&gt;0),1,IF(AND($J$55&gt;10,$J$55&lt;20),2,IF($J$55&gt;20,3,""))),"")</f>
        <v/>
      </c>
      <c r="F66" s="223" t="str">
        <f>IF(CO_PO_PSO_MAPPING!F11&gt;=1,IF(AND($J$55&lt;10,$J$55&gt;0),1,IF(AND($J$55&gt;10,$J$55&lt;20),2,IF($J$55&gt;20,3,""))),"")</f>
        <v/>
      </c>
      <c r="G66" s="223" t="str">
        <f>IF(CO_PO_PSO_MAPPING!G11&gt;=1,IF(AND($J$55&lt;10,$J$55&gt;0),1,IF(AND($J$55&gt;10,$J$55&lt;20),2,IF($J$55&gt;20,3,""))),"")</f>
        <v/>
      </c>
      <c r="H66" s="223" t="str">
        <f>IF(CO_PO_PSO_MAPPING!H11&gt;=1,IF(AND($J$55&lt;10,$J$55&gt;0),1,IF(AND($J$55&gt;10,$J$55&lt;20),2,IF($J$55&gt;20,3,""))),"")</f>
        <v/>
      </c>
      <c r="I66" s="223" t="str">
        <f>IF(CO_PO_PSO_MAPPING!I11&gt;=1,IF(AND($J$55&lt;10,$J$55&gt;0),1,IF(AND($J$55&gt;10,$J$55&lt;20),2,IF($J$55&gt;20,3,""))),"")</f>
        <v/>
      </c>
      <c r="J66" s="223" t="str">
        <f>IF(CO_PO_PSO_MAPPING!J11&gt;=1,IF(AND($J$55&lt;10,$J$55&gt;0),1,IF(AND($J$55&gt;10,$J$55&lt;20),2,IF($J$55&gt;20,3,""))),"")</f>
        <v/>
      </c>
      <c r="K66" s="223" t="str">
        <f>IF(CO_PO_PSO_MAPPING!K11&gt;=1,IF(AND($J$55&lt;10,$J$55&gt;0),1,IF(AND($J$55&gt;10,$J$55&lt;20),2,IF($J$55&gt;20,3,""))),"")</f>
        <v/>
      </c>
      <c r="L66" s="223" t="str">
        <f>IF(CO_PO_PSO_MAPPING!L11&gt;=1,IF(AND($J$55&lt;10,$J$55&gt;0),1,IF(AND($J$55&gt;10,$J$55&lt;20),2,IF($J$55&gt;20,3,""))),"")</f>
        <v/>
      </c>
      <c r="M66" s="223" t="str">
        <f>IF(CO_PO_PSO_MAPPING!M11&gt;=1,IF(AND($J$55&lt;10,$J$55&gt;0),1,IF(AND($J$55&gt;10,$J$55&lt;20),2,IF($J$55&gt;20,3,""))),"")</f>
        <v/>
      </c>
      <c r="N66" s="223" t="str">
        <f>IF(CO_PO_PSO_MAPPING!N11&gt;=1,IF(AND($J$55&lt;10,$J$55&gt;0),1,IF(AND($J$55&gt;10,$J$55&lt;20),2,IF($J$55&gt;20,3,""))),"")</f>
        <v/>
      </c>
      <c r="O66" s="223" t="str">
        <f>IF(CO_PO_PSO_MAPPING!O11&gt;=1,IF(AND($J$55&lt;10,$J$55&gt;0),1,IF(AND($J$55&gt;10,$J$55&lt;20),2,IF($J$55&gt;20,3,""))),"")</f>
        <v/>
      </c>
      <c r="P66" s="223" t="str">
        <f>IF(CO_PO_PSO_MAPPING!P11&gt;=1,IF(AND($J$55&lt;10,$J$55&gt;0),1,IF(AND($J$55&gt;10,$J$55&lt;20),2,IF($J$55&gt;20,3,""))),"")</f>
        <v/>
      </c>
      <c r="Q66" s="223" t="str">
        <f>IF(CO_PO_PSO_MAPPING!Q11&gt;=1,IF(AND($J$55&lt;10,$J$55&gt;0),1,IF(AND($J$55&gt;10,$J$55&lt;20),2,IF($J$55&gt;20,3,""))),"")</f>
        <v/>
      </c>
    </row>
    <row r="67" spans="2:18" ht="15.75">
      <c r="B67" s="213" t="str">
        <f>CO_PO_PSO_MAPPING!A12</f>
        <v>CO9</v>
      </c>
      <c r="C67" s="223" t="str">
        <f>IF(CO_PO_PSO_MAPPING!C12&gt;=1,IF(AND($K$55&lt;10,$K$55&gt;0),1,IF(AND($K$55&gt;10,$K$55&lt;20),2,IF($K$55&gt;20,3,""))),"")</f>
        <v/>
      </c>
      <c r="D67" s="223" t="str">
        <f>IF(CO_PO_PSO_MAPPING!D12&gt;=1,IF(AND($K$55&lt;10,$K$55&gt;0),1,IF(AND($K$55&gt;10,$K$55&lt;20),2,IF($K$55&gt;20,3,""))),"")</f>
        <v/>
      </c>
      <c r="E67" s="223" t="str">
        <f>IF(CO_PO_PSO_MAPPING!E12&gt;=1,IF(AND($K$55&lt;10,$K$55&gt;0),1,IF(AND($K$55&gt;10,$K$55&lt;20),2,IF($K$55&gt;20,3,""))),"")</f>
        <v/>
      </c>
      <c r="F67" s="223" t="str">
        <f>IF(CO_PO_PSO_MAPPING!F12&gt;=1,IF(AND($K$55&lt;10,$K$55&gt;0),1,IF(AND($K$55&gt;10,$K$55&lt;20),2,IF($K$55&gt;20,3,""))),"")</f>
        <v/>
      </c>
      <c r="G67" s="223" t="str">
        <f>IF(CO_PO_PSO_MAPPING!G12&gt;=1,IF(AND($K$55&lt;10,$K$55&gt;0),1,IF(AND($K$55&gt;10,$K$55&lt;20),2,IF($K$55&gt;20,3,""))),"")</f>
        <v/>
      </c>
      <c r="H67" s="223" t="str">
        <f>IF(CO_PO_PSO_MAPPING!H12&gt;=1,IF(AND($K$55&lt;10,$K$55&gt;0),1,IF(AND($K$55&gt;10,$K$55&lt;20),2,IF($K$55&gt;20,3,""))),"")</f>
        <v/>
      </c>
      <c r="I67" s="223" t="str">
        <f>IF(CO_PO_PSO_MAPPING!I12&gt;=1,IF(AND($K$55&lt;10,$K$55&gt;0),1,IF(AND($K$55&gt;10,$K$55&lt;20),2,IF($K$55&gt;20,3,""))),"")</f>
        <v/>
      </c>
      <c r="J67" s="223" t="str">
        <f>IF(CO_PO_PSO_MAPPING!J12&gt;=1,IF(AND($K$55&lt;10,$K$55&gt;0),1,IF(AND($K$55&gt;10,$K$55&lt;20),2,IF($K$55&gt;20,3,""))),"")</f>
        <v/>
      </c>
      <c r="K67" s="223" t="str">
        <f>IF(CO_PO_PSO_MAPPING!K12&gt;=1,IF(AND($K$55&lt;10,$K$55&gt;0),1,IF(AND($K$55&gt;10,$K$55&lt;20),2,IF($K$55&gt;20,3,""))),"")</f>
        <v/>
      </c>
      <c r="L67" s="223" t="str">
        <f>IF(CO_PO_PSO_MAPPING!L12&gt;=1,IF(AND($K$55&lt;10,$K$55&gt;0),1,IF(AND($K$55&gt;10,$K$55&lt;20),2,IF($K$55&gt;20,3,""))),"")</f>
        <v/>
      </c>
      <c r="M67" s="223" t="str">
        <f>IF(CO_PO_PSO_MAPPING!M12&gt;=1,IF(AND($K$55&lt;10,$K$55&gt;0),1,IF(AND($K$55&gt;10,$K$55&lt;20),2,IF($K$55&gt;20,3,""))),"")</f>
        <v/>
      </c>
      <c r="N67" s="223" t="str">
        <f>IF(CO_PO_PSO_MAPPING!N12&gt;=1,IF(AND($K$55&lt;10,$K$55&gt;0),1,IF(AND($K$55&gt;10,$K$55&lt;20),2,IF($K$55&gt;20,3,""))),"")</f>
        <v/>
      </c>
      <c r="O67" s="223" t="str">
        <f>IF(CO_PO_PSO_MAPPING!O12&gt;=1,IF(AND($K$55&lt;10,$K$55&gt;0),1,IF(AND($K$55&gt;10,$K$55&lt;20),2,IF($K$55&gt;20,3,""))),"")</f>
        <v/>
      </c>
      <c r="P67" s="223" t="str">
        <f>IF(CO_PO_PSO_MAPPING!P12&gt;=1,IF(AND($K$55&lt;10,$K$55&gt;0),1,IF(AND($K$55&gt;10,$K$55&lt;20),2,IF($K$55&gt;20,3,""))),"")</f>
        <v/>
      </c>
      <c r="Q67" s="223" t="str">
        <f>IF(CO_PO_PSO_MAPPING!Q12&gt;=1,IF(AND($K$55&lt;10,$K$55&gt;0),1,IF(AND($K$55&gt;10,$K$55&lt;20),2,IF($K$55&gt;20,3,""))),"")</f>
        <v/>
      </c>
    </row>
    <row r="68" spans="2:18" ht="15.75">
      <c r="B68" s="213" t="str">
        <f>CO_PO_PSO_MAPPING!A13</f>
        <v>CO10</v>
      </c>
      <c r="C68" s="223" t="str">
        <f>IF(CO_PO_PSO_MAPPING!C13&gt;=1,IF(AND($L$55&lt;10,$L$55&gt;0),1,IF(AND($L$55&gt;10,$L$55&lt;20),2,IF($L$55&gt;20,3,""))),"")</f>
        <v/>
      </c>
      <c r="D68" s="223" t="str">
        <f>IF(CO_PO_PSO_MAPPING!D13&gt;=1,IF(AND($L$55&lt;10,$L$55&gt;0),1,IF(AND($L$55&gt;10,$L$55&lt;20),2,IF($L$55&gt;20,3,""))),"")</f>
        <v/>
      </c>
      <c r="E68" s="223" t="str">
        <f>IF(CO_PO_PSO_MAPPING!E13&gt;=1,IF(AND($L$55&lt;10,$L$55&gt;0),1,IF(AND($L$55&gt;10,$L$55&lt;20),2,IF($L$55&gt;20,3,""))),"")</f>
        <v/>
      </c>
      <c r="F68" s="223" t="str">
        <f>IF(CO_PO_PSO_MAPPING!F13&gt;=1,IF(AND($L$55&lt;10,$L$55&gt;0),1,IF(AND($L$55&gt;10,$L$55&lt;20),2,IF($L$55&gt;20,3,""))),"")</f>
        <v/>
      </c>
      <c r="G68" s="223" t="str">
        <f>IF(CO_PO_PSO_MAPPING!G13&gt;=1,IF(AND($L$55&lt;10,$L$55&gt;0),1,IF(AND($L$55&gt;10,$L$55&lt;20),2,IF($L$55&gt;20,3,""))),"")</f>
        <v/>
      </c>
      <c r="H68" s="223" t="str">
        <f>IF(CO_PO_PSO_MAPPING!H13&gt;=1,IF(AND($L$55&lt;10,$L$55&gt;0),1,IF(AND($L$55&gt;10,$L$55&lt;20),2,IF($L$55&gt;20,3,""))),"")</f>
        <v/>
      </c>
      <c r="I68" s="223" t="str">
        <f>IF(CO_PO_PSO_MAPPING!I13&gt;=1,IF(AND($L$55&lt;10,$L$55&gt;0),1,IF(AND($L$55&gt;10,$L$55&lt;20),2,IF($L$55&gt;20,3,""))),"")</f>
        <v/>
      </c>
      <c r="J68" s="223" t="str">
        <f>IF(CO_PO_PSO_MAPPING!J13&gt;=1,IF(AND($L$55&lt;10,$L$55&gt;0),1,IF(AND($L$55&gt;10,$L$55&lt;20),2,IF($L$55&gt;20,3,""))),"")</f>
        <v/>
      </c>
      <c r="K68" s="223" t="str">
        <f>IF(CO_PO_PSO_MAPPING!K13&gt;=1,IF(AND($L$55&lt;10,$L$55&gt;0),1,IF(AND($L$55&gt;10,$L$55&lt;20),2,IF($L$55&gt;20,3,""))),"")</f>
        <v/>
      </c>
      <c r="L68" s="223" t="str">
        <f>IF(CO_PO_PSO_MAPPING!L13&gt;=1,IF(AND($L$55&lt;10,$L$55&gt;0),1,IF(AND($L$55&gt;10,$L$55&lt;20),2,IF($L$55&gt;20,3,""))),"")</f>
        <v/>
      </c>
      <c r="M68" s="223" t="str">
        <f>IF(CO_PO_PSO_MAPPING!M13&gt;=1,IF(AND($L$55&lt;10,$L$55&gt;0),1,IF(AND($L$55&gt;10,$L$55&lt;20),2,IF($L$55&gt;20,3,""))),"")</f>
        <v/>
      </c>
      <c r="N68" s="223" t="str">
        <f>IF(CO_PO_PSO_MAPPING!N13&gt;=1,IF(AND($L$55&lt;10,$L$55&gt;0),1,IF(AND($L$55&gt;10,$L$55&lt;20),2,IF($L$55&gt;20,3,""))),"")</f>
        <v/>
      </c>
      <c r="O68" s="223" t="str">
        <f>IF(CO_PO_PSO_MAPPING!O13&gt;=1,IF(AND($L$55&lt;10,$L$55&gt;0),1,IF(AND($L$55&gt;10,$L$55&lt;20),2,IF($L$55&gt;20,3,""))),"")</f>
        <v/>
      </c>
      <c r="P68" s="223" t="str">
        <f>IF(CO_PO_PSO_MAPPING!P13&gt;=1,IF(AND($L$55&lt;10,$L$55&gt;0),1,IF(AND($L$55&gt;10,$L$55&lt;20),2,IF($L$55&gt;20,3,""))),"")</f>
        <v/>
      </c>
      <c r="Q68" s="223" t="str">
        <f>IF(CO_PO_PSO_MAPPING!Q13&gt;=1,IF(AND($L$55&lt;10,$L$55&gt;0),1,IF(AND($L$55&gt;10,$L$55&lt;20),2,IF($L$55&gt;20,3,""))),"")</f>
        <v/>
      </c>
    </row>
    <row r="69" spans="2:18">
      <c r="C69" s="236">
        <f>SUM(C59:C68)</f>
        <v>4</v>
      </c>
      <c r="D69" s="236">
        <f t="shared" ref="D69:Q69" si="6">SUM(D59:D68)</f>
        <v>4</v>
      </c>
      <c r="E69" s="236">
        <f t="shared" si="6"/>
        <v>4</v>
      </c>
      <c r="F69" s="236">
        <f t="shared" si="6"/>
        <v>1</v>
      </c>
      <c r="G69" s="236">
        <f t="shared" si="6"/>
        <v>2</v>
      </c>
      <c r="H69" s="236">
        <f t="shared" si="6"/>
        <v>1</v>
      </c>
      <c r="I69" s="236">
        <f t="shared" si="6"/>
        <v>0</v>
      </c>
      <c r="J69" s="236">
        <f t="shared" si="6"/>
        <v>0</v>
      </c>
      <c r="K69" s="236">
        <f t="shared" si="6"/>
        <v>1</v>
      </c>
      <c r="L69" s="236">
        <f t="shared" si="6"/>
        <v>1</v>
      </c>
      <c r="M69" s="236">
        <f t="shared" si="6"/>
        <v>0</v>
      </c>
      <c r="N69" s="236">
        <f t="shared" si="6"/>
        <v>1</v>
      </c>
      <c r="O69" s="236">
        <f t="shared" si="6"/>
        <v>1</v>
      </c>
      <c r="P69" s="236">
        <f t="shared" si="6"/>
        <v>11</v>
      </c>
      <c r="Q69" s="236">
        <f t="shared" si="6"/>
        <v>4</v>
      </c>
    </row>
    <row r="70" spans="2:18" ht="18.75">
      <c r="B70" s="381" t="s">
        <v>191</v>
      </c>
      <c r="C70" s="382"/>
      <c r="D70" s="382"/>
      <c r="E70" s="382"/>
      <c r="F70" s="382"/>
      <c r="G70" s="382"/>
      <c r="H70" s="382"/>
      <c r="I70" s="382"/>
      <c r="J70" s="382"/>
      <c r="K70" s="382"/>
      <c r="L70" s="382"/>
      <c r="M70" s="382"/>
      <c r="N70" s="382"/>
      <c r="O70" s="382"/>
      <c r="P70" s="382"/>
      <c r="Q70" s="383"/>
    </row>
    <row r="71" spans="2:18">
      <c r="C71" s="176">
        <f t="shared" ref="C71:Q71" ca="1" si="7">SUM(IFERROR($C$17*C$59/C69,0),IFERROR($D$17*C$60/C69,0),IFERROR($E$17*C$61/C69,0),IFERROR($F$17*C$62/C69,0),IFERROR($G$17*C$63/C69,0),IFERROR($H$17*C$64/C69,0),IFERROR($I$17*C$65/C69,0),IFERROR($J$17*C$66/C69,0),IFERROR($K$17*C$67/C69,0),IFERROR($L$17*C$68/C69,0))</f>
        <v>88.661372263639009</v>
      </c>
      <c r="D71" s="176">
        <f t="shared" ca="1" si="7"/>
        <v>88.740463108320256</v>
      </c>
      <c r="E71" s="176">
        <f t="shared" ca="1" si="7"/>
        <v>79.570419964360269</v>
      </c>
      <c r="F71" s="176">
        <f t="shared" ca="1" si="7"/>
        <v>92.072413793103451</v>
      </c>
      <c r="G71" s="176">
        <f t="shared" ca="1" si="7"/>
        <v>93.398275862068971</v>
      </c>
      <c r="H71" s="176">
        <f t="shared" ca="1" si="7"/>
        <v>92.072413793103451</v>
      </c>
      <c r="I71" s="176">
        <f t="shared" ca="1" si="7"/>
        <v>0</v>
      </c>
      <c r="J71" s="176">
        <f t="shared" ca="1" si="7"/>
        <v>0</v>
      </c>
      <c r="K71" s="176">
        <f t="shared" ca="1" si="7"/>
        <v>92.072413793103451</v>
      </c>
      <c r="L71" s="176">
        <f t="shared" ca="1" si="7"/>
        <v>92.072413793103451</v>
      </c>
      <c r="M71" s="176">
        <f t="shared" ca="1" si="7"/>
        <v>0</v>
      </c>
      <c r="N71" s="176">
        <f t="shared" ca="1" si="7"/>
        <v>92.072413793103451</v>
      </c>
      <c r="O71" s="176">
        <f t="shared" ca="1" si="7"/>
        <v>92.072413793103451</v>
      </c>
      <c r="P71" s="176">
        <f t="shared" ca="1" si="7"/>
        <v>85.315302880918708</v>
      </c>
      <c r="Q71" s="176">
        <f t="shared" ca="1" si="7"/>
        <v>79.570419964360269</v>
      </c>
    </row>
    <row r="74" spans="2:18" ht="18.75">
      <c r="B74" s="258" t="s">
        <v>203</v>
      </c>
      <c r="C74" s="251"/>
      <c r="D74" s="251"/>
      <c r="E74" s="251"/>
      <c r="F74" s="251"/>
      <c r="G74" s="251"/>
      <c r="K74" s="258" t="s">
        <v>210</v>
      </c>
      <c r="L74" s="251"/>
      <c r="M74" s="251"/>
      <c r="N74" s="251"/>
      <c r="O74" s="251"/>
      <c r="P74" s="251"/>
    </row>
    <row r="75" spans="2:18" ht="26.25" customHeight="1">
      <c r="B75" s="385"/>
      <c r="C75" s="386"/>
      <c r="D75" s="253" t="s">
        <v>204</v>
      </c>
      <c r="E75" s="254" t="s">
        <v>205</v>
      </c>
      <c r="F75" s="254" t="s">
        <v>206</v>
      </c>
      <c r="G75" s="255" t="s">
        <v>207</v>
      </c>
      <c r="H75" s="256" t="s">
        <v>208</v>
      </c>
      <c r="I75" s="257" t="s">
        <v>209</v>
      </c>
      <c r="K75" s="385"/>
      <c r="L75" s="386"/>
      <c r="M75" s="253" t="s">
        <v>204</v>
      </c>
      <c r="N75" s="254" t="s">
        <v>205</v>
      </c>
      <c r="O75" s="254" t="s">
        <v>206</v>
      </c>
      <c r="P75" s="255" t="s">
        <v>207</v>
      </c>
      <c r="Q75" s="256" t="s">
        <v>208</v>
      </c>
      <c r="R75" s="257" t="s">
        <v>209</v>
      </c>
    </row>
    <row r="76" spans="2:18">
      <c r="B76" s="149" t="s">
        <v>93</v>
      </c>
      <c r="C76" s="81" t="s">
        <v>89</v>
      </c>
      <c r="D76" s="163">
        <f>IF(OR(CO_PO_PSO_MAPPING!$Y4=1, CO_PO_PSO_MAPPING!$Y4=2),CO_PO_PSO_MAPPING!$U4,0)</f>
        <v>5</v>
      </c>
      <c r="E76" s="163">
        <f>IF(CO_PO_PSO_MAPPING!$Y4=3,CO_PO_PSO_MAPPING!$U4,0)</f>
        <v>0</v>
      </c>
      <c r="F76" s="163">
        <f>IF(CO_PO_PSO_MAPPING!$Y4=4,CO_PO_PSO_MAPPING!$U4,0)</f>
        <v>0</v>
      </c>
      <c r="G76" s="163">
        <f>IF(CO_PO_PSO_MAPPING!$Y4=5,CO_PO_PSO_MAPPING!$U4,0)</f>
        <v>0</v>
      </c>
      <c r="H76" s="163"/>
      <c r="I76" s="130">
        <f>SUM(D76:H76)</f>
        <v>5</v>
      </c>
      <c r="K76" s="387" t="s">
        <v>171</v>
      </c>
      <c r="L76" s="81" t="s">
        <v>89</v>
      </c>
      <c r="M76" s="163">
        <f>IF(OR(CO_PO_PSO_MAPPING!$AG4=1, CO_PO_PSO_MAPPING!$AG4=2),CO_PO_PSO_MAPPING!$AC4,0)</f>
        <v>10</v>
      </c>
      <c r="N76" s="163">
        <f>IF(CO_PO_PSO_MAPPING!$AG4=3,CO_PO_PSO_MAPPING!$AC4,0)</f>
        <v>0</v>
      </c>
      <c r="O76" s="163">
        <f>IF(CO_PO_PSO_MAPPING!$AG4=4,CO_PO_PSO_MAPPING!$AC4,0)</f>
        <v>0</v>
      </c>
      <c r="P76" s="163">
        <f>IF(CO_PO_PSO_MAPPING!$AG4=5,CO_PO_PSO_MAPPING!$AC4,0)</f>
        <v>0</v>
      </c>
      <c r="Q76" s="163"/>
      <c r="R76" s="130">
        <f>SUM(M76:Q76)</f>
        <v>10</v>
      </c>
    </row>
    <row r="77" spans="2:18" ht="19.5" customHeight="1">
      <c r="B77" s="150"/>
      <c r="C77" s="81" t="s">
        <v>90</v>
      </c>
      <c r="D77" s="163">
        <f>IF(OR(CO_PO_PSO_MAPPING!$Y5=1, CO_PO_PSO_MAPPING!$Y5=2),CO_PO_PSO_MAPPING!$U5,0)</f>
        <v>0</v>
      </c>
      <c r="E77" s="163">
        <f>IF(CO_PO_PSO_MAPPING!$Y5=3,CO_PO_PSO_MAPPING!$U5,0)</f>
        <v>5</v>
      </c>
      <c r="F77" s="163">
        <f>IF(CO_PO_PSO_MAPPING!$Y5=4,CO_PO_PSO_MAPPING!$U5,0)</f>
        <v>0</v>
      </c>
      <c r="G77" s="163">
        <f>IF(CO_PO_PSO_MAPPING!$Y5=5,CO_PO_PSO_MAPPING!$U5,0)</f>
        <v>0</v>
      </c>
      <c r="H77" s="163"/>
      <c r="I77" s="130">
        <f t="shared" ref="I77:I116" si="8">SUM(D77:H77)</f>
        <v>5</v>
      </c>
      <c r="K77" s="388"/>
      <c r="L77" s="81" t="s">
        <v>90</v>
      </c>
      <c r="M77" s="163">
        <f>IF(OR(CO_PO_PSO_MAPPING!$AG5=1, CO_PO_PSO_MAPPING!$AG5=2),CO_PO_PSO_MAPPING!$AC5,0)</f>
        <v>10</v>
      </c>
      <c r="N77" s="163">
        <f>IF(CO_PO_PSO_MAPPING!$AG5=3,CO_PO_PSO_MAPPING!$AC5,0)</f>
        <v>0</v>
      </c>
      <c r="O77" s="163">
        <f>IF(CO_PO_PSO_MAPPING!$AG5=4,CO_PO_PSO_MAPPING!$AC5,0)</f>
        <v>0</v>
      </c>
      <c r="P77" s="163">
        <f>IF(CO_PO_PSO_MAPPING!$AG5=5,CO_PO_PSO_MAPPING!$AC5,0)</f>
        <v>0</v>
      </c>
      <c r="Q77" s="163"/>
      <c r="R77" s="130">
        <f t="shared" ref="R77:R103" si="9">SUM(M77:Q77)</f>
        <v>10</v>
      </c>
    </row>
    <row r="78" spans="2:18">
      <c r="B78" s="150"/>
      <c r="C78" s="81" t="s">
        <v>91</v>
      </c>
      <c r="D78" s="163">
        <f>IF(OR(CO_PO_PSO_MAPPING!$Y6=1, CO_PO_PSO_MAPPING!$Y6=2),CO_PO_PSO_MAPPING!$U6,0)</f>
        <v>0</v>
      </c>
      <c r="E78" s="163">
        <f>IF(CO_PO_PSO_MAPPING!$Y6=3,CO_PO_PSO_MAPPING!$U6,0)</f>
        <v>0</v>
      </c>
      <c r="F78" s="163">
        <f>IF(CO_PO_PSO_MAPPING!$Y6=4,CO_PO_PSO_MAPPING!$U6,0)</f>
        <v>10</v>
      </c>
      <c r="G78" s="163">
        <f>IF(CO_PO_PSO_MAPPING!$Y6=5,CO_PO_PSO_MAPPING!$U6,0)</f>
        <v>0</v>
      </c>
      <c r="H78" s="163"/>
      <c r="I78" s="130">
        <f t="shared" si="8"/>
        <v>10</v>
      </c>
      <c r="K78" s="388"/>
      <c r="L78" s="81" t="s">
        <v>91</v>
      </c>
      <c r="M78" s="163">
        <f>IF(OR(CO_PO_PSO_MAPPING!$AG6=1, CO_PO_PSO_MAPPING!$AG6=2),CO_PO_PSO_MAPPING!$AC6,0)</f>
        <v>0</v>
      </c>
      <c r="N78" s="163">
        <f>IF(CO_PO_PSO_MAPPING!$AG6=3,CO_PO_PSO_MAPPING!$AC6,0)</f>
        <v>0</v>
      </c>
      <c r="O78" s="163">
        <f>IF(CO_PO_PSO_MAPPING!$AG6=4,CO_PO_PSO_MAPPING!$AC6,0)</f>
        <v>0</v>
      </c>
      <c r="P78" s="163">
        <f>IF(CO_PO_PSO_MAPPING!$AG6=5,CO_PO_PSO_MAPPING!$AC6,0)</f>
        <v>0</v>
      </c>
      <c r="Q78" s="163"/>
      <c r="R78" s="130">
        <f t="shared" si="9"/>
        <v>0</v>
      </c>
    </row>
    <row r="79" spans="2:18">
      <c r="B79" s="150"/>
      <c r="C79" s="81" t="s">
        <v>92</v>
      </c>
      <c r="D79" s="163">
        <f>IF(OR(CO_PO_PSO_MAPPING!$Y7=1, CO_PO_PSO_MAPPING!$Y7=2),CO_PO_PSO_MAPPING!$U7,0)</f>
        <v>0</v>
      </c>
      <c r="E79" s="163">
        <f>IF(CO_PO_PSO_MAPPING!$Y7=3,CO_PO_PSO_MAPPING!$U7,0)</f>
        <v>0</v>
      </c>
      <c r="F79" s="163">
        <f>IF(CO_PO_PSO_MAPPING!$Y7=4,CO_PO_PSO_MAPPING!$U7,0)</f>
        <v>0</v>
      </c>
      <c r="G79" s="163">
        <f>IF(CO_PO_PSO_MAPPING!$Y7=5,CO_PO_PSO_MAPPING!$U7,0)</f>
        <v>0</v>
      </c>
      <c r="H79" s="163"/>
      <c r="I79" s="130">
        <f t="shared" si="8"/>
        <v>0</v>
      </c>
      <c r="K79" s="388"/>
      <c r="L79" s="81" t="s">
        <v>92</v>
      </c>
      <c r="M79" s="163">
        <f>IF(OR(CO_PO_PSO_MAPPING!$AG7=1, CO_PO_PSO_MAPPING!$AG7=2),CO_PO_PSO_MAPPING!$AC7,0)</f>
        <v>0</v>
      </c>
      <c r="N79" s="163">
        <f>IF(CO_PO_PSO_MAPPING!$AG7=3,CO_PO_PSO_MAPPING!$AC7,0)</f>
        <v>0</v>
      </c>
      <c r="O79" s="163">
        <f>IF(CO_PO_PSO_MAPPING!$AG7=4,CO_PO_PSO_MAPPING!$AC7,0)</f>
        <v>0</v>
      </c>
      <c r="P79" s="163">
        <f>IF(CO_PO_PSO_MAPPING!$AG7=5,CO_PO_PSO_MAPPING!$AC7,0)</f>
        <v>0</v>
      </c>
      <c r="Q79" s="163"/>
      <c r="R79" s="130">
        <f t="shared" si="9"/>
        <v>0</v>
      </c>
    </row>
    <row r="80" spans="2:18">
      <c r="B80" s="150"/>
      <c r="C80" s="81" t="s">
        <v>94</v>
      </c>
      <c r="D80" s="163">
        <f>IF(OR(CO_PO_PSO_MAPPING!$Y8=1, CO_PO_PSO_MAPPING!$Y8=2),CO_PO_PSO_MAPPING!$U8,0)</f>
        <v>6</v>
      </c>
      <c r="E80" s="163">
        <f>IF(CO_PO_PSO_MAPPING!$Y8=3,CO_PO_PSO_MAPPING!$U8,0)</f>
        <v>0</v>
      </c>
      <c r="F80" s="163">
        <f>IF(CO_PO_PSO_MAPPING!$Y8=4,CO_PO_PSO_MAPPING!$U8,0)</f>
        <v>0</v>
      </c>
      <c r="G80" s="163">
        <f>IF(CO_PO_PSO_MAPPING!$Y8=5,CO_PO_PSO_MAPPING!$U8,0)</f>
        <v>0</v>
      </c>
      <c r="H80" s="163"/>
      <c r="I80" s="130">
        <f t="shared" si="8"/>
        <v>6</v>
      </c>
      <c r="K80" s="388"/>
      <c r="L80" s="263" t="s">
        <v>94</v>
      </c>
      <c r="M80" s="263">
        <f>IF(OR(CO_PO_PSO_MAPPING!$AG8=1, CO_PO_PSO_MAPPING!$AG8=2),CO_PO_PSO_MAPPING!$AC8,0)</f>
        <v>0</v>
      </c>
      <c r="N80" s="263">
        <f>IF(CO_PO_PSO_MAPPING!$AG8=3,CO_PO_PSO_MAPPING!$AC8,0)</f>
        <v>0</v>
      </c>
      <c r="O80" s="263">
        <f>IF(CO_PO_PSO_MAPPING!$AG8=4,CO_PO_PSO_MAPPING!$AC8,0)</f>
        <v>0</v>
      </c>
      <c r="P80" s="263">
        <f>IF(CO_PO_PSO_MAPPING!$AG8=5,CO_PO_PSO_MAPPING!$AC8,0)</f>
        <v>10</v>
      </c>
      <c r="Q80" s="263"/>
      <c r="R80" s="130">
        <f t="shared" si="9"/>
        <v>10</v>
      </c>
    </row>
    <row r="81" spans="2:18">
      <c r="B81" s="150"/>
      <c r="C81" s="81" t="s">
        <v>95</v>
      </c>
      <c r="D81" s="163">
        <f>IF(OR(CO_PO_PSO_MAPPING!$Y9=1, CO_PO_PSO_MAPPING!$Y9=2),CO_PO_PSO_MAPPING!$U9,0)</f>
        <v>0</v>
      </c>
      <c r="E81" s="163">
        <f>IF(CO_PO_PSO_MAPPING!$Y9=3,CO_PO_PSO_MAPPING!$U9,0)</f>
        <v>0</v>
      </c>
      <c r="F81" s="163">
        <f>IF(CO_PO_PSO_MAPPING!$Y9=4,CO_PO_PSO_MAPPING!$U9,0)</f>
        <v>8</v>
      </c>
      <c r="G81" s="163">
        <f>IF(CO_PO_PSO_MAPPING!$Y9=5,CO_PO_PSO_MAPPING!$U9,0)</f>
        <v>0</v>
      </c>
      <c r="H81" s="163"/>
      <c r="I81" s="130">
        <f t="shared" si="8"/>
        <v>8</v>
      </c>
      <c r="K81" s="388"/>
      <c r="L81" s="263" t="s">
        <v>95</v>
      </c>
      <c r="M81" s="263">
        <f>IF(OR(CO_PO_PSO_MAPPING!$AG9=1, CO_PO_PSO_MAPPING!$AG9=2),CO_PO_PSO_MAPPING!$AC9,0)</f>
        <v>10</v>
      </c>
      <c r="N81" s="263">
        <f>IF(CO_PO_PSO_MAPPING!$AG9=3,CO_PO_PSO_MAPPING!$AC9,0)</f>
        <v>0</v>
      </c>
      <c r="O81" s="263">
        <f>IF(CO_PO_PSO_MAPPING!$AG9=4,CO_PO_PSO_MAPPING!$AC9,0)</f>
        <v>0</v>
      </c>
      <c r="P81" s="263">
        <f>IF(CO_PO_PSO_MAPPING!$AG9=5,CO_PO_PSO_MAPPING!$AC9,0)</f>
        <v>0</v>
      </c>
      <c r="Q81" s="263"/>
      <c r="R81" s="130">
        <f t="shared" si="9"/>
        <v>10</v>
      </c>
    </row>
    <row r="82" spans="2:18">
      <c r="B82" s="150"/>
      <c r="C82" s="81" t="s">
        <v>96</v>
      </c>
      <c r="D82" s="163">
        <f>IF(OR(CO_PO_PSO_MAPPING!$Y10=1, CO_PO_PSO_MAPPING!$Y10=2),CO_PO_PSO_MAPPING!$U10,0)</f>
        <v>0</v>
      </c>
      <c r="E82" s="163">
        <f>IF(CO_PO_PSO_MAPPING!$Y10=3,CO_PO_PSO_MAPPING!$U10,0)</f>
        <v>6</v>
      </c>
      <c r="F82" s="163">
        <f>IF(CO_PO_PSO_MAPPING!$Y10=4,CO_PO_PSO_MAPPING!$U10,0)</f>
        <v>0</v>
      </c>
      <c r="G82" s="163">
        <f>IF(CO_PO_PSO_MAPPING!$Y10=5,CO_PO_PSO_MAPPING!$U10,0)</f>
        <v>0</v>
      </c>
      <c r="H82" s="163"/>
      <c r="I82" s="130">
        <f t="shared" si="8"/>
        <v>6</v>
      </c>
      <c r="K82" s="388"/>
      <c r="L82" s="263" t="s">
        <v>96</v>
      </c>
      <c r="M82" s="263">
        <f>IF(OR(CO_PO_PSO_MAPPING!$AG10=1, CO_PO_PSO_MAPPING!$AG10=2),CO_PO_PSO_MAPPING!$AC10,0)</f>
        <v>0</v>
      </c>
      <c r="N82" s="263">
        <f>IF(CO_PO_PSO_MAPPING!$AG10=3,CO_PO_PSO_MAPPING!$AC10,0)</f>
        <v>0</v>
      </c>
      <c r="O82" s="263">
        <f>IF(CO_PO_PSO_MAPPING!$AG10=4,CO_PO_PSO_MAPPING!$AC10,0)</f>
        <v>0</v>
      </c>
      <c r="P82" s="263">
        <f>IF(CO_PO_PSO_MAPPING!$AG10=5,CO_PO_PSO_MAPPING!$AC10,0)</f>
        <v>0</v>
      </c>
      <c r="Q82" s="263"/>
      <c r="R82" s="130">
        <f t="shared" si="9"/>
        <v>0</v>
      </c>
    </row>
    <row r="83" spans="2:18">
      <c r="B83" s="150"/>
      <c r="C83" s="81" t="s">
        <v>97</v>
      </c>
      <c r="D83" s="163">
        <f>IF(OR(CO_PO_PSO_MAPPING!$Y11=1, CO_PO_PSO_MAPPING!$Y11=2),CO_PO_PSO_MAPPING!$U11,0)</f>
        <v>0</v>
      </c>
      <c r="E83" s="163">
        <f>IF(CO_PO_PSO_MAPPING!$Y11=3,CO_PO_PSO_MAPPING!$U11,0)</f>
        <v>0</v>
      </c>
      <c r="F83" s="163">
        <f>IF(CO_PO_PSO_MAPPING!$Y11=4,CO_PO_PSO_MAPPING!$U11,0)</f>
        <v>0</v>
      </c>
      <c r="G83" s="163">
        <f>IF(CO_PO_PSO_MAPPING!$Y11=5,CO_PO_PSO_MAPPING!$U11,0)</f>
        <v>0</v>
      </c>
      <c r="H83" s="163"/>
      <c r="I83" s="130">
        <f t="shared" si="8"/>
        <v>0</v>
      </c>
      <c r="K83" s="388"/>
      <c r="L83" s="263" t="s">
        <v>97</v>
      </c>
      <c r="M83" s="263">
        <f>IF(OR(CO_PO_PSO_MAPPING!$AG11=1, CO_PO_PSO_MAPPING!$AG11=2),CO_PO_PSO_MAPPING!$AC11,0)</f>
        <v>0</v>
      </c>
      <c r="N83" s="263">
        <f>IF(CO_PO_PSO_MAPPING!$AG11=3,CO_PO_PSO_MAPPING!$AC11,0)</f>
        <v>0</v>
      </c>
      <c r="O83" s="263">
        <f>IF(CO_PO_PSO_MAPPING!$AG11=4,CO_PO_PSO_MAPPING!$AC11,0)</f>
        <v>0</v>
      </c>
      <c r="P83" s="263">
        <f>IF(CO_PO_PSO_MAPPING!$AG11=5,CO_PO_PSO_MAPPING!$AC11,0)</f>
        <v>0</v>
      </c>
      <c r="Q83" s="263"/>
      <c r="R83" s="130">
        <f t="shared" si="9"/>
        <v>0</v>
      </c>
    </row>
    <row r="84" spans="2:18">
      <c r="B84" s="150"/>
      <c r="C84" s="81" t="s">
        <v>98</v>
      </c>
      <c r="D84" s="163">
        <f>IF(OR(CO_PO_PSO_MAPPING!$Y12=1, CO_PO_PSO_MAPPING!$Y12=2),CO_PO_PSO_MAPPING!$U12,0)</f>
        <v>5</v>
      </c>
      <c r="E84" s="163">
        <f>IF(CO_PO_PSO_MAPPING!$Y12=3,CO_PO_PSO_MAPPING!$U12,0)</f>
        <v>0</v>
      </c>
      <c r="F84" s="163">
        <f>IF(CO_PO_PSO_MAPPING!$Y12=4,CO_PO_PSO_MAPPING!$U12,0)</f>
        <v>0</v>
      </c>
      <c r="G84" s="163">
        <f>IF(CO_PO_PSO_MAPPING!$Y12=5,CO_PO_PSO_MAPPING!$U12,0)</f>
        <v>0</v>
      </c>
      <c r="H84" s="163"/>
      <c r="I84" s="130">
        <f t="shared" si="8"/>
        <v>5</v>
      </c>
      <c r="K84" s="388"/>
      <c r="L84" s="81" t="s">
        <v>98</v>
      </c>
      <c r="M84" s="163">
        <f>IF(OR(CO_PO_PSO_MAPPING!$AG12=1, CO_PO_PSO_MAPPING!$AG12=2),CO_PO_PSO_MAPPING!$AC12,0)</f>
        <v>0</v>
      </c>
      <c r="N84" s="163">
        <f>IF(CO_PO_PSO_MAPPING!$AG12=3,CO_PO_PSO_MAPPING!$AC12,0)</f>
        <v>0</v>
      </c>
      <c r="O84" s="163">
        <f>IF(CO_PO_PSO_MAPPING!$AG12=4,CO_PO_PSO_MAPPING!$AC12,0)</f>
        <v>0</v>
      </c>
      <c r="P84" s="163">
        <f>IF(CO_PO_PSO_MAPPING!$AG12=5,CO_PO_PSO_MAPPING!$AC12,0)</f>
        <v>10</v>
      </c>
      <c r="Q84" s="163"/>
      <c r="R84" s="130">
        <f t="shared" si="9"/>
        <v>10</v>
      </c>
    </row>
    <row r="85" spans="2:18">
      <c r="B85" s="150"/>
      <c r="C85" s="81" t="s">
        <v>99</v>
      </c>
      <c r="D85" s="163">
        <f>IF(OR(CO_PO_PSO_MAPPING!$Y13=1, CO_PO_PSO_MAPPING!$Y13=2),CO_PO_PSO_MAPPING!$U13,0)</f>
        <v>0</v>
      </c>
      <c r="E85" s="163">
        <f>IF(CO_PO_PSO_MAPPING!$Y13=3,CO_PO_PSO_MAPPING!$U13,0)</f>
        <v>0</v>
      </c>
      <c r="F85" s="163">
        <f>IF(CO_PO_PSO_MAPPING!$Y13=4,CO_PO_PSO_MAPPING!$U13,0)</f>
        <v>10</v>
      </c>
      <c r="G85" s="163">
        <f>IF(CO_PO_PSO_MAPPING!$Y13=5,CO_PO_PSO_MAPPING!$U13,0)</f>
        <v>0</v>
      </c>
      <c r="H85" s="163"/>
      <c r="I85" s="130">
        <f t="shared" si="8"/>
        <v>10</v>
      </c>
      <c r="K85" s="388"/>
      <c r="L85" s="81" t="s">
        <v>99</v>
      </c>
      <c r="M85" s="163">
        <f>IF(OR(CO_PO_PSO_MAPPING!$AG13=1, CO_PO_PSO_MAPPING!$AG13=2),CO_PO_PSO_MAPPING!$AC13,0)</f>
        <v>10</v>
      </c>
      <c r="N85" s="163">
        <f>IF(CO_PO_PSO_MAPPING!$AG13=3,CO_PO_PSO_MAPPING!$AC13,0)</f>
        <v>0</v>
      </c>
      <c r="O85" s="163">
        <f>IF(CO_PO_PSO_MAPPING!$AG13=4,CO_PO_PSO_MAPPING!$AC13,0)</f>
        <v>0</v>
      </c>
      <c r="P85" s="163">
        <f>IF(CO_PO_PSO_MAPPING!$AG13=5,CO_PO_PSO_MAPPING!$AC13,0)</f>
        <v>0</v>
      </c>
      <c r="Q85" s="163"/>
      <c r="R85" s="130">
        <f t="shared" si="9"/>
        <v>10</v>
      </c>
    </row>
    <row r="86" spans="2:18">
      <c r="B86" s="150"/>
      <c r="C86" s="81" t="s">
        <v>100</v>
      </c>
      <c r="D86" s="163">
        <f>IF(OR(CO_PO_PSO_MAPPING!$Y14=1, CO_PO_PSO_MAPPING!$Y14=2),CO_PO_PSO_MAPPING!$U14,0)</f>
        <v>0</v>
      </c>
      <c r="E86" s="163">
        <f>IF(CO_PO_PSO_MAPPING!$Y14=3,CO_PO_PSO_MAPPING!$U14,0)</f>
        <v>5</v>
      </c>
      <c r="F86" s="163">
        <f>IF(CO_PO_PSO_MAPPING!$Y14=4,CO_PO_PSO_MAPPING!$U14,0)</f>
        <v>0</v>
      </c>
      <c r="G86" s="163">
        <f>IF(CO_PO_PSO_MAPPING!$Y14=5,CO_PO_PSO_MAPPING!$U14,0)</f>
        <v>0</v>
      </c>
      <c r="H86" s="163"/>
      <c r="I86" s="130">
        <f t="shared" si="8"/>
        <v>5</v>
      </c>
      <c r="K86" s="388"/>
      <c r="L86" s="81" t="s">
        <v>100</v>
      </c>
      <c r="M86" s="163">
        <f>IF(OR(CO_PO_PSO_MAPPING!$AG14=1, CO_PO_PSO_MAPPING!$AG14=2),CO_PO_PSO_MAPPING!$AC14,0)</f>
        <v>0</v>
      </c>
      <c r="N86" s="163">
        <f>IF(CO_PO_PSO_MAPPING!$AG14=3,CO_PO_PSO_MAPPING!$AC14,0)</f>
        <v>0</v>
      </c>
      <c r="O86" s="163">
        <f>IF(CO_PO_PSO_MAPPING!$AG14=4,CO_PO_PSO_MAPPING!$AC14,0)</f>
        <v>0</v>
      </c>
      <c r="P86" s="163">
        <f>IF(CO_PO_PSO_MAPPING!$AG14=5,CO_PO_PSO_MAPPING!$AC14,0)</f>
        <v>0</v>
      </c>
      <c r="Q86" s="163"/>
      <c r="R86" s="130">
        <f t="shared" si="9"/>
        <v>0</v>
      </c>
    </row>
    <row r="87" spans="2:18">
      <c r="B87" s="151"/>
      <c r="C87" s="81" t="s">
        <v>101</v>
      </c>
      <c r="D87" s="163">
        <f>IF(OR(CO_PO_PSO_MAPPING!$Y15=1, CO_PO_PSO_MAPPING!$Y15=2),CO_PO_PSO_MAPPING!$U15,0)</f>
        <v>0</v>
      </c>
      <c r="E87" s="163">
        <f>IF(CO_PO_PSO_MAPPING!$Y15=3,CO_PO_PSO_MAPPING!$U15,0)</f>
        <v>0</v>
      </c>
      <c r="F87" s="163">
        <f>IF(CO_PO_PSO_MAPPING!$Y15=4,CO_PO_PSO_MAPPING!$U15,0)</f>
        <v>0</v>
      </c>
      <c r="G87" s="163">
        <f>IF(CO_PO_PSO_MAPPING!$Y15=5,CO_PO_PSO_MAPPING!$U15,0)</f>
        <v>0</v>
      </c>
      <c r="H87" s="163"/>
      <c r="I87" s="130">
        <f t="shared" si="8"/>
        <v>0</v>
      </c>
      <c r="K87" s="388"/>
      <c r="L87" s="81" t="s">
        <v>101</v>
      </c>
      <c r="M87" s="163">
        <f>IF(OR(CO_PO_PSO_MAPPING!$AG15=1, CO_PO_PSO_MAPPING!$AG15=2),CO_PO_PSO_MAPPING!$AC15,0)</f>
        <v>0</v>
      </c>
      <c r="N87" s="163">
        <f>IF(CO_PO_PSO_MAPPING!$AG15=3,CO_PO_PSO_MAPPING!$AC15,0)</f>
        <v>0</v>
      </c>
      <c r="O87" s="163">
        <f>IF(CO_PO_PSO_MAPPING!$AG15=4,CO_PO_PSO_MAPPING!$AC15,0)</f>
        <v>0</v>
      </c>
      <c r="P87" s="163">
        <f>IF(CO_PO_PSO_MAPPING!$AG15=5,CO_PO_PSO_MAPPING!$AC15,0)</f>
        <v>0</v>
      </c>
      <c r="Q87" s="163"/>
      <c r="R87" s="130">
        <f t="shared" si="9"/>
        <v>0</v>
      </c>
    </row>
    <row r="88" spans="2:18">
      <c r="B88" s="152" t="s">
        <v>106</v>
      </c>
      <c r="C88" s="80" t="s">
        <v>89</v>
      </c>
      <c r="D88" s="165">
        <f>IF(OR(CO_PO_PSO_MAPPING!$Y16=1, CO_PO_PSO_MAPPING!$Y16=2),CO_PO_PSO_MAPPING!$U16,0)</f>
        <v>4</v>
      </c>
      <c r="E88" s="165">
        <f>IF(CO_PO_PSO_MAPPING!$Y16=3,CO_PO_PSO_MAPPING!$U16,0)</f>
        <v>0</v>
      </c>
      <c r="F88" s="165">
        <f>IF(CO_PO_PSO_MAPPING!$Y16=4,CO_PO_PSO_MAPPING!$U16,0)</f>
        <v>0</v>
      </c>
      <c r="G88" s="165">
        <f>IF(CO_PO_PSO_MAPPING!$Y16=5,CO_PO_PSO_MAPPING!$U16,0)</f>
        <v>0</v>
      </c>
      <c r="H88" s="165"/>
      <c r="I88" s="130">
        <f t="shared" si="8"/>
        <v>4</v>
      </c>
      <c r="K88" s="388"/>
      <c r="L88" s="80" t="s">
        <v>175</v>
      </c>
      <c r="M88" s="165">
        <f>IF(OR(CO_PO_PSO_MAPPING!$AG16=1, CO_PO_PSO_MAPPING!$AG16=2),CO_PO_PSO_MAPPING!$AC16,0)</f>
        <v>0</v>
      </c>
      <c r="N88" s="165">
        <f>IF(CO_PO_PSO_MAPPING!$AG16=3,CO_PO_PSO_MAPPING!$AC16,0)</f>
        <v>0</v>
      </c>
      <c r="O88" s="165">
        <f>IF(CO_PO_PSO_MAPPING!$AG16=4,CO_PO_PSO_MAPPING!$AC16,0)</f>
        <v>10</v>
      </c>
      <c r="P88" s="165">
        <f>IF(CO_PO_PSO_MAPPING!$AG16=5,CO_PO_PSO_MAPPING!$AC16,0)</f>
        <v>0</v>
      </c>
      <c r="Q88" s="165"/>
      <c r="R88" s="130">
        <f t="shared" si="9"/>
        <v>10</v>
      </c>
    </row>
    <row r="89" spans="2:18">
      <c r="B89" s="153"/>
      <c r="C89" s="80" t="s">
        <v>90</v>
      </c>
      <c r="D89" s="165">
        <f>IF(OR(CO_PO_PSO_MAPPING!$Y17=1, CO_PO_PSO_MAPPING!$Y17=2),CO_PO_PSO_MAPPING!$U17,0)</f>
        <v>0</v>
      </c>
      <c r="E89" s="165">
        <f>IF(CO_PO_PSO_MAPPING!$Y17=3,CO_PO_PSO_MAPPING!$U17,0)</f>
        <v>6</v>
      </c>
      <c r="F89" s="165">
        <f>IF(CO_PO_PSO_MAPPING!$Y17=4,CO_PO_PSO_MAPPING!$U17,0)</f>
        <v>0</v>
      </c>
      <c r="G89" s="165">
        <f>IF(CO_PO_PSO_MAPPING!$Y17=5,CO_PO_PSO_MAPPING!$U17,0)</f>
        <v>0</v>
      </c>
      <c r="H89" s="165"/>
      <c r="I89" s="130">
        <f t="shared" si="8"/>
        <v>6</v>
      </c>
      <c r="K89" s="388"/>
      <c r="L89" s="80" t="s">
        <v>176</v>
      </c>
      <c r="M89" s="165">
        <f>IF(OR(CO_PO_PSO_MAPPING!$AG17=1, CO_PO_PSO_MAPPING!$AG17=2),CO_PO_PSO_MAPPING!$AC17,0)</f>
        <v>0</v>
      </c>
      <c r="N89" s="165">
        <f>IF(CO_PO_PSO_MAPPING!$AG17=3,CO_PO_PSO_MAPPING!$AC17,0)</f>
        <v>0</v>
      </c>
      <c r="O89" s="165">
        <f>IF(CO_PO_PSO_MAPPING!$AG17=4,CO_PO_PSO_MAPPING!$AC17,0)</f>
        <v>0</v>
      </c>
      <c r="P89" s="165">
        <f>IF(CO_PO_PSO_MAPPING!$AG17=5,CO_PO_PSO_MAPPING!$AC17,0)</f>
        <v>10</v>
      </c>
      <c r="Q89" s="165"/>
      <c r="R89" s="130">
        <f t="shared" si="9"/>
        <v>10</v>
      </c>
    </row>
    <row r="90" spans="2:18">
      <c r="B90" s="153"/>
      <c r="C90" s="80" t="s">
        <v>91</v>
      </c>
      <c r="D90" s="165">
        <f>IF(OR(CO_PO_PSO_MAPPING!$Y18=1, CO_PO_PSO_MAPPING!$Y18=2),CO_PO_PSO_MAPPING!$U18,0)</f>
        <v>0</v>
      </c>
      <c r="E90" s="165">
        <f>IF(CO_PO_PSO_MAPPING!$Y18=3,CO_PO_PSO_MAPPING!$U18,0)</f>
        <v>0</v>
      </c>
      <c r="F90" s="165">
        <f>IF(CO_PO_PSO_MAPPING!$Y18=4,CO_PO_PSO_MAPPING!$U18,0)</f>
        <v>0</v>
      </c>
      <c r="G90" s="165">
        <f>IF(CO_PO_PSO_MAPPING!$Y18=5,CO_PO_PSO_MAPPING!$U18,0)</f>
        <v>10</v>
      </c>
      <c r="H90" s="165"/>
      <c r="I90" s="130">
        <f t="shared" si="8"/>
        <v>10</v>
      </c>
      <c r="K90" s="388"/>
      <c r="L90" s="80" t="s">
        <v>177</v>
      </c>
      <c r="M90" s="165">
        <f>IF(OR(CO_PO_PSO_MAPPING!$AG18=1, CO_PO_PSO_MAPPING!$AG18=2),CO_PO_PSO_MAPPING!$AC18,0)</f>
        <v>0</v>
      </c>
      <c r="N90" s="165">
        <f>IF(CO_PO_PSO_MAPPING!$AG18=3,CO_PO_PSO_MAPPING!$AC18,0)</f>
        <v>0</v>
      </c>
      <c r="O90" s="165">
        <f>IF(CO_PO_PSO_MAPPING!$AG18=4,CO_PO_PSO_MAPPING!$AC18,0)</f>
        <v>0</v>
      </c>
      <c r="P90" s="165">
        <f>IF(CO_PO_PSO_MAPPING!$AG18=5,CO_PO_PSO_MAPPING!$AC18,0)</f>
        <v>0</v>
      </c>
      <c r="Q90" s="165"/>
      <c r="R90" s="130">
        <f t="shared" si="9"/>
        <v>0</v>
      </c>
    </row>
    <row r="91" spans="2:18">
      <c r="B91" s="153"/>
      <c r="C91" s="80" t="s">
        <v>92</v>
      </c>
      <c r="D91" s="165">
        <f>IF(OR(CO_PO_PSO_MAPPING!$Y19=1, CO_PO_PSO_MAPPING!$Y19=2),CO_PO_PSO_MAPPING!$U19,0)</f>
        <v>0</v>
      </c>
      <c r="E91" s="165">
        <f>IF(CO_PO_PSO_MAPPING!$Y19=3,CO_PO_PSO_MAPPING!$U19,0)</f>
        <v>0</v>
      </c>
      <c r="F91" s="165">
        <f>IF(CO_PO_PSO_MAPPING!$Y19=4,CO_PO_PSO_MAPPING!$U19,0)</f>
        <v>0</v>
      </c>
      <c r="G91" s="165">
        <f>IF(CO_PO_PSO_MAPPING!$Y19=5,CO_PO_PSO_MAPPING!$U19,0)</f>
        <v>0</v>
      </c>
      <c r="H91" s="165"/>
      <c r="I91" s="130">
        <f t="shared" si="8"/>
        <v>0</v>
      </c>
      <c r="K91" s="388"/>
      <c r="L91" s="80" t="s">
        <v>178</v>
      </c>
      <c r="M91" s="165">
        <f>IF(OR(CO_PO_PSO_MAPPING!$AG19=1, CO_PO_PSO_MAPPING!$AG19=2),CO_PO_PSO_MAPPING!$AC19,0)</f>
        <v>0</v>
      </c>
      <c r="N91" s="165">
        <f>IF(CO_PO_PSO_MAPPING!$AG19=3,CO_PO_PSO_MAPPING!$AC19,0)</f>
        <v>0</v>
      </c>
      <c r="O91" s="165">
        <f>IF(CO_PO_PSO_MAPPING!$AG19=4,CO_PO_PSO_MAPPING!$AC19,0)</f>
        <v>0</v>
      </c>
      <c r="P91" s="165">
        <f>IF(CO_PO_PSO_MAPPING!$AG19=5,CO_PO_PSO_MAPPING!$AC19,0)</f>
        <v>0</v>
      </c>
      <c r="Q91" s="165"/>
      <c r="R91" s="130">
        <f t="shared" si="9"/>
        <v>0</v>
      </c>
    </row>
    <row r="92" spans="2:18">
      <c r="B92" s="153"/>
      <c r="C92" s="80" t="s">
        <v>94</v>
      </c>
      <c r="D92" s="165">
        <f>IF(OR(CO_PO_PSO_MAPPING!$Y20=1, CO_PO_PSO_MAPPING!$Y20=2),CO_PO_PSO_MAPPING!$U20,0)</f>
        <v>4</v>
      </c>
      <c r="E92" s="165">
        <f>IF(CO_PO_PSO_MAPPING!$Y20=3,CO_PO_PSO_MAPPING!$U20,0)</f>
        <v>0</v>
      </c>
      <c r="F92" s="165">
        <f>IF(CO_PO_PSO_MAPPING!$Y20=4,CO_PO_PSO_MAPPING!$U20,0)</f>
        <v>0</v>
      </c>
      <c r="G92" s="165">
        <f>IF(CO_PO_PSO_MAPPING!$Y20=5,CO_PO_PSO_MAPPING!$U20,0)</f>
        <v>0</v>
      </c>
      <c r="H92" s="165"/>
      <c r="I92" s="130">
        <f t="shared" si="8"/>
        <v>4</v>
      </c>
      <c r="K92" s="388"/>
      <c r="L92" s="83" t="s">
        <v>179</v>
      </c>
      <c r="M92" s="264">
        <f>IF(OR(CO_PO_PSO_MAPPING!$AG20=1, CO_PO_PSO_MAPPING!$AG20=2),CO_PO_PSO_MAPPING!$AC20,0)</f>
        <v>0</v>
      </c>
      <c r="N92" s="264">
        <f>IF(CO_PO_PSO_MAPPING!$AG20=3,CO_PO_PSO_MAPPING!$AC20,0)</f>
        <v>0</v>
      </c>
      <c r="O92" s="264">
        <f>IF(CO_PO_PSO_MAPPING!$AG20=4,CO_PO_PSO_MAPPING!$AC20,0)</f>
        <v>0</v>
      </c>
      <c r="P92" s="264">
        <f>IF(CO_PO_PSO_MAPPING!$AG20=5,CO_PO_PSO_MAPPING!$AC20,0)</f>
        <v>12</v>
      </c>
      <c r="Q92" s="264"/>
      <c r="R92" s="130">
        <f t="shared" si="9"/>
        <v>12</v>
      </c>
    </row>
    <row r="93" spans="2:18">
      <c r="B93" s="153"/>
      <c r="C93" s="80" t="s">
        <v>95</v>
      </c>
      <c r="D93" s="165">
        <f>IF(OR(CO_PO_PSO_MAPPING!$Y21=1, CO_PO_PSO_MAPPING!$Y21=2),CO_PO_PSO_MAPPING!$U21,0)</f>
        <v>0</v>
      </c>
      <c r="E93" s="165">
        <f>IF(CO_PO_PSO_MAPPING!$Y21=3,CO_PO_PSO_MAPPING!$U21,0)</f>
        <v>6</v>
      </c>
      <c r="F93" s="165">
        <f>IF(CO_PO_PSO_MAPPING!$Y21=4,CO_PO_PSO_MAPPING!$U21,0)</f>
        <v>0</v>
      </c>
      <c r="G93" s="165">
        <f>IF(CO_PO_PSO_MAPPING!$Y21=5,CO_PO_PSO_MAPPING!$U21,0)</f>
        <v>0</v>
      </c>
      <c r="H93" s="165"/>
      <c r="I93" s="130">
        <f t="shared" si="8"/>
        <v>6</v>
      </c>
      <c r="K93" s="388"/>
      <c r="L93" s="83" t="s">
        <v>180</v>
      </c>
      <c r="M93" s="264">
        <f>IF(OR(CO_PO_PSO_MAPPING!$AG21=1, CO_PO_PSO_MAPPING!$AG21=2),CO_PO_PSO_MAPPING!$AC21,0)</f>
        <v>0</v>
      </c>
      <c r="N93" s="264">
        <f>IF(CO_PO_PSO_MAPPING!$AG21=3,CO_PO_PSO_MAPPING!$AC21,0)</f>
        <v>8</v>
      </c>
      <c r="O93" s="264">
        <f>IF(CO_PO_PSO_MAPPING!$AG21=4,CO_PO_PSO_MAPPING!$AC21,0)</f>
        <v>0</v>
      </c>
      <c r="P93" s="264">
        <f>IF(CO_PO_PSO_MAPPING!$AG21=5,CO_PO_PSO_MAPPING!$AC21,0)</f>
        <v>0</v>
      </c>
      <c r="Q93" s="264"/>
      <c r="R93" s="130">
        <f t="shared" si="9"/>
        <v>8</v>
      </c>
    </row>
    <row r="94" spans="2:18">
      <c r="B94" s="153"/>
      <c r="C94" s="80" t="s">
        <v>96</v>
      </c>
      <c r="D94" s="165">
        <f>IF(OR(CO_PO_PSO_MAPPING!$Y22=1, CO_PO_PSO_MAPPING!$Y22=2),CO_PO_PSO_MAPPING!$U22,0)</f>
        <v>0</v>
      </c>
      <c r="E94" s="165">
        <f>IF(CO_PO_PSO_MAPPING!$Y22=3,CO_PO_PSO_MAPPING!$U22,0)</f>
        <v>0</v>
      </c>
      <c r="F94" s="165">
        <f>IF(CO_PO_PSO_MAPPING!$Y22=4,CO_PO_PSO_MAPPING!$U22,0)</f>
        <v>0</v>
      </c>
      <c r="G94" s="165">
        <f>IF(CO_PO_PSO_MAPPING!$Y22=5,CO_PO_PSO_MAPPING!$U22,0)</f>
        <v>10</v>
      </c>
      <c r="H94" s="165"/>
      <c r="I94" s="130">
        <f t="shared" si="8"/>
        <v>10</v>
      </c>
      <c r="K94" s="388"/>
      <c r="L94" s="83" t="s">
        <v>181</v>
      </c>
      <c r="M94" s="264">
        <f>IF(OR(CO_PO_PSO_MAPPING!$AG22=1, CO_PO_PSO_MAPPING!$AG22=2),CO_PO_PSO_MAPPING!$AC22,0)</f>
        <v>0</v>
      </c>
      <c r="N94" s="264">
        <f>IF(CO_PO_PSO_MAPPING!$AG22=3,CO_PO_PSO_MAPPING!$AC22,0)</f>
        <v>0</v>
      </c>
      <c r="O94" s="264">
        <f>IF(CO_PO_PSO_MAPPING!$AG22=4,CO_PO_PSO_MAPPING!$AC22,0)</f>
        <v>0</v>
      </c>
      <c r="P94" s="264">
        <f>IF(CO_PO_PSO_MAPPING!$AG22=5,CO_PO_PSO_MAPPING!$AC22,0)</f>
        <v>0</v>
      </c>
      <c r="Q94" s="264"/>
      <c r="R94" s="130">
        <f t="shared" si="9"/>
        <v>0</v>
      </c>
    </row>
    <row r="95" spans="2:18">
      <c r="B95" s="153"/>
      <c r="C95" s="80" t="s">
        <v>97</v>
      </c>
      <c r="D95" s="165">
        <f>IF(OR(CO_PO_PSO_MAPPING!$Y23=1, CO_PO_PSO_MAPPING!$Y23=2),CO_PO_PSO_MAPPING!$U23,0)</f>
        <v>0</v>
      </c>
      <c r="E95" s="165">
        <f>IF(CO_PO_PSO_MAPPING!$Y23=3,CO_PO_PSO_MAPPING!$U23,0)</f>
        <v>0</v>
      </c>
      <c r="F95" s="165">
        <f>IF(CO_PO_PSO_MAPPING!$Y23=4,CO_PO_PSO_MAPPING!$U23,0)</f>
        <v>0</v>
      </c>
      <c r="G95" s="165">
        <f>IF(CO_PO_PSO_MAPPING!$Y23=5,CO_PO_PSO_MAPPING!$U23,0)</f>
        <v>0</v>
      </c>
      <c r="H95" s="165"/>
      <c r="I95" s="130">
        <f t="shared" si="8"/>
        <v>0</v>
      </c>
      <c r="K95" s="388"/>
      <c r="L95" s="83" t="s">
        <v>182</v>
      </c>
      <c r="M95" s="264">
        <f>IF(OR(CO_PO_PSO_MAPPING!$AG23=1, CO_PO_PSO_MAPPING!$AG23=2),CO_PO_PSO_MAPPING!$AC23,0)</f>
        <v>0</v>
      </c>
      <c r="N95" s="264">
        <f>IF(CO_PO_PSO_MAPPING!$AG23=3,CO_PO_PSO_MAPPING!$AC23,0)</f>
        <v>0</v>
      </c>
      <c r="O95" s="264">
        <f>IF(CO_PO_PSO_MAPPING!$AG23=4,CO_PO_PSO_MAPPING!$AC23,0)</f>
        <v>0</v>
      </c>
      <c r="P95" s="264">
        <f>IF(CO_PO_PSO_MAPPING!$AG23=5,CO_PO_PSO_MAPPING!$AC23,0)</f>
        <v>0</v>
      </c>
      <c r="Q95" s="264"/>
      <c r="R95" s="130">
        <f t="shared" si="9"/>
        <v>0</v>
      </c>
    </row>
    <row r="96" spans="2:18">
      <c r="B96" s="153"/>
      <c r="C96" s="80" t="s">
        <v>98</v>
      </c>
      <c r="D96" s="165">
        <f>IF(OR(CO_PO_PSO_MAPPING!$Y24=1, CO_PO_PSO_MAPPING!$Y24=2),CO_PO_PSO_MAPPING!$U24,0)</f>
        <v>4</v>
      </c>
      <c r="E96" s="165">
        <f>IF(CO_PO_PSO_MAPPING!$Y24=3,CO_PO_PSO_MAPPING!$U24,0)</f>
        <v>0</v>
      </c>
      <c r="F96" s="165">
        <f>IF(CO_PO_PSO_MAPPING!$Y24=4,CO_PO_PSO_MAPPING!$U24,0)</f>
        <v>0</v>
      </c>
      <c r="G96" s="165">
        <f>IF(CO_PO_PSO_MAPPING!$Y24=5,CO_PO_PSO_MAPPING!$U24,0)</f>
        <v>0</v>
      </c>
      <c r="H96" s="165"/>
      <c r="I96" s="130">
        <f t="shared" si="8"/>
        <v>4</v>
      </c>
      <c r="K96" s="388"/>
      <c r="L96" s="80" t="s">
        <v>183</v>
      </c>
      <c r="M96" s="165">
        <f>IF(OR(CO_PO_PSO_MAPPING!$AG24=1, CO_PO_PSO_MAPPING!$AG24=2),CO_PO_PSO_MAPPING!$AC24,0)</f>
        <v>0</v>
      </c>
      <c r="N96" s="165">
        <f>IF(CO_PO_PSO_MAPPING!$AG24=3,CO_PO_PSO_MAPPING!$AC24,0)</f>
        <v>10</v>
      </c>
      <c r="O96" s="165">
        <f>IF(CO_PO_PSO_MAPPING!$AG24=4,CO_PO_PSO_MAPPING!$AC24,0)</f>
        <v>0</v>
      </c>
      <c r="P96" s="165">
        <f>IF(CO_PO_PSO_MAPPING!$AG24=5,CO_PO_PSO_MAPPING!$AC24,0)</f>
        <v>0</v>
      </c>
      <c r="Q96" s="165"/>
      <c r="R96" s="130">
        <f t="shared" si="9"/>
        <v>10</v>
      </c>
    </row>
    <row r="97" spans="2:18">
      <c r="B97" s="153"/>
      <c r="C97" s="80" t="s">
        <v>99</v>
      </c>
      <c r="D97" s="165">
        <f>IF(OR(CO_PO_PSO_MAPPING!$Y25=1, CO_PO_PSO_MAPPING!$Y25=2),CO_PO_PSO_MAPPING!$U25,0)</f>
        <v>0</v>
      </c>
      <c r="E97" s="165">
        <f>IF(CO_PO_PSO_MAPPING!$Y25=3,CO_PO_PSO_MAPPING!$U25,0)</f>
        <v>6</v>
      </c>
      <c r="F97" s="165">
        <f>IF(CO_PO_PSO_MAPPING!$Y25=4,CO_PO_PSO_MAPPING!$U25,0)</f>
        <v>0</v>
      </c>
      <c r="G97" s="165">
        <f>IF(CO_PO_PSO_MAPPING!$Y25=5,CO_PO_PSO_MAPPING!$U25,0)</f>
        <v>0</v>
      </c>
      <c r="H97" s="165"/>
      <c r="I97" s="130">
        <f t="shared" si="8"/>
        <v>6</v>
      </c>
      <c r="K97" s="388"/>
      <c r="L97" s="80" t="s">
        <v>184</v>
      </c>
      <c r="M97" s="165">
        <f>IF(OR(CO_PO_PSO_MAPPING!$AG25=1, CO_PO_PSO_MAPPING!$AG25=2),CO_PO_PSO_MAPPING!$AC25,0)</f>
        <v>0</v>
      </c>
      <c r="N97" s="165">
        <f>IF(CO_PO_PSO_MAPPING!$AG25=3,CO_PO_PSO_MAPPING!$AC25,0)</f>
        <v>0</v>
      </c>
      <c r="O97" s="165">
        <f>IF(CO_PO_PSO_MAPPING!$AG25=4,CO_PO_PSO_MAPPING!$AC25,0)</f>
        <v>10</v>
      </c>
      <c r="P97" s="165">
        <f>IF(CO_PO_PSO_MAPPING!$AG25=5,CO_PO_PSO_MAPPING!$AC25,0)</f>
        <v>0</v>
      </c>
      <c r="Q97" s="165"/>
      <c r="R97" s="130">
        <f t="shared" si="9"/>
        <v>10</v>
      </c>
    </row>
    <row r="98" spans="2:18">
      <c r="B98" s="153"/>
      <c r="C98" s="80" t="s">
        <v>100</v>
      </c>
      <c r="D98" s="165">
        <f>IF(OR(CO_PO_PSO_MAPPING!$Y26=1, CO_PO_PSO_MAPPING!$Y26=2),CO_PO_PSO_MAPPING!$U26,0)</f>
        <v>0</v>
      </c>
      <c r="E98" s="165">
        <f>IF(CO_PO_PSO_MAPPING!$Y26=3,CO_PO_PSO_MAPPING!$U26,0)</f>
        <v>0</v>
      </c>
      <c r="F98" s="165">
        <f>IF(CO_PO_PSO_MAPPING!$Y26=4,CO_PO_PSO_MAPPING!$U26,0)</f>
        <v>0</v>
      </c>
      <c r="G98" s="165">
        <f>IF(CO_PO_PSO_MAPPING!$Y26=5,CO_PO_PSO_MAPPING!$U26,0)</f>
        <v>10</v>
      </c>
      <c r="H98" s="165"/>
      <c r="I98" s="130">
        <f t="shared" si="8"/>
        <v>10</v>
      </c>
      <c r="K98" s="388"/>
      <c r="L98" s="80" t="s">
        <v>185</v>
      </c>
      <c r="M98" s="165">
        <f>IF(OR(CO_PO_PSO_MAPPING!$AG26=1, CO_PO_PSO_MAPPING!$AG26=2),CO_PO_PSO_MAPPING!$AC26,0)</f>
        <v>0</v>
      </c>
      <c r="N98" s="165">
        <f>IF(CO_PO_PSO_MAPPING!$AG26=3,CO_PO_PSO_MAPPING!$AC26,0)</f>
        <v>0</v>
      </c>
      <c r="O98" s="165">
        <f>IF(CO_PO_PSO_MAPPING!$AG26=4,CO_PO_PSO_MAPPING!$AC26,0)</f>
        <v>0</v>
      </c>
      <c r="P98" s="165">
        <f>IF(CO_PO_PSO_MAPPING!$AG26=5,CO_PO_PSO_MAPPING!$AC26,0)</f>
        <v>0</v>
      </c>
      <c r="Q98" s="165"/>
      <c r="R98" s="130">
        <f t="shared" si="9"/>
        <v>0</v>
      </c>
    </row>
    <row r="99" spans="2:18">
      <c r="B99" s="153"/>
      <c r="C99" s="80" t="s">
        <v>101</v>
      </c>
      <c r="D99" s="165">
        <f>IF(OR(CO_PO_PSO_MAPPING!$Y27=1, CO_PO_PSO_MAPPING!$Y27=2),CO_PO_PSO_MAPPING!$U27,0)</f>
        <v>0</v>
      </c>
      <c r="E99" s="165">
        <f>IF(CO_PO_PSO_MAPPING!$Y27=3,CO_PO_PSO_MAPPING!$U27,0)</f>
        <v>0</v>
      </c>
      <c r="F99" s="165">
        <f>IF(CO_PO_PSO_MAPPING!$Y27=4,CO_PO_PSO_MAPPING!$U27,0)</f>
        <v>0</v>
      </c>
      <c r="G99" s="165">
        <f>IF(CO_PO_PSO_MAPPING!$Y27=5,CO_PO_PSO_MAPPING!$U27,0)</f>
        <v>0</v>
      </c>
      <c r="H99" s="165"/>
      <c r="I99" s="130">
        <f t="shared" si="8"/>
        <v>0</v>
      </c>
      <c r="K99" s="388"/>
      <c r="L99" s="80" t="s">
        <v>186</v>
      </c>
      <c r="M99" s="165">
        <f>IF(OR(CO_PO_PSO_MAPPING!$AG27=1, CO_PO_PSO_MAPPING!$AG27=2),CO_PO_PSO_MAPPING!$AC27,0)</f>
        <v>0</v>
      </c>
      <c r="N99" s="165">
        <f>IF(CO_PO_PSO_MAPPING!$AG27=3,CO_PO_PSO_MAPPING!$AC27,0)</f>
        <v>0</v>
      </c>
      <c r="O99" s="165">
        <f>IF(CO_PO_PSO_MAPPING!$AG27=4,CO_PO_PSO_MAPPING!$AC27,0)</f>
        <v>0</v>
      </c>
      <c r="P99" s="165">
        <f>IF(CO_PO_PSO_MAPPING!$AG27=5,CO_PO_PSO_MAPPING!$AC27,0)</f>
        <v>0</v>
      </c>
      <c r="Q99" s="165"/>
      <c r="R99" s="130">
        <f t="shared" si="9"/>
        <v>0</v>
      </c>
    </row>
    <row r="100" spans="2:18">
      <c r="B100" s="154"/>
      <c r="C100" s="80"/>
      <c r="D100" s="165">
        <f>IF(OR(CO_PO_PSO_MAPPING!$Y28=1, CO_PO_PSO_MAPPING!$Y28=2),CO_PO_PSO_MAPPING!$U28,0)</f>
        <v>0</v>
      </c>
      <c r="E100" s="165">
        <f>IF(CO_PO_PSO_MAPPING!$Y28=3,CO_PO_PSO_MAPPING!$U28,0)</f>
        <v>0</v>
      </c>
      <c r="F100" s="165">
        <f>IF(CO_PO_PSO_MAPPING!$Y28=4,CO_PO_PSO_MAPPING!$U28,0)</f>
        <v>0</v>
      </c>
      <c r="G100" s="165">
        <f>IF(CO_PO_PSO_MAPPING!$Y28=5,CO_PO_PSO_MAPPING!$U28,0)</f>
        <v>0</v>
      </c>
      <c r="H100" s="165"/>
      <c r="I100" s="130">
        <f t="shared" si="8"/>
        <v>0</v>
      </c>
      <c r="K100" s="388"/>
      <c r="L100" s="85" t="s">
        <v>187</v>
      </c>
      <c r="M100" s="262">
        <f>IF(OR(CO_PO_PSO_MAPPING!$AG28=1, CO_PO_PSO_MAPPING!$AG28=2),CO_PO_PSO_MAPPING!$AC28,0)</f>
        <v>10</v>
      </c>
      <c r="N100" s="262">
        <f>IF(CO_PO_PSO_MAPPING!$AG28=3,CO_PO_PSO_MAPPING!$AC28,0)</f>
        <v>0</v>
      </c>
      <c r="O100" s="262">
        <f>IF(CO_PO_PSO_MAPPING!$AG28=4,CO_PO_PSO_MAPPING!$AC28,0)</f>
        <v>0</v>
      </c>
      <c r="P100" s="262">
        <f>IF(CO_PO_PSO_MAPPING!$AG28=5,CO_PO_PSO_MAPPING!$AC28,0)</f>
        <v>0</v>
      </c>
      <c r="Q100" s="262"/>
      <c r="R100" s="130">
        <f t="shared" si="9"/>
        <v>10</v>
      </c>
    </row>
    <row r="101" spans="2:18">
      <c r="B101" s="155" t="s">
        <v>105</v>
      </c>
      <c r="C101" s="82" t="s">
        <v>89</v>
      </c>
      <c r="D101" s="35">
        <f>IF(OR(CO_PO_PSO_MAPPING!$Y29=1, CO_PO_PSO_MAPPING!$Y29=2),CO_PO_PSO_MAPPING!$U29,0)</f>
        <v>0</v>
      </c>
      <c r="E101" s="35">
        <f>IF(CO_PO_PSO_MAPPING!$Y29=3,CO_PO_PSO_MAPPING!$U29,0)</f>
        <v>6</v>
      </c>
      <c r="F101" s="35">
        <f>IF(CO_PO_PSO_MAPPING!$Y29=4,CO_PO_PSO_MAPPING!$U29,0)</f>
        <v>0</v>
      </c>
      <c r="G101" s="35">
        <f>IF(CO_PO_PSO_MAPPING!$Y29=5,CO_PO_PSO_MAPPING!$U29,0)</f>
        <v>0</v>
      </c>
      <c r="H101" s="35"/>
      <c r="I101" s="130">
        <f t="shared" si="8"/>
        <v>6</v>
      </c>
      <c r="K101" s="388"/>
      <c r="L101" s="85" t="s">
        <v>188</v>
      </c>
      <c r="M101" s="262">
        <f>IF(OR(CO_PO_PSO_MAPPING!$AG29=1, CO_PO_PSO_MAPPING!$AG29=2),CO_PO_PSO_MAPPING!$AC29,0)</f>
        <v>0</v>
      </c>
      <c r="N101" s="262">
        <f>IF(CO_PO_PSO_MAPPING!$AG29=3,CO_PO_PSO_MAPPING!$AC29,0)</f>
        <v>0</v>
      </c>
      <c r="O101" s="262">
        <f>IF(CO_PO_PSO_MAPPING!$AG29=4,CO_PO_PSO_MAPPING!$AC29,0)</f>
        <v>0</v>
      </c>
      <c r="P101" s="262">
        <f>IF(CO_PO_PSO_MAPPING!$AG29=5,CO_PO_PSO_MAPPING!$AC29,0)</f>
        <v>6</v>
      </c>
      <c r="Q101" s="262"/>
      <c r="R101" s="130">
        <f t="shared" si="9"/>
        <v>6</v>
      </c>
    </row>
    <row r="102" spans="2:18">
      <c r="B102" s="156"/>
      <c r="C102" s="82" t="s">
        <v>90</v>
      </c>
      <c r="D102" s="35">
        <f>IF(OR(CO_PO_PSO_MAPPING!$Y30=1, CO_PO_PSO_MAPPING!$Y30=2),CO_PO_PSO_MAPPING!$U30,0)</f>
        <v>0</v>
      </c>
      <c r="E102" s="35">
        <f>IF(CO_PO_PSO_MAPPING!$Y30=3,CO_PO_PSO_MAPPING!$U30,0)</f>
        <v>0</v>
      </c>
      <c r="F102" s="35">
        <f>IF(CO_PO_PSO_MAPPING!$Y30=4,CO_PO_PSO_MAPPING!$U30,0)</f>
        <v>6</v>
      </c>
      <c r="G102" s="35">
        <f>IF(CO_PO_PSO_MAPPING!$Y30=5,CO_PO_PSO_MAPPING!$U30,0)</f>
        <v>0</v>
      </c>
      <c r="H102" s="35"/>
      <c r="I102" s="130">
        <f t="shared" si="8"/>
        <v>6</v>
      </c>
      <c r="K102" s="388"/>
      <c r="L102" s="85" t="s">
        <v>189</v>
      </c>
      <c r="M102" s="262">
        <f>IF(OR(CO_PO_PSO_MAPPING!$AG30=1, CO_PO_PSO_MAPPING!$AG30=2),CO_PO_PSO_MAPPING!$AC30,0)</f>
        <v>4</v>
      </c>
      <c r="N102" s="262">
        <f>IF(CO_PO_PSO_MAPPING!$AG30=3,CO_PO_PSO_MAPPING!$AC30,0)</f>
        <v>0</v>
      </c>
      <c r="O102" s="262">
        <f>IF(CO_PO_PSO_MAPPING!$AG30=4,CO_PO_PSO_MAPPING!$AC30,0)</f>
        <v>0</v>
      </c>
      <c r="P102" s="262">
        <f>IF(CO_PO_PSO_MAPPING!$AG30=5,CO_PO_PSO_MAPPING!$AC30,0)</f>
        <v>0</v>
      </c>
      <c r="Q102" s="262"/>
      <c r="R102" s="130">
        <f t="shared" si="9"/>
        <v>4</v>
      </c>
    </row>
    <row r="103" spans="2:18">
      <c r="B103" s="156"/>
      <c r="C103" s="82" t="s">
        <v>91</v>
      </c>
      <c r="D103" s="35">
        <f>IF(OR(CO_PO_PSO_MAPPING!$Y31=1, CO_PO_PSO_MAPPING!$Y31=2),CO_PO_PSO_MAPPING!$U31,0)</f>
        <v>0</v>
      </c>
      <c r="E103" s="35">
        <f>IF(CO_PO_PSO_MAPPING!$Y31=3,CO_PO_PSO_MAPPING!$U31,0)</f>
        <v>0</v>
      </c>
      <c r="F103" s="35">
        <f>IF(CO_PO_PSO_MAPPING!$Y31=4,CO_PO_PSO_MAPPING!$U31,0)</f>
        <v>0</v>
      </c>
      <c r="G103" s="35">
        <f>IF(CO_PO_PSO_MAPPING!$Y31=5,CO_PO_PSO_MAPPING!$U31,0)</f>
        <v>8</v>
      </c>
      <c r="H103" s="35"/>
      <c r="I103" s="130">
        <f t="shared" si="8"/>
        <v>8</v>
      </c>
      <c r="K103" s="388"/>
      <c r="L103" s="85" t="s">
        <v>190</v>
      </c>
      <c r="M103" s="262">
        <f>IF(OR(CO_PO_PSO_MAPPING!$AG31=1, CO_PO_PSO_MAPPING!$AG31=2),CO_PO_PSO_MAPPING!$AC31,0)</f>
        <v>0</v>
      </c>
      <c r="N103" s="262">
        <f>IF(CO_PO_PSO_MAPPING!$AG31=3,CO_PO_PSO_MAPPING!$AC31,0)</f>
        <v>0</v>
      </c>
      <c r="O103" s="262">
        <f>IF(CO_PO_PSO_MAPPING!$AG31=4,CO_PO_PSO_MAPPING!$AC31,0)</f>
        <v>0</v>
      </c>
      <c r="P103" s="262">
        <f>IF(CO_PO_PSO_MAPPING!$AG31=5,CO_PO_PSO_MAPPING!$AC31,0)</f>
        <v>0</v>
      </c>
      <c r="Q103" s="262"/>
      <c r="R103" s="130">
        <f t="shared" si="9"/>
        <v>0</v>
      </c>
    </row>
    <row r="104" spans="2:18" ht="30">
      <c r="B104" s="156"/>
      <c r="C104" s="82" t="s">
        <v>92</v>
      </c>
      <c r="D104" s="35">
        <f>IF(OR(CO_PO_PSO_MAPPING!$Y32=1, CO_PO_PSO_MAPPING!$Y32=2),CO_PO_PSO_MAPPING!$U32,0)</f>
        <v>0</v>
      </c>
      <c r="E104" s="35">
        <f>IF(CO_PO_PSO_MAPPING!$Y32=3,CO_PO_PSO_MAPPING!$U32,0)</f>
        <v>0</v>
      </c>
      <c r="F104" s="35">
        <f>IF(CO_PO_PSO_MAPPING!$Y32=4,CO_PO_PSO_MAPPING!$U32,0)</f>
        <v>0</v>
      </c>
      <c r="G104" s="35">
        <f>IF(CO_PO_PSO_MAPPING!$Y32=5,CO_PO_PSO_MAPPING!$U32,0)</f>
        <v>0</v>
      </c>
      <c r="H104" s="35"/>
      <c r="I104" s="130">
        <f t="shared" si="8"/>
        <v>0</v>
      </c>
      <c r="L104" s="252" t="s">
        <v>214</v>
      </c>
      <c r="M104" s="130">
        <f>SUM(M76:M103)</f>
        <v>54</v>
      </c>
      <c r="N104" s="130">
        <f t="shared" ref="N104:Q104" si="10">SUM(N76:N103)</f>
        <v>18</v>
      </c>
      <c r="O104" s="130">
        <f t="shared" si="10"/>
        <v>20</v>
      </c>
      <c r="P104" s="130">
        <f t="shared" si="10"/>
        <v>48</v>
      </c>
      <c r="Q104" s="130">
        <f t="shared" si="10"/>
        <v>0</v>
      </c>
      <c r="R104" s="130">
        <f>SUM(M104:Q104)</f>
        <v>140</v>
      </c>
    </row>
    <row r="105" spans="2:18">
      <c r="B105" s="156"/>
      <c r="C105" s="82" t="s">
        <v>94</v>
      </c>
      <c r="D105" s="35">
        <f>IF(OR(CO_PO_PSO_MAPPING!$Y33=1, CO_PO_PSO_MAPPING!$Y33=2),CO_PO_PSO_MAPPING!$U33,0)</f>
        <v>0</v>
      </c>
      <c r="E105" s="35">
        <f>IF(CO_PO_PSO_MAPPING!$Y33=3,CO_PO_PSO_MAPPING!$U33,0)</f>
        <v>6</v>
      </c>
      <c r="F105" s="35">
        <f>IF(CO_PO_PSO_MAPPING!$Y33=4,CO_PO_PSO_MAPPING!$U33,0)</f>
        <v>0</v>
      </c>
      <c r="G105" s="35">
        <f>IF(CO_PO_PSO_MAPPING!$Y33=5,CO_PO_PSO_MAPPING!$U33,0)</f>
        <v>0</v>
      </c>
      <c r="H105" s="35"/>
      <c r="I105" s="130">
        <f t="shared" si="8"/>
        <v>6</v>
      </c>
    </row>
    <row r="106" spans="2:18">
      <c r="B106" s="156"/>
      <c r="C106" s="82" t="s">
        <v>95</v>
      </c>
      <c r="D106" s="35">
        <f>IF(OR(CO_PO_PSO_MAPPING!$Y34=1, CO_PO_PSO_MAPPING!$Y34=2),CO_PO_PSO_MAPPING!$U34,0)</f>
        <v>0</v>
      </c>
      <c r="E106" s="35">
        <f>IF(CO_PO_PSO_MAPPING!$Y34=3,CO_PO_PSO_MAPPING!$U34,0)</f>
        <v>0</v>
      </c>
      <c r="F106" s="35">
        <f>IF(CO_PO_PSO_MAPPING!$Y34=4,CO_PO_PSO_MAPPING!$U34,0)</f>
        <v>6</v>
      </c>
      <c r="G106" s="35">
        <f>IF(CO_PO_PSO_MAPPING!$Y34=5,CO_PO_PSO_MAPPING!$U34,0)</f>
        <v>0</v>
      </c>
      <c r="H106" s="35"/>
      <c r="I106" s="130">
        <f t="shared" si="8"/>
        <v>6</v>
      </c>
    </row>
    <row r="107" spans="2:18">
      <c r="B107" s="156"/>
      <c r="C107" s="82" t="s">
        <v>96</v>
      </c>
      <c r="D107" s="35">
        <f>IF(OR(CO_PO_PSO_MAPPING!$Y35=1, CO_PO_PSO_MAPPING!$Y35=2),CO_PO_PSO_MAPPING!$U35,0)</f>
        <v>0</v>
      </c>
      <c r="E107" s="35">
        <f>IF(CO_PO_PSO_MAPPING!$Y35=3,CO_PO_PSO_MAPPING!$U35,0)</f>
        <v>0</v>
      </c>
      <c r="F107" s="35">
        <f>IF(CO_PO_PSO_MAPPING!$Y35=4,CO_PO_PSO_MAPPING!$U35,0)</f>
        <v>0</v>
      </c>
      <c r="G107" s="35">
        <f>IF(CO_PO_PSO_MAPPING!$Y35=5,CO_PO_PSO_MAPPING!$U35,0)</f>
        <v>8</v>
      </c>
      <c r="H107" s="35"/>
      <c r="I107" s="130">
        <f t="shared" si="8"/>
        <v>8</v>
      </c>
    </row>
    <row r="108" spans="2:18">
      <c r="B108" s="156"/>
      <c r="C108" s="82" t="s">
        <v>97</v>
      </c>
      <c r="D108" s="35">
        <f>IF(OR(CO_PO_PSO_MAPPING!$Y36=1, CO_PO_PSO_MAPPING!$Y36=2),CO_PO_PSO_MAPPING!$U36,0)</f>
        <v>0</v>
      </c>
      <c r="E108" s="35">
        <f>IF(CO_PO_PSO_MAPPING!$Y36=3,CO_PO_PSO_MAPPING!$U36,0)</f>
        <v>0</v>
      </c>
      <c r="F108" s="35">
        <f>IF(CO_PO_PSO_MAPPING!$Y36=4,CO_PO_PSO_MAPPING!$U36,0)</f>
        <v>0</v>
      </c>
      <c r="G108" s="35">
        <f>IF(CO_PO_PSO_MAPPING!$Y36=5,CO_PO_PSO_MAPPING!$U36,0)</f>
        <v>0</v>
      </c>
      <c r="H108" s="35"/>
      <c r="I108" s="130">
        <f t="shared" si="8"/>
        <v>0</v>
      </c>
    </row>
    <row r="109" spans="2:18">
      <c r="B109" s="156"/>
      <c r="C109" s="82" t="s">
        <v>98</v>
      </c>
      <c r="D109" s="35">
        <f>IF(OR(CO_PO_PSO_MAPPING!$Y37=1, CO_PO_PSO_MAPPING!$Y37=2),CO_PO_PSO_MAPPING!$U37,0)</f>
        <v>0</v>
      </c>
      <c r="E109" s="35">
        <f>IF(CO_PO_PSO_MAPPING!$Y37=3,CO_PO_PSO_MAPPING!$U37,0)</f>
        <v>6</v>
      </c>
      <c r="F109" s="35">
        <f>IF(CO_PO_PSO_MAPPING!$Y37=4,CO_PO_PSO_MAPPING!$U37,0)</f>
        <v>0</v>
      </c>
      <c r="G109" s="35">
        <f>IF(CO_PO_PSO_MAPPING!$Y37=5,CO_PO_PSO_MAPPING!$U37,0)</f>
        <v>0</v>
      </c>
      <c r="H109" s="35"/>
      <c r="I109" s="130">
        <f t="shared" si="8"/>
        <v>6</v>
      </c>
    </row>
    <row r="110" spans="2:18">
      <c r="B110" s="156"/>
      <c r="C110" s="82" t="s">
        <v>99</v>
      </c>
      <c r="D110" s="35">
        <f>IF(OR(CO_PO_PSO_MAPPING!$Y38=1, CO_PO_PSO_MAPPING!$Y38=2),CO_PO_PSO_MAPPING!$U38,0)</f>
        <v>0</v>
      </c>
      <c r="E110" s="35">
        <f>IF(CO_PO_PSO_MAPPING!$Y38=3,CO_PO_PSO_MAPPING!$U38,0)</f>
        <v>0</v>
      </c>
      <c r="F110" s="35">
        <f>IF(CO_PO_PSO_MAPPING!$Y38=4,CO_PO_PSO_MAPPING!$U38,0)</f>
        <v>6</v>
      </c>
      <c r="G110" s="35">
        <f>IF(CO_PO_PSO_MAPPING!$Y38=5,CO_PO_PSO_MAPPING!$U38,0)</f>
        <v>0</v>
      </c>
      <c r="H110" s="35"/>
      <c r="I110" s="130">
        <f t="shared" si="8"/>
        <v>6</v>
      </c>
    </row>
    <row r="111" spans="2:18">
      <c r="B111" s="156"/>
      <c r="C111" s="82" t="s">
        <v>100</v>
      </c>
      <c r="D111" s="35">
        <f>IF(OR(CO_PO_PSO_MAPPING!$Y39=1, CO_PO_PSO_MAPPING!$Y39=2),CO_PO_PSO_MAPPING!$U39,0)</f>
        <v>0</v>
      </c>
      <c r="E111" s="35">
        <f>IF(CO_PO_PSO_MAPPING!$Y39=3,CO_PO_PSO_MAPPING!$U39,0)</f>
        <v>0</v>
      </c>
      <c r="F111" s="35">
        <f>IF(CO_PO_PSO_MAPPING!$Y39=4,CO_PO_PSO_MAPPING!$U39,0)</f>
        <v>0</v>
      </c>
      <c r="G111" s="35">
        <f>IF(CO_PO_PSO_MAPPING!$Y39=5,CO_PO_PSO_MAPPING!$U39,0)</f>
        <v>8</v>
      </c>
      <c r="H111" s="35"/>
      <c r="I111" s="130">
        <f t="shared" si="8"/>
        <v>8</v>
      </c>
    </row>
    <row r="112" spans="2:18">
      <c r="B112" s="157"/>
      <c r="C112" s="82" t="s">
        <v>101</v>
      </c>
      <c r="D112" s="35">
        <f>IF(OR(CO_PO_PSO_MAPPING!$Y40=1, CO_PO_PSO_MAPPING!$Y40=2),CO_PO_PSO_MAPPING!$U40,0)</f>
        <v>0</v>
      </c>
      <c r="E112" s="35">
        <f>IF(CO_PO_PSO_MAPPING!$Y40=3,CO_PO_PSO_MAPPING!$U40,0)</f>
        <v>0</v>
      </c>
      <c r="F112" s="35">
        <f>IF(CO_PO_PSO_MAPPING!$Y40=4,CO_PO_PSO_MAPPING!$U40,0)</f>
        <v>0</v>
      </c>
      <c r="G112" s="35">
        <f>IF(CO_PO_PSO_MAPPING!$Y40=5,CO_PO_PSO_MAPPING!$U40,0)</f>
        <v>0</v>
      </c>
      <c r="H112" s="35"/>
      <c r="I112" s="130">
        <f t="shared" si="8"/>
        <v>0</v>
      </c>
    </row>
    <row r="113" spans="2:17">
      <c r="B113" s="83"/>
      <c r="C113" s="83" t="s">
        <v>102</v>
      </c>
      <c r="D113" s="259">
        <f>IF(OR(CO_PO_PSO_MAPPING!$Y41=1, CO_PO_PSO_MAPPING!$Y41=2),CO_PO_PSO_MAPPING!$U41,0)</f>
        <v>0</v>
      </c>
      <c r="E113" s="259">
        <f>IF(CO_PO_PSO_MAPPING!$Y41=3,CO_PO_PSO_MAPPING!$U41,0)</f>
        <v>0</v>
      </c>
      <c r="F113" s="259">
        <f>IF(CO_PO_PSO_MAPPING!$Y41=4,CO_PO_PSO_MAPPING!$U41,0)</f>
        <v>0</v>
      </c>
      <c r="G113" s="259">
        <f>IF(CO_PO_PSO_MAPPING!$Y41=5,CO_PO_PSO_MAPPING!$U41,0)</f>
        <v>0</v>
      </c>
      <c r="H113" s="83"/>
      <c r="I113" s="130">
        <f t="shared" si="8"/>
        <v>0</v>
      </c>
    </row>
    <row r="114" spans="2:17">
      <c r="B114" s="85"/>
      <c r="C114" s="85" t="s">
        <v>103</v>
      </c>
      <c r="D114" s="260">
        <f>IF(OR(CO_PO_PSO_MAPPING!$Y42=1, CO_PO_PSO_MAPPING!$Y42=2),CO_PO_PSO_MAPPING!$U42,0)</f>
        <v>0</v>
      </c>
      <c r="E114" s="260">
        <f>IF(CO_PO_PSO_MAPPING!$Y42=3,CO_PO_PSO_MAPPING!$U42,0)</f>
        <v>0</v>
      </c>
      <c r="F114" s="260">
        <f>IF(CO_PO_PSO_MAPPING!$Y42=4,CO_PO_PSO_MAPPING!$U42,0)</f>
        <v>0</v>
      </c>
      <c r="G114" s="260">
        <f>IF(CO_PO_PSO_MAPPING!$Y42=5,CO_PO_PSO_MAPPING!$U42,0)</f>
        <v>0</v>
      </c>
      <c r="H114" s="85"/>
      <c r="I114" s="130">
        <f t="shared" si="8"/>
        <v>0</v>
      </c>
    </row>
    <row r="115" spans="2:17">
      <c r="B115" s="84"/>
      <c r="C115" s="84" t="s">
        <v>104</v>
      </c>
      <c r="D115" s="261">
        <f>IF(OR(CO_PO_PSO_MAPPING!$Y43=1, CO_PO_PSO_MAPPING!$Y43=2),CO_PO_PSO_MAPPING!$U43,0)</f>
        <v>0</v>
      </c>
      <c r="E115" s="261">
        <f>IF(CO_PO_PSO_MAPPING!$Y43=3,CO_PO_PSO_MAPPING!$U43,0)</f>
        <v>0</v>
      </c>
      <c r="F115" s="261">
        <f>IF(CO_PO_PSO_MAPPING!$Y43=4,CO_PO_PSO_MAPPING!$U43,0)</f>
        <v>0</v>
      </c>
      <c r="G115" s="261">
        <f>IF(CO_PO_PSO_MAPPING!$Y43=5,CO_PO_PSO_MAPPING!$U43,0)</f>
        <v>0</v>
      </c>
      <c r="H115" s="84"/>
      <c r="I115" s="130">
        <f t="shared" si="8"/>
        <v>0</v>
      </c>
    </row>
    <row r="116" spans="2:17">
      <c r="B116" s="148"/>
      <c r="C116" s="148" t="s">
        <v>136</v>
      </c>
      <c r="D116" s="167">
        <f>IF(OR(CO_PO_PSO_MAPPING!$Y44=1, CO_PO_PSO_MAPPING!$Y44=2),CO_PO_PSO_MAPPING!$U44,0)</f>
        <v>0</v>
      </c>
      <c r="E116" s="167">
        <f>IF(CO_PO_PSO_MAPPING!$Y44=3,CO_PO_PSO_MAPPING!$U44,0)</f>
        <v>0</v>
      </c>
      <c r="F116" s="167">
        <f>IF(CO_PO_PSO_MAPPING!$Y44=4,CO_PO_PSO_MAPPING!$U44,0)</f>
        <v>0</v>
      </c>
      <c r="G116" s="167">
        <f>IF(CO_PO_PSO_MAPPING!$Y44=5,CO_PO_PSO_MAPPING!$U44,0)</f>
        <v>0</v>
      </c>
      <c r="H116" s="167"/>
      <c r="I116" s="130">
        <f t="shared" si="8"/>
        <v>0</v>
      </c>
    </row>
    <row r="117" spans="2:17" ht="30" customHeight="1">
      <c r="C117" s="252" t="s">
        <v>209</v>
      </c>
      <c r="D117" s="130">
        <f>SUM(D76:D116)</f>
        <v>28</v>
      </c>
      <c r="E117" s="130">
        <f t="shared" ref="E117:G117" si="11">SUM(E76:E116)</f>
        <v>52</v>
      </c>
      <c r="F117" s="130">
        <f t="shared" si="11"/>
        <v>46</v>
      </c>
      <c r="G117" s="130">
        <f t="shared" si="11"/>
        <v>54</v>
      </c>
      <c r="H117" s="130"/>
      <c r="I117" s="275">
        <f>SUM(D117:G117)</f>
        <v>180</v>
      </c>
    </row>
    <row r="118" spans="2:17" ht="15.75" thickBot="1"/>
    <row r="119" spans="2:17" ht="21">
      <c r="B119" s="238" t="s">
        <v>217</v>
      </c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0"/>
    </row>
    <row r="120" spans="2:17" ht="21">
      <c r="B120" s="241"/>
      <c r="C120" s="237">
        <v>1</v>
      </c>
      <c r="D120" s="237">
        <v>2</v>
      </c>
      <c r="E120" s="237">
        <v>3</v>
      </c>
      <c r="F120" s="237">
        <v>4</v>
      </c>
      <c r="G120" s="237">
        <v>5</v>
      </c>
      <c r="H120" s="237">
        <v>6</v>
      </c>
      <c r="I120" s="237">
        <v>7</v>
      </c>
      <c r="J120" s="237">
        <v>8</v>
      </c>
      <c r="K120" s="237">
        <v>9</v>
      </c>
      <c r="L120" s="237">
        <v>10</v>
      </c>
      <c r="M120" s="237">
        <v>11</v>
      </c>
      <c r="N120" s="237">
        <v>12</v>
      </c>
      <c r="O120" s="237">
        <v>1</v>
      </c>
      <c r="P120" s="237">
        <v>2</v>
      </c>
      <c r="Q120" s="242">
        <v>3</v>
      </c>
    </row>
    <row r="121" spans="2:17" ht="21">
      <c r="B121" s="243" t="s">
        <v>196</v>
      </c>
      <c r="C121" s="246">
        <f ca="1">IFERROR(IF(C$17&gt;0,ROUND(C$17,2),""),"")</f>
        <v>87.52</v>
      </c>
      <c r="D121" s="246">
        <f t="shared" ref="D121:Q121" ca="1" si="12">IFERROR(IF(D$17&gt;0,ROUND(D$17,2),""),"")</f>
        <v>87.63</v>
      </c>
      <c r="E121" s="246">
        <f t="shared" ca="1" si="12"/>
        <v>75.400000000000006</v>
      </c>
      <c r="F121" s="246">
        <f t="shared" ca="1" si="12"/>
        <v>94.72</v>
      </c>
      <c r="G121" s="246">
        <f t="shared" ca="1" si="12"/>
        <v>92.07</v>
      </c>
      <c r="H121" s="246" t="str">
        <f t="shared" ca="1" si="12"/>
        <v/>
      </c>
      <c r="I121" s="246" t="str">
        <f t="shared" si="12"/>
        <v/>
      </c>
      <c r="J121" s="246" t="str">
        <f t="shared" ca="1" si="12"/>
        <v/>
      </c>
      <c r="K121" s="246" t="str">
        <f t="shared" ca="1" si="12"/>
        <v/>
      </c>
      <c r="L121" s="246" t="str">
        <f t="shared" ca="1" si="12"/>
        <v/>
      </c>
      <c r="M121" s="246" t="str">
        <f t="shared" si="12"/>
        <v/>
      </c>
      <c r="N121" s="246" t="str">
        <f t="shared" si="12"/>
        <v/>
      </c>
      <c r="O121" s="246" t="str">
        <f t="shared" si="12"/>
        <v/>
      </c>
      <c r="P121" s="246" t="str">
        <f t="shared" si="12"/>
        <v/>
      </c>
      <c r="Q121" s="246" t="str">
        <f t="shared" si="12"/>
        <v/>
      </c>
    </row>
    <row r="122" spans="2:17" ht="21.75" thickBot="1">
      <c r="B122" s="244" t="s">
        <v>197</v>
      </c>
      <c r="C122" s="245">
        <f ca="1">IFERROR(IF(C$71&gt;0,ROUND(C$71,2),""),"")</f>
        <v>88.66</v>
      </c>
      <c r="D122" s="245">
        <f t="shared" ref="D122:Q122" ca="1" si="13">IFERROR(IF(D$71&gt;0,ROUND(D$71,2),""),"")</f>
        <v>88.74</v>
      </c>
      <c r="E122" s="245">
        <f t="shared" ca="1" si="13"/>
        <v>79.569999999999993</v>
      </c>
      <c r="F122" s="245">
        <f t="shared" ca="1" si="13"/>
        <v>92.07</v>
      </c>
      <c r="G122" s="245">
        <f t="shared" ca="1" si="13"/>
        <v>93.4</v>
      </c>
      <c r="H122" s="245">
        <f t="shared" ca="1" si="13"/>
        <v>92.07</v>
      </c>
      <c r="I122" s="245" t="str">
        <f t="shared" ca="1" si="13"/>
        <v/>
      </c>
      <c r="J122" s="245" t="str">
        <f t="shared" ca="1" si="13"/>
        <v/>
      </c>
      <c r="K122" s="245">
        <f t="shared" ca="1" si="13"/>
        <v>92.07</v>
      </c>
      <c r="L122" s="245">
        <f t="shared" ca="1" si="13"/>
        <v>92.07</v>
      </c>
      <c r="M122" s="245" t="str">
        <f t="shared" ca="1" si="13"/>
        <v/>
      </c>
      <c r="N122" s="245">
        <f t="shared" ca="1" si="13"/>
        <v>92.07</v>
      </c>
      <c r="O122" s="245">
        <f t="shared" ca="1" si="13"/>
        <v>92.07</v>
      </c>
      <c r="P122" s="245">
        <f t="shared" ca="1" si="13"/>
        <v>85.32</v>
      </c>
      <c r="Q122" s="245">
        <f t="shared" ca="1" si="13"/>
        <v>79.569999999999993</v>
      </c>
    </row>
  </sheetData>
  <mergeCells count="5">
    <mergeCell ref="B70:Q70"/>
    <mergeCell ref="I42:J42"/>
    <mergeCell ref="B75:C75"/>
    <mergeCell ref="K75:L75"/>
    <mergeCell ref="K76:K103"/>
  </mergeCells>
  <conditionalFormatting sqref="C7:L7 C11:L11">
    <cfRule type="notContainsBlanks" dxfId="3" priority="15" stopIfTrue="1">
      <formula>LEN(TRIM(C7))&gt;0</formula>
    </cfRule>
  </conditionalFormatting>
  <conditionalFormatting sqref="C12:L12 C14:L14">
    <cfRule type="notContainsBlanks" dxfId="2" priority="17" stopIfTrue="1">
      <formula>LEN(TRIM(C12))&gt;0</formula>
    </cfRule>
  </conditionalFormatting>
  <conditionalFormatting sqref="C17:L17">
    <cfRule type="notContainsBlanks" dxfId="1" priority="2" stopIfTrue="1">
      <formula>LEN(TRIM(C17))&gt;0</formula>
    </cfRule>
  </conditionalFormatting>
  <conditionalFormatting sqref="C16:L16">
    <cfRule type="notContainsBlanks" dxfId="0" priority="1" stopIfTrue="1">
      <formula>LEN(TRIM(C16))&gt;0</formula>
    </cfRule>
  </conditionalFormatting>
  <pageMargins left="0.7" right="0.7" top="0.75" bottom="0.75" header="0.3" footer="0.3"/>
  <pageSetup paperSize="9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Theory</vt:lpstr>
      <vt:lpstr>Quiz1</vt:lpstr>
      <vt:lpstr>Quiz2</vt:lpstr>
      <vt:lpstr>Lab</vt:lpstr>
      <vt:lpstr>CO_PO_PSO_MAPPING</vt:lpstr>
      <vt:lpstr>CO_PO_ASESSEMENT</vt:lpstr>
    </vt:vector>
  </TitlesOfParts>
  <Company>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balaji</cp:lastModifiedBy>
  <cp:lastPrinted>2017-06-06T04:03:42Z</cp:lastPrinted>
  <dcterms:created xsi:type="dcterms:W3CDTF">2012-09-04T04:17:41Z</dcterms:created>
  <dcterms:modified xsi:type="dcterms:W3CDTF">2018-12-06T14:05:32Z</dcterms:modified>
</cp:coreProperties>
</file>