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iles\Schoolwork\Excel Program\Design Calculators\"/>
    </mc:Choice>
  </mc:AlternateContent>
  <xr:revisionPtr revIDLastSave="0" documentId="13_ncr:1_{ED810A1B-97A5-45A5-85A5-A2CAB53490C7}" xr6:coauthVersionLast="47" xr6:coauthVersionMax="47" xr10:uidLastSave="{00000000-0000-0000-0000-000000000000}"/>
  <bookViews>
    <workbookView xWindow="-108" yWindow="-108" windowWidth="23256" windowHeight="12456" xr2:uid="{EB4B3A85-F65C-4075-9FB4-543DD05A49C7}"/>
  </bookViews>
  <sheets>
    <sheet name="Desig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I34" i="1"/>
  <c r="I22" i="1"/>
  <c r="I20" i="1"/>
  <c r="I19" i="1"/>
  <c r="G12" i="1"/>
  <c r="G11" i="1"/>
  <c r="I9" i="1"/>
  <c r="M5" i="1" s="1"/>
  <c r="M10" i="1" s="1"/>
  <c r="M12" i="1" s="1"/>
  <c r="D18" i="1" s="1"/>
  <c r="D20" i="1" s="1"/>
  <c r="C9" i="1"/>
  <c r="F8" i="1" s="1"/>
  <c r="H5" i="1"/>
  <c r="G5" i="1"/>
  <c r="D22" i="1" s="1"/>
  <c r="L21" i="1" l="1"/>
  <c r="D25" i="1"/>
  <c r="D27" i="1" s="1"/>
  <c r="G27" i="1" s="1"/>
  <c r="E43" i="1" l="1"/>
  <c r="I32" i="1"/>
  <c r="D32" i="1" s="1"/>
  <c r="D34" i="1" s="1"/>
  <c r="D36" i="1" s="1"/>
  <c r="I36" i="1" l="1"/>
  <c r="D41" i="1" s="1"/>
  <c r="L41" i="1" s="1"/>
  <c r="L35" i="1"/>
</calcChain>
</file>

<file path=xl/sharedStrings.xml><?xml version="1.0" encoding="utf-8"?>
<sst xmlns="http://schemas.openxmlformats.org/spreadsheetml/2006/main" count="62" uniqueCount="51">
  <si>
    <t>Beam Properties:</t>
  </si>
  <si>
    <t>Beam Loads:</t>
  </si>
  <si>
    <t>Length</t>
  </si>
  <si>
    <t>mm</t>
  </si>
  <si>
    <t>fc'</t>
  </si>
  <si>
    <t>Concrete density</t>
  </si>
  <si>
    <r>
      <t>kN/m</t>
    </r>
    <r>
      <rPr>
        <vertAlign val="superscript"/>
        <sz val="11"/>
        <color theme="1"/>
        <rFont val="Aptos Narrow"/>
        <family val="2"/>
        <scheme val="minor"/>
      </rPr>
      <t>3</t>
    </r>
  </si>
  <si>
    <t>Stirups diameter</t>
  </si>
  <si>
    <t>fy</t>
  </si>
  <si>
    <t>Steel Modulus of Elasticity</t>
  </si>
  <si>
    <t>Mpa</t>
  </si>
  <si>
    <t>Tension bar diameter</t>
  </si>
  <si>
    <r>
      <t>ϐ</t>
    </r>
    <r>
      <rPr>
        <vertAlign val="subscript"/>
        <sz val="11"/>
        <color theme="1"/>
        <rFont val="Aptos Narrow"/>
        <family val="2"/>
      </rPr>
      <t>1</t>
    </r>
  </si>
  <si>
    <t>Beam Weight</t>
  </si>
  <si>
    <t>Base</t>
  </si>
  <si>
    <t>Height /</t>
  </si>
  <si>
    <t>Dead Load:</t>
  </si>
  <si>
    <t>Live Load:</t>
  </si>
  <si>
    <t>Actual Height(h)</t>
  </si>
  <si>
    <t>Actual Base (b)</t>
  </si>
  <si>
    <t>Support Condition:</t>
  </si>
  <si>
    <t>Height:</t>
  </si>
  <si>
    <t>L/16</t>
  </si>
  <si>
    <t>Ultimate Weight (Wu):</t>
  </si>
  <si>
    <t>kN/m</t>
  </si>
  <si>
    <t>L/18.5</t>
  </si>
  <si>
    <t>Concrete Cover:</t>
  </si>
  <si>
    <t>L/21</t>
  </si>
  <si>
    <t>Depth(d):</t>
  </si>
  <si>
    <t>Ultimate Strength(Mu):</t>
  </si>
  <si>
    <t>kN-m</t>
  </si>
  <si>
    <t>L/8</t>
  </si>
  <si>
    <t>Round to</t>
  </si>
  <si>
    <t>φ</t>
  </si>
  <si>
    <t>Rn</t>
  </si>
  <si>
    <r>
      <t>ρ</t>
    </r>
    <r>
      <rPr>
        <b/>
        <vertAlign val="subscript"/>
        <sz val="11"/>
        <color theme="1"/>
        <rFont val="Aptos Narrow"/>
        <family val="2"/>
      </rPr>
      <t>min</t>
    </r>
  </si>
  <si>
    <t>ρ</t>
  </si>
  <si>
    <r>
      <t>ρ</t>
    </r>
    <r>
      <rPr>
        <b/>
        <vertAlign val="subscript"/>
        <sz val="11"/>
        <color theme="1"/>
        <rFont val="Aptos Narrow"/>
        <family val="2"/>
      </rPr>
      <t>max</t>
    </r>
  </si>
  <si>
    <t>As &amp; n:</t>
  </si>
  <si>
    <t>As</t>
  </si>
  <si>
    <t>n</t>
  </si>
  <si>
    <t>epsilon:</t>
  </si>
  <si>
    <t>a</t>
  </si>
  <si>
    <t>Actual As:</t>
  </si>
  <si>
    <t>c</t>
  </si>
  <si>
    <r>
      <t>ε</t>
    </r>
    <r>
      <rPr>
        <b/>
        <vertAlign val="subscript"/>
        <sz val="10.9"/>
        <color theme="1"/>
        <rFont val="Aptos Narrow"/>
        <family val="2"/>
      </rPr>
      <t>ty</t>
    </r>
  </si>
  <si>
    <r>
      <t>ε</t>
    </r>
    <r>
      <rPr>
        <b/>
        <vertAlign val="subscript"/>
        <sz val="10.9"/>
        <color theme="1"/>
        <rFont val="Aptos Narrow"/>
        <family val="2"/>
      </rPr>
      <t>t</t>
    </r>
  </si>
  <si>
    <t>Actual φ:</t>
  </si>
  <si>
    <t>Solving Mu:</t>
  </si>
  <si>
    <t>Actual Strength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</si>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</sst>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Segoe UI"/>
      <family val="2"/>
    </font>
    <font>
      <b/>
      <sz val="14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sz val="11"/>
      <color theme="0" tint="-0.14999847407452621"/>
      <name val="Aptos Narrow"/>
      <family val="2"/>
      <scheme val="minor"/>
    </font>
    <font>
      <b/>
      <sz val="11"/>
      <color theme="1"/>
      <name val="Aptos Narrow"/>
      <family val="2"/>
    </font>
    <font>
      <b/>
      <vertAlign val="subscript"/>
      <sz val="11"/>
      <color theme="1"/>
      <name val="Aptos Narrow"/>
      <family val="2"/>
    </font>
    <font>
      <b/>
      <i/>
      <sz val="16"/>
      <color rgb="FFFA7D0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vertAlign val="subscript"/>
      <sz val="10.9"/>
      <color theme="1"/>
      <name val="Aptos Narrow"/>
      <family val="2"/>
    </font>
    <font>
      <b/>
      <i/>
      <sz val="18"/>
      <color theme="1"/>
      <name val="Aptos Narrow"/>
      <family val="2"/>
      <scheme val="minor"/>
    </font>
    <font>
      <sz val="22"/>
      <color rgb="FFFA7D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  <xf numFmtId="0" fontId="3" fillId="4" borderId="3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8" fillId="0" borderId="0" xfId="0" applyFont="1"/>
    <xf numFmtId="0" fontId="6" fillId="0" borderId="0" xfId="0" applyFont="1"/>
    <xf numFmtId="0" fontId="1" fillId="2" borderId="1" xfId="1" applyAlignment="1">
      <alignment horizontal="center"/>
    </xf>
    <xf numFmtId="0" fontId="6" fillId="0" borderId="0" xfId="0" applyFont="1" applyAlignment="1">
      <alignment horizontal="right"/>
    </xf>
    <xf numFmtId="0" fontId="1" fillId="2" borderId="1" xfId="1"/>
    <xf numFmtId="0" fontId="4" fillId="3" borderId="1" xfId="4" applyFill="1" applyBorder="1"/>
    <xf numFmtId="0" fontId="10" fillId="0" borderId="0" xfId="0" applyFont="1" applyAlignment="1">
      <alignment horizontal="right"/>
    </xf>
    <xf numFmtId="0" fontId="12" fillId="0" borderId="0" xfId="0" applyFont="1"/>
    <xf numFmtId="0" fontId="3" fillId="4" borderId="3" xfId="3"/>
    <xf numFmtId="0" fontId="5" fillId="0" borderId="0" xfId="5" applyAlignment="1">
      <alignment horizontal="right"/>
    </xf>
    <xf numFmtId="0" fontId="10" fillId="0" borderId="0" xfId="0" applyFont="1"/>
    <xf numFmtId="0" fontId="0" fillId="0" borderId="0" xfId="0" applyAlignment="1">
      <alignment horizontal="right"/>
    </xf>
    <xf numFmtId="0" fontId="13" fillId="0" borderId="0" xfId="0" applyFont="1" applyAlignment="1">
      <alignment horizontal="right"/>
    </xf>
    <xf numFmtId="0" fontId="4" fillId="0" borderId="0" xfId="4"/>
    <xf numFmtId="0" fontId="16" fillId="4" borderId="3" xfId="3" applyFont="1"/>
    <xf numFmtId="0" fontId="13" fillId="0" borderId="0" xfId="0" applyFont="1"/>
    <xf numFmtId="0" fontId="0" fillId="0" borderId="0" xfId="0" applyAlignment="1">
      <alignment horizontal="center"/>
    </xf>
    <xf numFmtId="0" fontId="18" fillId="0" borderId="0" xfId="0" applyFont="1"/>
    <xf numFmtId="0" fontId="19" fillId="0" borderId="2" xfId="2" applyFont="1"/>
    <xf numFmtId="0" fontId="3" fillId="4" borderId="3" xfId="3" applyAlignment="1">
      <alignment horizontal="center"/>
    </xf>
    <xf numFmtId="0" fontId="15" fillId="0" borderId="2" xfId="2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" fillId="2" borderId="1" xfId="1" applyAlignment="1">
      <alignment horizontal="center"/>
    </xf>
  </cellXfs>
  <cellStyles count="6">
    <cellStyle name="Check Cell" xfId="3" builtinId="23"/>
    <cellStyle name="Explanatory Text" xfId="5" builtinId="53"/>
    <cellStyle name="Input" xfId="1" builtinId="20"/>
    <cellStyle name="Linked Cell" xfId="2" builtinId="24"/>
    <cellStyle name="Normal" xfId="0" builtinId="0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checked="Checked" firstButton="1" fmlaLink="$A$14" lockText="1"/>
</file>

<file path=xl/ctrlProps/ctrlProp2.xml><?xml version="1.0" encoding="utf-8"?>
<formControlPr xmlns="http://schemas.microsoft.com/office/spreadsheetml/2009/9/main" objectType="Radio" lockText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Spin" dx="26" fmlaLink="$P$14" max="5" page="10" val="3"/>
</file>

<file path=xl/ctrlProps/ctrlProp7.xml><?xml version="1.0" encoding="utf-8"?>
<formControlPr xmlns="http://schemas.microsoft.com/office/spreadsheetml/2009/9/main" objectType="Spin" dx="26" fmlaLink="$K$24" max="10" page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</xdr:colOff>
          <xdr:row>8</xdr:row>
          <xdr:rowOff>167640</xdr:rowOff>
        </xdr:from>
        <xdr:to>
          <xdr:col>0</xdr:col>
          <xdr:colOff>967740</xdr:colOff>
          <xdr:row>9</xdr:row>
          <xdr:rowOff>182880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Simply Supported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</xdr:colOff>
          <xdr:row>9</xdr:row>
          <xdr:rowOff>167640</xdr:rowOff>
        </xdr:from>
        <xdr:to>
          <xdr:col>1</xdr:col>
          <xdr:colOff>114300</xdr:colOff>
          <xdr:row>10</xdr:row>
          <xdr:rowOff>182880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One end Continuous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</xdr:colOff>
          <xdr:row>10</xdr:row>
          <xdr:rowOff>167640</xdr:rowOff>
        </xdr:from>
        <xdr:to>
          <xdr:col>1</xdr:col>
          <xdr:colOff>121920</xdr:colOff>
          <xdr:row>12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Both ends continuous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</xdr:colOff>
          <xdr:row>11</xdr:row>
          <xdr:rowOff>167640</xdr:rowOff>
        </xdr:from>
        <xdr:to>
          <xdr:col>0</xdr:col>
          <xdr:colOff>967740</xdr:colOff>
          <xdr:row>13</xdr:row>
          <xdr:rowOff>22860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Cantilever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8</xdr:row>
          <xdr:rowOff>175260</xdr:rowOff>
        </xdr:from>
        <xdr:to>
          <xdr:col>1</xdr:col>
          <xdr:colOff>0</xdr:colOff>
          <xdr:row>13</xdr:row>
          <xdr:rowOff>0</xdr:rowOff>
        </xdr:to>
        <xdr:sp macro="" textlink="">
          <xdr:nvSpPr>
            <xdr:cNvPr id="1029" name="Group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22860</xdr:colOff>
          <xdr:row>13</xdr:row>
          <xdr:rowOff>7620</xdr:rowOff>
        </xdr:from>
        <xdr:to>
          <xdr:col>17</xdr:col>
          <xdr:colOff>0</xdr:colOff>
          <xdr:row>14</xdr:row>
          <xdr:rowOff>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22860</xdr:colOff>
          <xdr:row>23</xdr:row>
          <xdr:rowOff>7620</xdr:rowOff>
        </xdr:from>
        <xdr:to>
          <xdr:col>11</xdr:col>
          <xdr:colOff>236220</xdr:colOff>
          <xdr:row>24</xdr:row>
          <xdr:rowOff>22860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A7AF-F0E0-4112-BB16-8EDBC3E9D8AF}">
  <sheetPr>
    <tabColor theme="5"/>
  </sheetPr>
  <dimension ref="A2:P44"/>
  <sheetViews>
    <sheetView tabSelected="1" zoomScale="108" workbookViewId="0">
      <selection activeCell="B10" sqref="B10"/>
    </sheetView>
  </sheetViews>
  <sheetFormatPr defaultRowHeight="14.4" x14ac:dyDescent="0.3"/>
  <cols>
    <col min="1" max="1" width="19.77734375" customWidth="1"/>
    <col min="2" max="2" width="6.44140625" customWidth="1"/>
    <col min="5" max="5" width="8.88671875" customWidth="1"/>
    <col min="10" max="10" width="6.88671875" customWidth="1"/>
    <col min="12" max="12" width="14.6640625" customWidth="1"/>
    <col min="13" max="13" width="10.33203125" customWidth="1"/>
    <col min="14" max="14" width="8.33203125" customWidth="1"/>
    <col min="15" max="15" width="4.88671875" customWidth="1"/>
    <col min="16" max="16" width="4" customWidth="1"/>
    <col min="17" max="26" width="3.77734375" customWidth="1"/>
  </cols>
  <sheetData>
    <row r="2" spans="1:16" s="1" customFormat="1" ht="18" x14ac:dyDescent="0.35">
      <c r="A2" s="1" t="s">
        <v>0</v>
      </c>
      <c r="K2" s="1" t="s">
        <v>1</v>
      </c>
    </row>
    <row r="3" spans="1:16" ht="16.2" x14ac:dyDescent="0.3">
      <c r="A3" s="2" t="s">
        <v>2</v>
      </c>
      <c r="B3" s="24">
        <v>9000</v>
      </c>
      <c r="C3" s="24"/>
      <c r="D3" t="s">
        <v>3</v>
      </c>
      <c r="F3" s="4" t="s">
        <v>4</v>
      </c>
      <c r="G3" s="5">
        <v>28</v>
      </c>
      <c r="K3" s="22" t="s">
        <v>5</v>
      </c>
      <c r="L3" s="22"/>
      <c r="M3" s="6">
        <v>23.6</v>
      </c>
      <c r="N3" t="s">
        <v>6</v>
      </c>
    </row>
    <row r="4" spans="1:16" x14ac:dyDescent="0.3">
      <c r="A4" s="2" t="s">
        <v>7</v>
      </c>
      <c r="B4" s="24">
        <v>10</v>
      </c>
      <c r="C4" s="24"/>
      <c r="D4" t="s">
        <v>3</v>
      </c>
      <c r="F4" s="4" t="s">
        <v>8</v>
      </c>
      <c r="G4" s="5">
        <v>420</v>
      </c>
      <c r="K4" s="22" t="s">
        <v>9</v>
      </c>
      <c r="L4" s="22"/>
      <c r="M4" s="6">
        <v>200000</v>
      </c>
      <c r="N4" t="s">
        <v>10</v>
      </c>
    </row>
    <row r="5" spans="1:16" ht="16.8" x14ac:dyDescent="0.35">
      <c r="A5" s="2" t="s">
        <v>11</v>
      </c>
      <c r="B5" s="24">
        <v>32</v>
      </c>
      <c r="C5" s="24"/>
      <c r="D5" t="s">
        <v>3</v>
      </c>
      <c r="F5" s="7" t="s">
        <v>12</v>
      </c>
      <c r="G5" s="6">
        <f>IF((G3&gt;=17)*AND(G3&lt;=28),0.85,IF((G3&gt;28)*AND(G3&lt;55),ROUND((0.85-((0.05*(G3-28))/7)),2),IF((G3&gt;=55),0.65,0)))</f>
        <v>0.85</v>
      </c>
      <c r="H5">
        <f>ROUND((0.85-((0.05*(G3-28))/7)),2)</f>
        <v>0.85</v>
      </c>
      <c r="K5" s="22" t="s">
        <v>13</v>
      </c>
      <c r="L5" s="22"/>
      <c r="M5" s="5">
        <f>(M3*(I9*0.001)*(F9*0.001))</f>
        <v>7.080000000000001</v>
      </c>
      <c r="N5" t="s">
        <v>6</v>
      </c>
    </row>
    <row r="6" spans="1:16" x14ac:dyDescent="0.3">
      <c r="A6" s="2" t="s">
        <v>14</v>
      </c>
      <c r="B6" s="3" t="s">
        <v>15</v>
      </c>
      <c r="C6" s="3">
        <v>2</v>
      </c>
      <c r="K6" s="22" t="s">
        <v>16</v>
      </c>
      <c r="L6" s="22"/>
      <c r="M6" s="5">
        <v>29.19</v>
      </c>
    </row>
    <row r="7" spans="1:16" x14ac:dyDescent="0.3">
      <c r="A7" s="2"/>
      <c r="K7" s="22" t="s">
        <v>17</v>
      </c>
      <c r="L7" s="22"/>
      <c r="M7" s="5">
        <v>29.19</v>
      </c>
    </row>
    <row r="8" spans="1:16" ht="15" thickBot="1" x14ac:dyDescent="0.35">
      <c r="E8" s="23" t="s">
        <v>18</v>
      </c>
      <c r="F8" s="8">
        <f>CEILING(C9,50)</f>
        <v>600</v>
      </c>
      <c r="H8" s="23" t="s">
        <v>19</v>
      </c>
    </row>
    <row r="9" spans="1:16" ht="15.6" thickTop="1" thickBot="1" x14ac:dyDescent="0.35">
      <c r="A9" t="s">
        <v>20</v>
      </c>
      <c r="B9" t="s">
        <v>21</v>
      </c>
      <c r="C9" s="9">
        <f>ROUND(IF(A14=1,B3/16,IF(A14=2,B3/18.5,IF(A14=3,B3/21,IF(A14=4,B3/8,0)))),P14)</f>
        <v>562.5</v>
      </c>
      <c r="D9" t="s">
        <v>3</v>
      </c>
      <c r="E9" s="23"/>
      <c r="F9" s="9">
        <v>750</v>
      </c>
      <c r="G9" t="s">
        <v>3</v>
      </c>
      <c r="H9" s="23"/>
      <c r="I9" s="9">
        <f>CEILING(F9/C6,50)</f>
        <v>400</v>
      </c>
      <c r="J9" t="s">
        <v>3</v>
      </c>
      <c r="K9" s="2"/>
      <c r="L9" s="2"/>
    </row>
    <row r="10" spans="1:16" ht="15.6" thickTop="1" thickBot="1" x14ac:dyDescent="0.35">
      <c r="B10" t="s">
        <v>22</v>
      </c>
      <c r="K10" s="22" t="s">
        <v>23</v>
      </c>
      <c r="L10" s="22"/>
      <c r="M10" s="9">
        <f>(1.2*(M6+M5))+(1.6*(M7))</f>
        <v>90.228000000000009</v>
      </c>
      <c r="N10" t="s">
        <v>24</v>
      </c>
    </row>
    <row r="11" spans="1:16" ht="15.6" thickTop="1" thickBot="1" x14ac:dyDescent="0.35">
      <c r="B11" t="s">
        <v>25</v>
      </c>
      <c r="E11" s="22" t="s">
        <v>26</v>
      </c>
      <c r="F11" s="22"/>
      <c r="G11" s="9">
        <f>40+B4+(B5/2)</f>
        <v>66</v>
      </c>
      <c r="H11" t="s">
        <v>3</v>
      </c>
      <c r="K11" s="2"/>
      <c r="L11" s="2"/>
    </row>
    <row r="12" spans="1:16" ht="15.6" thickTop="1" thickBot="1" x14ac:dyDescent="0.35">
      <c r="B12" t="s">
        <v>27</v>
      </c>
      <c r="F12" s="2" t="s">
        <v>28</v>
      </c>
      <c r="G12" s="9">
        <f>F9-G11</f>
        <v>684</v>
      </c>
      <c r="H12" t="s">
        <v>3</v>
      </c>
      <c r="K12" s="22" t="s">
        <v>29</v>
      </c>
      <c r="L12" s="22"/>
      <c r="M12" s="20">
        <f>ROUND(IF(A14=1,(M10*(B3^2)*0.000001)/8,IF(A14=2,B3/18.5,IF(A14=3,B3/21,IF(A14=4,B3/8,0)))),P14)</f>
        <v>913.55899999999997</v>
      </c>
      <c r="N12" s="20"/>
      <c r="O12" t="s">
        <v>30</v>
      </c>
    </row>
    <row r="13" spans="1:16" ht="12.6" customHeight="1" thickTop="1" x14ac:dyDescent="0.3">
      <c r="B13" t="s">
        <v>31</v>
      </c>
    </row>
    <row r="14" spans="1:16" ht="18" customHeight="1" x14ac:dyDescent="0.3">
      <c r="A14">
        <v>1</v>
      </c>
      <c r="O14" s="10" t="s">
        <v>32</v>
      </c>
      <c r="P14">
        <v>3</v>
      </c>
    </row>
    <row r="16" spans="1:16" x14ac:dyDescent="0.3">
      <c r="C16" s="11" t="s">
        <v>33</v>
      </c>
      <c r="D16" s="6">
        <v>0.9</v>
      </c>
    </row>
    <row r="17" spans="1:14" ht="15" thickBot="1" x14ac:dyDescent="0.35"/>
    <row r="18" spans="1:14" ht="16.8" thickTop="1" thickBot="1" x14ac:dyDescent="0.4">
      <c r="A18" s="12"/>
      <c r="B18" s="12"/>
      <c r="C18" s="4" t="s">
        <v>34</v>
      </c>
      <c r="D18" s="20">
        <f>ROUND((M12*10^6)/(D16*I9*(G12^2)),P14)</f>
        <v>5.4240000000000004</v>
      </c>
      <c r="E18" s="20"/>
      <c r="H18" s="13" t="s">
        <v>35</v>
      </c>
    </row>
    <row r="19" spans="1:14" ht="15.6" thickTop="1" thickBot="1" x14ac:dyDescent="0.35">
      <c r="I19" s="20">
        <f>ROUND(((0.25*SQRT(G3))/G4),K24)</f>
        <v>3.0999999999999999E-3</v>
      </c>
      <c r="J19" s="20"/>
    </row>
    <row r="20" spans="1:14" ht="15.6" thickTop="1" thickBot="1" x14ac:dyDescent="0.35">
      <c r="C20" s="13" t="s">
        <v>36</v>
      </c>
      <c r="D20" s="20">
        <f>ROUND(((0.85*G3)/G4)*(1-SQRT(1-((2*D18)/(0.85*G3)))),K24)</f>
        <v>1.49E-2</v>
      </c>
      <c r="E20" s="20"/>
      <c r="I20" s="20">
        <f>ROUND((1.4/G4),K24)</f>
        <v>3.3E-3</v>
      </c>
      <c r="J20" s="20"/>
    </row>
    <row r="21" spans="1:14" ht="15.6" thickTop="1" thickBot="1" x14ac:dyDescent="0.35">
      <c r="L21" s="21" t="str">
        <f>IF((D20&gt;I22)*AND(D20&lt;D22),"STEEL YIELDS","STEEL DOES NOT YIELD")</f>
        <v>STEEL YIELDS</v>
      </c>
      <c r="M21" s="21"/>
      <c r="N21" s="21"/>
    </row>
    <row r="22" spans="1:14" ht="16.8" thickTop="1" thickBot="1" x14ac:dyDescent="0.4">
      <c r="C22" s="13" t="s">
        <v>37</v>
      </c>
      <c r="D22" s="20">
        <f>ROUND(((0.85*G3)/G4)*G5*(3/7),K24)</f>
        <v>2.06E-2</v>
      </c>
      <c r="E22" s="20"/>
      <c r="H22" s="13" t="s">
        <v>35</v>
      </c>
      <c r="I22" s="20">
        <f>MAX(I19,I20)</f>
        <v>3.3E-3</v>
      </c>
      <c r="J22" s="20"/>
      <c r="L22" s="21"/>
      <c r="M22" s="21"/>
      <c r="N22" s="21"/>
    </row>
    <row r="23" spans="1:14" ht="15" thickTop="1" x14ac:dyDescent="0.3"/>
    <row r="24" spans="1:14" ht="15" thickBot="1" x14ac:dyDescent="0.35">
      <c r="A24" s="14" t="s">
        <v>38</v>
      </c>
      <c r="J24" s="10" t="s">
        <v>32</v>
      </c>
      <c r="K24">
        <v>4</v>
      </c>
    </row>
    <row r="25" spans="1:14" ht="15.6" thickTop="1" thickBot="1" x14ac:dyDescent="0.35">
      <c r="C25" s="2" t="s">
        <v>39</v>
      </c>
      <c r="D25" s="20">
        <f>ROUND(D20*I9*G12,P14)</f>
        <v>4076.64</v>
      </c>
      <c r="E25" s="20"/>
    </row>
    <row r="26" spans="1:14" ht="15.6" thickTop="1" thickBot="1" x14ac:dyDescent="0.35"/>
    <row r="27" spans="1:14" ht="24.6" thickTop="1" thickBot="1" x14ac:dyDescent="0.5">
      <c r="C27" s="2" t="s">
        <v>40</v>
      </c>
      <c r="D27" s="20">
        <f>ROUND(((D25)/((3.14/4)*(B5^2))),P14)</f>
        <v>5.0709999999999997</v>
      </c>
      <c r="E27" s="20"/>
      <c r="G27" s="15">
        <f>ROUNDUP(D27,0)</f>
        <v>6</v>
      </c>
    </row>
    <row r="28" spans="1:14" ht="15" thickTop="1" x14ac:dyDescent="0.3"/>
    <row r="30" spans="1:14" x14ac:dyDescent="0.3">
      <c r="A30" s="14" t="s">
        <v>41</v>
      </c>
    </row>
    <row r="31" spans="1:14" ht="15" thickBot="1" x14ac:dyDescent="0.35"/>
    <row r="32" spans="1:14" ht="15.6" thickTop="1" thickBot="1" x14ac:dyDescent="0.35">
      <c r="C32" s="2" t="s">
        <v>42</v>
      </c>
      <c r="D32" s="20">
        <f>ROUND((I32*G4)/(0.85*G3*I9),P14)</f>
        <v>212.88900000000001</v>
      </c>
      <c r="E32" s="20"/>
      <c r="H32" s="2" t="s">
        <v>43</v>
      </c>
      <c r="I32" s="20">
        <f>ROUND(((PI()/4)*(B5^2)*(G27)),P14)</f>
        <v>4825.4859999999999</v>
      </c>
      <c r="J32" s="20"/>
    </row>
    <row r="33" spans="1:14" ht="15.6" thickTop="1" thickBot="1" x14ac:dyDescent="0.35"/>
    <row r="34" spans="1:14" ht="16.8" thickTop="1" thickBot="1" x14ac:dyDescent="0.4">
      <c r="C34" s="2" t="s">
        <v>44</v>
      </c>
      <c r="D34" s="20">
        <f>ROUND(D32/G5,P14)</f>
        <v>250.458</v>
      </c>
      <c r="E34" s="20"/>
      <c r="H34" s="16" t="s">
        <v>45</v>
      </c>
      <c r="I34" s="20">
        <f>ROUND((G4/M4),K24)</f>
        <v>2.0999999999999999E-3</v>
      </c>
      <c r="J34" s="20"/>
    </row>
    <row r="35" spans="1:14" ht="15.6" thickTop="1" thickBot="1" x14ac:dyDescent="0.35">
      <c r="L35" s="21" t="str">
        <f>IF(D36&gt;0.004,"STEEL YIELDS","STEEL DOES NOT YIELD")</f>
        <v>STEEL YIELDS</v>
      </c>
      <c r="M35" s="21"/>
      <c r="N35" s="21"/>
    </row>
    <row r="36" spans="1:14" ht="16.8" customHeight="1" thickTop="1" thickBot="1" x14ac:dyDescent="0.4">
      <c r="C36" s="16" t="s">
        <v>46</v>
      </c>
      <c r="D36" s="20">
        <f>ROUND(((0.003*(G12-D34))/D34),K24)</f>
        <v>5.1999999999999998E-3</v>
      </c>
      <c r="E36" s="20"/>
      <c r="H36" s="2" t="s">
        <v>47</v>
      </c>
      <c r="I36" s="20">
        <f>IF(D36&lt;=I34,0.75,IF((D36&gt;I34)*AND(D36&lt;0.005),ROUND((0.75+0.15*((D36-I34)/(0.005-I34))),2),IF(D36&gt;=0.005,0.9,"ERROR")))</f>
        <v>0.9</v>
      </c>
      <c r="J36" s="20"/>
      <c r="L36" s="21"/>
      <c r="M36" s="21"/>
      <c r="N36" s="21"/>
    </row>
    <row r="37" spans="1:14" ht="15.6" customHeight="1" thickTop="1" x14ac:dyDescent="0.3"/>
    <row r="39" spans="1:14" x14ac:dyDescent="0.3">
      <c r="A39" s="14" t="s">
        <v>48</v>
      </c>
    </row>
    <row r="40" spans="1:14" ht="15" thickBot="1" x14ac:dyDescent="0.35"/>
    <row r="41" spans="1:14" ht="15.6" thickTop="1" thickBot="1" x14ac:dyDescent="0.35">
      <c r="C41" s="2" t="s">
        <v>49</v>
      </c>
      <c r="D41" s="20">
        <f>ROUND((I36*I32*G4*(G12-(D32/2))*(1/10^6)),P14)</f>
        <v>1053.481</v>
      </c>
      <c r="E41" s="20"/>
      <c r="L41" s="21" t="str">
        <f>IF(D41&gt;M12,"SAFE","UNSAFE")</f>
        <v>SAFE</v>
      </c>
      <c r="M41" s="21"/>
      <c r="N41" s="21"/>
    </row>
    <row r="42" spans="1:14" ht="15.6" thickTop="1" thickBot="1" x14ac:dyDescent="0.35">
      <c r="J42" s="17"/>
      <c r="K42" s="17"/>
      <c r="L42" s="21"/>
      <c r="M42" s="21"/>
      <c r="N42" s="21"/>
    </row>
    <row r="43" spans="1:14" ht="30" thickTop="1" thickBot="1" x14ac:dyDescent="0.6">
      <c r="D43" s="18" t="s">
        <v>50</v>
      </c>
      <c r="E43" s="19">
        <f>G27</f>
        <v>6</v>
      </c>
      <c r="F43" s="19">
        <f>B5</f>
        <v>32</v>
      </c>
      <c r="G43" s="19" t="s">
        <v>3</v>
      </c>
    </row>
    <row r="44" spans="1:14" ht="15" thickTop="1" x14ac:dyDescent="0.3"/>
  </sheetData>
  <scenarios current="0" show="0">
    <scenario name="Example 4.2" locked="1" count="30" user="Karl" comment="Created by Karl on 13/09/2024">
      <inputCells r="B3" val="7000"/>
      <inputCells r="C3" val=""/>
      <inputCells r="B4" val="10"/>
      <inputCells r="C4" val=""/>
      <inputCells r="B5" val="20"/>
      <inputCells r="C5" val=""/>
      <inputCells r="C6" val="2"/>
      <inputCells r="G4" val="414"/>
      <inputCells r="G3" val="21"/>
      <inputCells r="M5" val="2.7"/>
      <inputCells r="M6" val="9"/>
      <inputCells r="M7" val="6"/>
      <inputCells r="A10" val=""/>
      <inputCells r="A11" val=""/>
      <inputCells r="A12" val=""/>
      <inputCells r="A13" val=""/>
      <inputCells r="K24" val="4"/>
      <inputCells r="L24" val=""/>
      <inputCells r="P14" val="2"/>
      <inputCells r="P14" val="2"/>
      <inputCells r="Q14" val=""/>
      <inputCells r="M4" val="200000"/>
      <inputCells r="M3" val="24"/>
      <inputCells r="M10" val="23.64"/>
      <inputCells r="M12" val="144.8"/>
      <inputCells r="C9" val="437.5"/>
      <inputCells r="F9" val="450"/>
      <inputCells r="I9" val="250"/>
      <inputCells r="G11" val="60"/>
      <inputCells r="G12" val="390"/>
    </scenario>
  </scenarios>
  <mergeCells count="32">
    <mergeCell ref="E11:F11"/>
    <mergeCell ref="B3:C3"/>
    <mergeCell ref="K3:L3"/>
    <mergeCell ref="B4:C4"/>
    <mergeCell ref="K4:L4"/>
    <mergeCell ref="B5:C5"/>
    <mergeCell ref="K5:L5"/>
    <mergeCell ref="K6:L6"/>
    <mergeCell ref="K7:L7"/>
    <mergeCell ref="E8:E9"/>
    <mergeCell ref="H8:H9"/>
    <mergeCell ref="K10:L10"/>
    <mergeCell ref="K12:L12"/>
    <mergeCell ref="M12:N12"/>
    <mergeCell ref="D18:E18"/>
    <mergeCell ref="I19:J19"/>
    <mergeCell ref="D20:E20"/>
    <mergeCell ref="I20:J20"/>
    <mergeCell ref="D41:E41"/>
    <mergeCell ref="L41:N42"/>
    <mergeCell ref="L21:N22"/>
    <mergeCell ref="D22:E22"/>
    <mergeCell ref="I22:J22"/>
    <mergeCell ref="D25:E25"/>
    <mergeCell ref="D27:E27"/>
    <mergeCell ref="D32:E32"/>
    <mergeCell ref="I32:J32"/>
    <mergeCell ref="D34:E34"/>
    <mergeCell ref="I34:J34"/>
    <mergeCell ref="L35:N36"/>
    <mergeCell ref="D36:E36"/>
    <mergeCell ref="I36:J36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0</xdr:col>
                    <xdr:colOff>60960</xdr:colOff>
                    <xdr:row>8</xdr:row>
                    <xdr:rowOff>167640</xdr:rowOff>
                  </from>
                  <to>
                    <xdr:col>0</xdr:col>
                    <xdr:colOff>967740</xdr:colOff>
                    <xdr:row>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0</xdr:col>
                    <xdr:colOff>60960</xdr:colOff>
                    <xdr:row>9</xdr:row>
                    <xdr:rowOff>167640</xdr:rowOff>
                  </from>
                  <to>
                    <xdr:col>1</xdr:col>
                    <xdr:colOff>114300</xdr:colOff>
                    <xdr:row>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>
                  <from>
                    <xdr:col>0</xdr:col>
                    <xdr:colOff>60960</xdr:colOff>
                    <xdr:row>10</xdr:row>
                    <xdr:rowOff>167640</xdr:rowOff>
                  </from>
                  <to>
                    <xdr:col>1</xdr:col>
                    <xdr:colOff>121920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Option Button 4">
              <controlPr defaultSize="0" autoFill="0" autoLine="0" autoPict="0">
                <anchor moveWithCells="1">
                  <from>
                    <xdr:col>0</xdr:col>
                    <xdr:colOff>60960</xdr:colOff>
                    <xdr:row>11</xdr:row>
                    <xdr:rowOff>167640</xdr:rowOff>
                  </from>
                  <to>
                    <xdr:col>0</xdr:col>
                    <xdr:colOff>967740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Group Box 5">
              <controlPr defaultSize="0" autoFill="0" autoPict="0">
                <anchor moveWithCells="1">
                  <from>
                    <xdr:col>0</xdr:col>
                    <xdr:colOff>15240</xdr:colOff>
                    <xdr:row>8</xdr:row>
                    <xdr:rowOff>175260</xdr:rowOff>
                  </from>
                  <to>
                    <xdr:col>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Spinner 6">
              <controlPr defaultSize="0" autoPict="0">
                <anchor moveWithCells="1" sizeWithCells="1">
                  <from>
                    <xdr:col>16</xdr:col>
                    <xdr:colOff>22860</xdr:colOff>
                    <xdr:row>13</xdr:row>
                    <xdr:rowOff>7620</xdr:rowOff>
                  </from>
                  <to>
                    <xdr:col>17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Spinner 7">
              <controlPr defaultSize="0" autoPict="0">
                <anchor moveWithCells="1" sizeWithCells="1">
                  <from>
                    <xdr:col>11</xdr:col>
                    <xdr:colOff>22860</xdr:colOff>
                    <xdr:row>23</xdr:row>
                    <xdr:rowOff>7620</xdr:rowOff>
                  </from>
                  <to>
                    <xdr:col>11</xdr:col>
                    <xdr:colOff>236220</xdr:colOff>
                    <xdr:row>24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C</dc:creator>
  <cp:lastModifiedBy>K C</cp:lastModifiedBy>
  <dcterms:created xsi:type="dcterms:W3CDTF">2024-10-20T17:53:35Z</dcterms:created>
  <dcterms:modified xsi:type="dcterms:W3CDTF">2024-11-14T14:45:25Z</dcterms:modified>
</cp:coreProperties>
</file>