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mde-my.sharepoint.com/personal/patrick_helm_tum_de/Documents/Teaching/InvMan/Assignment 6/solutions/"/>
    </mc:Choice>
  </mc:AlternateContent>
  <xr:revisionPtr revIDLastSave="168" documentId="13_ncr:1_{CE829FF4-F5FF-415C-B1A7-101FDB19B8B7}" xr6:coauthVersionLast="47" xr6:coauthVersionMax="47" xr10:uidLastSave="{F5C4E6AB-AEBB-48F1-BF32-DE0E5074DF1B}"/>
  <bookViews>
    <workbookView xWindow="-80" yWindow="-80" windowWidth="19360" windowHeight="11440" activeTab="3" xr2:uid="{05F69EE2-EA27-4953-8404-9968E42BCAD0}"/>
  </bookViews>
  <sheets>
    <sheet name="Exercise 1" sheetId="3" r:id="rId1"/>
    <sheet name="Exercise 2(a) _ Lagrange" sheetId="4" r:id="rId2"/>
    <sheet name="Exercise 2(a) _Optimization" sheetId="1" r:id="rId3"/>
    <sheet name="Exercise 3" sheetId="5" r:id="rId4"/>
  </sheets>
  <definedNames>
    <definedName name="solver_adj" localSheetId="0" hidden="1">'Exercise 1'!$C$40:$L$40</definedName>
    <definedName name="solver_adj" localSheetId="1" hidden="1">'Exercise 2(a) _ Lagrange'!$E$26</definedName>
    <definedName name="solver_adj" localSheetId="2" hidden="1">'Exercise 2(a) _Optimization'!$E$12:$F$12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100</definedName>
    <definedName name="solver_itr" localSheetId="1" hidden="1">2147483647</definedName>
    <definedName name="solver_itr" localSheetId="2" hidden="1">2147483647</definedName>
    <definedName name="solver_lhs1" localSheetId="1" hidden="1">'Exercise 2(a) _ Lagrange'!#REF!</definedName>
    <definedName name="solver_lhs1" localSheetId="2" hidden="1">'Exercise 2(a) _Optimization'!$E$12</definedName>
    <definedName name="solver_lhs2" localSheetId="1" hidden="1">'Exercise 2(a) _ Lagrange'!#REF!</definedName>
    <definedName name="solver_lhs2" localSheetId="2" hidden="1">'Exercise 2(a) _Optimization'!$F$12</definedName>
    <definedName name="solver_lhs3" localSheetId="1" hidden="1">'Exercise 2(a) _ Lagrange'!#REF!</definedName>
    <definedName name="solver_lhs3" localSheetId="2" hidden="1">'Exercise 2(a) _Optimization'!$F$20</definedName>
    <definedName name="solver_lhs4" localSheetId="1" hidden="1">'Exercise 2(a) _ Lagrange'!#REF!</definedName>
    <definedName name="solver_lhs4" localSheetId="2" hidden="1">'Exercise 2(a) _Optimization'!$G$12</definedName>
    <definedName name="solver_lhs5" localSheetId="1" hidden="1">'Exercise 2(a) _ Lagrange'!#REF!</definedName>
    <definedName name="solver_lhs5" localSheetId="2" hidden="1">'Exercise 2(a) _Optimization'!#REF!</definedName>
    <definedName name="solver_lhs6" localSheetId="1" hidden="1">'Exercise 2(a) _ Lagrange'!#REF!</definedName>
    <definedName name="solver_lhs6" localSheetId="2" hidden="1">'Exercise 2(a) _Optimization'!#REF!</definedName>
    <definedName name="solver_lhs7" localSheetId="1" hidden="1">'Exercise 2(a) _ Lagrange'!#REF!</definedName>
    <definedName name="solver_lhs7" localSheetId="2" hidden="1">'Exercise 2(a) _Optimization'!#REF!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3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'Exercise 1'!$D$43</definedName>
    <definedName name="solver_opt" localSheetId="1" hidden="1">'Exercise 2(a) _ Lagrange'!$I$28</definedName>
    <definedName name="solver_opt" localSheetId="2" hidden="1">'Exercise 2(a) _Optimization'!$E$15</definedName>
    <definedName name="solver_opt" localSheetId="3" hidden="1">'Exercise 3'!$AA$45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3</definedName>
    <definedName name="solver_rel2" localSheetId="1" hidden="1">1</definedName>
    <definedName name="solver_rel2" localSheetId="2" hidden="1">3</definedName>
    <definedName name="solver_rel3" localSheetId="1" hidden="1">1</definedName>
    <definedName name="solver_rel3" localSheetId="2" hidden="1">1</definedName>
    <definedName name="solver_rel4" localSheetId="1" hidden="1">3</definedName>
    <definedName name="solver_rel4" localSheetId="2" hidden="1">3</definedName>
    <definedName name="solver_rel5" localSheetId="1" hidden="1">1</definedName>
    <definedName name="solver_rel5" localSheetId="2" hidden="1">1</definedName>
    <definedName name="solver_rel6" localSheetId="1" hidden="1">3</definedName>
    <definedName name="solver_rel6" localSheetId="2" hidden="1">3</definedName>
    <definedName name="solver_rel7" localSheetId="1" hidden="1">3</definedName>
    <definedName name="solver_rel7" localSheetId="2" hidden="1">3</definedName>
    <definedName name="solver_rhs1" localSheetId="1" hidden="1">'Exercise 2(a) _ Lagrange'!#REF!</definedName>
    <definedName name="solver_rhs1" localSheetId="2" hidden="1">'Exercise 2(a) _Optimization'!$F$21</definedName>
    <definedName name="solver_rhs2" localSheetId="1" hidden="1">'Exercise 2(a) _ Lagrange'!#REF!</definedName>
    <definedName name="solver_rhs2" localSheetId="2" hidden="1">'Exercise 2(a) _Optimization'!$F$21</definedName>
    <definedName name="solver_rhs3" localSheetId="1" hidden="1">'Exercise 2(a) _ Lagrange'!#REF!</definedName>
    <definedName name="solver_rhs3" localSheetId="2" hidden="1">'Exercise 2(a) _Optimization'!$H$20</definedName>
    <definedName name="solver_rhs4" localSheetId="1" hidden="1">'Exercise 2(a) _ Lagrange'!#REF!</definedName>
    <definedName name="solver_rhs4" localSheetId="2" hidden="1">'Exercise 2(a) _Optimization'!$F$21</definedName>
    <definedName name="solver_rhs5" localSheetId="1" hidden="1">'Exercise 2(a) _ Lagrange'!#REF!</definedName>
    <definedName name="solver_rhs5" localSheetId="2" hidden="1">'Exercise 2(a) _Optimization'!$H$20</definedName>
    <definedName name="solver_rhs6" localSheetId="1" hidden="1">'Exercise 2(a) _ Lagrange'!#REF!</definedName>
    <definedName name="solver_rhs6" localSheetId="2" hidden="1">'Exercise 2(a) _Optimization'!$F$21</definedName>
    <definedName name="solver_rhs7" localSheetId="1" hidden="1">'Exercise 2(a) _ Lagrange'!#REF!</definedName>
    <definedName name="solver_rhs7" localSheetId="2" hidden="1">'Exercise 2(a) _Optimization'!$F$21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0" hidden="1">100</definedName>
    <definedName name="solver_tim" localSheetId="1" hidden="1">2147483647</definedName>
    <definedName name="solver_tim" localSheetId="2" hidden="1">2147483647</definedName>
    <definedName name="solver_tol" localSheetId="0" hidden="1">0.05</definedName>
    <definedName name="solver_tol" localSheetId="1" hidden="1">1</definedName>
    <definedName name="solver_tol" localSheetId="2" hidden="1">1</definedName>
    <definedName name="solver_typ" localSheetId="0" hidden="1">2</definedName>
    <definedName name="solver_typ" localSheetId="1" hidden="1">3</definedName>
    <definedName name="solver_typ" localSheetId="2" hidden="1">2</definedName>
    <definedName name="solver_typ" localSheetId="3" hidden="1">1</definedName>
    <definedName name="solver_val" localSheetId="0" hidden="1">0</definedName>
    <definedName name="solver_val" localSheetId="1" hidden="1">300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3" l="1"/>
  <c r="C34" i="3" l="1"/>
  <c r="E18" i="1" l="1"/>
  <c r="F18" i="1"/>
  <c r="F68" i="5"/>
  <c r="S63" i="5"/>
  <c r="F55" i="5"/>
  <c r="F29" i="5"/>
  <c r="F11" i="5"/>
  <c r="S17" i="5"/>
  <c r="I16" i="5"/>
  <c r="F16" i="5"/>
  <c r="J11" i="5"/>
  <c r="I12" i="5"/>
  <c r="F12" i="5"/>
  <c r="C41" i="3"/>
  <c r="D39" i="3"/>
  <c r="F10" i="5"/>
  <c r="E24" i="4"/>
  <c r="E28" i="4" s="1"/>
  <c r="C17" i="3"/>
  <c r="S11" i="5" l="1"/>
  <c r="G11" i="5"/>
  <c r="H11" i="5"/>
  <c r="I11" i="5"/>
  <c r="K11" i="5"/>
  <c r="L11" i="5"/>
  <c r="M11" i="5"/>
  <c r="N11" i="5"/>
  <c r="O11" i="5"/>
  <c r="F62" i="5" l="1"/>
  <c r="S76" i="5"/>
  <c r="F36" i="5"/>
  <c r="F32" i="5"/>
  <c r="F13" i="5"/>
  <c r="O78" i="5"/>
  <c r="N78" i="5"/>
  <c r="M78" i="5"/>
  <c r="L78" i="5"/>
  <c r="K78" i="5"/>
  <c r="J78" i="5"/>
  <c r="I78" i="5"/>
  <c r="H78" i="5"/>
  <c r="G78" i="5"/>
  <c r="F78" i="5"/>
  <c r="O76" i="5"/>
  <c r="N76" i="5"/>
  <c r="M76" i="5"/>
  <c r="L76" i="5"/>
  <c r="K76" i="5"/>
  <c r="J76" i="5"/>
  <c r="I76" i="5"/>
  <c r="H76" i="5"/>
  <c r="G76" i="5"/>
  <c r="F76" i="5"/>
  <c r="O75" i="5"/>
  <c r="N75" i="5"/>
  <c r="M75" i="5"/>
  <c r="L75" i="5"/>
  <c r="K75" i="5"/>
  <c r="J75" i="5"/>
  <c r="I75" i="5"/>
  <c r="H75" i="5"/>
  <c r="G75" i="5"/>
  <c r="F75" i="5"/>
  <c r="O71" i="5"/>
  <c r="N71" i="5"/>
  <c r="M71" i="5"/>
  <c r="L71" i="5"/>
  <c r="K71" i="5"/>
  <c r="J71" i="5"/>
  <c r="I71" i="5"/>
  <c r="H71" i="5"/>
  <c r="G71" i="5"/>
  <c r="F71" i="5"/>
  <c r="O65" i="5"/>
  <c r="N65" i="5"/>
  <c r="M65" i="5"/>
  <c r="L65" i="5"/>
  <c r="K65" i="5"/>
  <c r="J65" i="5"/>
  <c r="I65" i="5"/>
  <c r="H65" i="5"/>
  <c r="G65" i="5"/>
  <c r="F65" i="5"/>
  <c r="O62" i="5"/>
  <c r="N62" i="5"/>
  <c r="M62" i="5"/>
  <c r="L62" i="5"/>
  <c r="K62" i="5"/>
  <c r="J62" i="5"/>
  <c r="I62" i="5"/>
  <c r="H62" i="5"/>
  <c r="G62" i="5"/>
  <c r="O58" i="5"/>
  <c r="N58" i="5"/>
  <c r="M58" i="5"/>
  <c r="L58" i="5"/>
  <c r="K58" i="5"/>
  <c r="J58" i="5"/>
  <c r="I58" i="5"/>
  <c r="H58" i="5"/>
  <c r="G58" i="5"/>
  <c r="F58" i="5"/>
  <c r="O52" i="5"/>
  <c r="N52" i="5"/>
  <c r="M52" i="5"/>
  <c r="L52" i="5"/>
  <c r="K52" i="5"/>
  <c r="J52" i="5"/>
  <c r="I52" i="5"/>
  <c r="H52" i="5"/>
  <c r="G52" i="5"/>
  <c r="F52" i="5"/>
  <c r="O49" i="5"/>
  <c r="N49" i="5"/>
  <c r="M49" i="5"/>
  <c r="L49" i="5"/>
  <c r="K49" i="5"/>
  <c r="J49" i="5"/>
  <c r="I49" i="5"/>
  <c r="H49" i="5"/>
  <c r="G49" i="5"/>
  <c r="F49" i="5"/>
  <c r="O45" i="5"/>
  <c r="N45" i="5"/>
  <c r="M45" i="5"/>
  <c r="L45" i="5"/>
  <c r="K45" i="5"/>
  <c r="J45" i="5"/>
  <c r="I45" i="5"/>
  <c r="H45" i="5"/>
  <c r="G45" i="5"/>
  <c r="F45" i="5"/>
  <c r="O39" i="5"/>
  <c r="N39" i="5"/>
  <c r="M39" i="5"/>
  <c r="L39" i="5"/>
  <c r="K39" i="5"/>
  <c r="J39" i="5"/>
  <c r="I39" i="5"/>
  <c r="H39" i="5"/>
  <c r="G39" i="5"/>
  <c r="F39" i="5"/>
  <c r="O36" i="5"/>
  <c r="N36" i="5"/>
  <c r="M36" i="5"/>
  <c r="L36" i="5"/>
  <c r="K36" i="5"/>
  <c r="J36" i="5"/>
  <c r="I36" i="5"/>
  <c r="H36" i="5"/>
  <c r="G36" i="5"/>
  <c r="O32" i="5"/>
  <c r="N32" i="5"/>
  <c r="M32" i="5"/>
  <c r="L32" i="5"/>
  <c r="K32" i="5"/>
  <c r="J32" i="5"/>
  <c r="I32" i="5"/>
  <c r="H32" i="5"/>
  <c r="G32" i="5"/>
  <c r="I26" i="5"/>
  <c r="L23" i="5"/>
  <c r="I23" i="5"/>
  <c r="O16" i="5"/>
  <c r="N16" i="5"/>
  <c r="M16" i="5"/>
  <c r="L16" i="5"/>
  <c r="K16" i="5"/>
  <c r="J16" i="5"/>
  <c r="H16" i="5"/>
  <c r="G16" i="5"/>
  <c r="N13" i="5"/>
  <c r="N26" i="5" s="1"/>
  <c r="L13" i="5"/>
  <c r="L26" i="5" s="1"/>
  <c r="H13" i="5"/>
  <c r="H26" i="5" s="1"/>
  <c r="G13" i="5"/>
  <c r="G26" i="5" s="1"/>
  <c r="O12" i="5"/>
  <c r="O13" i="5" s="1"/>
  <c r="N12" i="5"/>
  <c r="M12" i="5"/>
  <c r="M13" i="5" s="1"/>
  <c r="L12" i="5"/>
  <c r="K12" i="5"/>
  <c r="K13" i="5" s="1"/>
  <c r="J12" i="5"/>
  <c r="J13" i="5" s="1"/>
  <c r="H12" i="5"/>
  <c r="G12" i="5"/>
  <c r="O10" i="5"/>
  <c r="N10" i="5"/>
  <c r="M10" i="5"/>
  <c r="L10" i="5"/>
  <c r="K10" i="5"/>
  <c r="J10" i="5"/>
  <c r="I10" i="5"/>
  <c r="H10" i="5"/>
  <c r="G10" i="5"/>
  <c r="S37" i="5" l="1"/>
  <c r="F42" i="5"/>
  <c r="S50" i="5" s="1"/>
  <c r="Q10" i="5"/>
  <c r="J23" i="5"/>
  <c r="J26" i="5"/>
  <c r="K23" i="5"/>
  <c r="K26" i="5"/>
  <c r="M26" i="5"/>
  <c r="M23" i="5"/>
  <c r="F26" i="5"/>
  <c r="F23" i="5"/>
  <c r="O26" i="5"/>
  <c r="O23" i="5"/>
  <c r="L44" i="5"/>
  <c r="N44" i="5"/>
  <c r="F44" i="5"/>
  <c r="H70" i="5"/>
  <c r="O70" i="5"/>
  <c r="G70" i="5"/>
  <c r="N70" i="5"/>
  <c r="F70" i="5"/>
  <c r="M70" i="5"/>
  <c r="L70" i="5"/>
  <c r="K70" i="5"/>
  <c r="J70" i="5"/>
  <c r="I70" i="5"/>
  <c r="J57" i="5"/>
  <c r="I57" i="5"/>
  <c r="H57" i="5"/>
  <c r="O57" i="5"/>
  <c r="G57" i="5"/>
  <c r="N57" i="5"/>
  <c r="F57" i="5"/>
  <c r="K57" i="5"/>
  <c r="M57" i="5"/>
  <c r="L57" i="5"/>
  <c r="N23" i="5"/>
  <c r="G23" i="5"/>
  <c r="H23" i="5"/>
  <c r="E31" i="3"/>
  <c r="E30" i="3"/>
  <c r="I15" i="4"/>
  <c r="E18" i="4"/>
  <c r="E13" i="4"/>
  <c r="F13" i="4"/>
  <c r="F24" i="4"/>
  <c r="F30" i="4" s="1"/>
  <c r="D24" i="4"/>
  <c r="L46" i="3"/>
  <c r="K46" i="3"/>
  <c r="J46" i="3"/>
  <c r="I46" i="3"/>
  <c r="H46" i="3"/>
  <c r="G46" i="3"/>
  <c r="F46" i="3"/>
  <c r="E46" i="3"/>
  <c r="D46" i="3"/>
  <c r="C46" i="3"/>
  <c r="L45" i="3"/>
  <c r="K45" i="3"/>
  <c r="J45" i="3"/>
  <c r="I45" i="3"/>
  <c r="H45" i="3"/>
  <c r="G45" i="3"/>
  <c r="F45" i="3"/>
  <c r="E45" i="3"/>
  <c r="D45" i="3"/>
  <c r="C45" i="3"/>
  <c r="L20" i="3"/>
  <c r="J20" i="3"/>
  <c r="E20" i="3"/>
  <c r="D20" i="3"/>
  <c r="C20" i="3"/>
  <c r="L19" i="3"/>
  <c r="J19" i="3"/>
  <c r="E19" i="3"/>
  <c r="D19" i="3"/>
  <c r="L18" i="3"/>
  <c r="K18" i="3"/>
  <c r="K20" i="3" s="1"/>
  <c r="J18" i="3"/>
  <c r="I18" i="3"/>
  <c r="I20" i="3" s="1"/>
  <c r="H18" i="3"/>
  <c r="H17" i="3" s="1"/>
  <c r="G18" i="3"/>
  <c r="G17" i="3" s="1"/>
  <c r="F18" i="3"/>
  <c r="F19" i="3" s="1"/>
  <c r="E18" i="3"/>
  <c r="D18" i="3"/>
  <c r="C18" i="3"/>
  <c r="C19" i="3" s="1"/>
  <c r="L17" i="3"/>
  <c r="K17" i="3"/>
  <c r="J17" i="3"/>
  <c r="I17" i="3"/>
  <c r="E17" i="3"/>
  <c r="D17" i="3"/>
  <c r="L12" i="3"/>
  <c r="K12" i="3"/>
  <c r="J12" i="3"/>
  <c r="I12" i="3"/>
  <c r="H12" i="3"/>
  <c r="G12" i="3"/>
  <c r="F12" i="3"/>
  <c r="E12" i="3"/>
  <c r="D12" i="3"/>
  <c r="C12" i="3"/>
  <c r="L11" i="3"/>
  <c r="K11" i="3"/>
  <c r="J11" i="3"/>
  <c r="I11" i="3"/>
  <c r="H11" i="3"/>
  <c r="G11" i="3"/>
  <c r="F11" i="3"/>
  <c r="E11" i="3"/>
  <c r="D11" i="3"/>
  <c r="C11" i="3"/>
  <c r="E29" i="3" s="1"/>
  <c r="F13" i="1"/>
  <c r="E13" i="1"/>
  <c r="O44" i="5" l="1"/>
  <c r="M44" i="5"/>
  <c r="G44" i="5"/>
  <c r="H44" i="5"/>
  <c r="I44" i="5"/>
  <c r="J44" i="5"/>
  <c r="K44" i="5"/>
  <c r="D51" i="3"/>
  <c r="E55" i="3" s="1"/>
  <c r="E15" i="1"/>
  <c r="F20" i="1"/>
  <c r="F18" i="4"/>
  <c r="I18" i="4"/>
  <c r="F28" i="4"/>
  <c r="I28" i="4" s="1"/>
  <c r="E30" i="4"/>
  <c r="I30" i="4" s="1"/>
  <c r="J34" i="3"/>
  <c r="L33" i="3"/>
  <c r="D33" i="3"/>
  <c r="I34" i="3"/>
  <c r="K33" i="3"/>
  <c r="C33" i="3"/>
  <c r="H34" i="3"/>
  <c r="J33" i="3"/>
  <c r="G34" i="3"/>
  <c r="I33" i="3"/>
  <c r="H33" i="3"/>
  <c r="G33" i="3"/>
  <c r="F34" i="3"/>
  <c r="E34" i="3"/>
  <c r="L34" i="3"/>
  <c r="D34" i="3"/>
  <c r="F33" i="3"/>
  <c r="K34" i="3"/>
  <c r="E33" i="3"/>
  <c r="G19" i="3"/>
  <c r="E23" i="3" s="1"/>
  <c r="H19" i="3"/>
  <c r="F20" i="3"/>
  <c r="E22" i="3" s="1"/>
  <c r="F17" i="3"/>
  <c r="E24" i="3" s="1"/>
  <c r="I19" i="3"/>
  <c r="G20" i="3"/>
  <c r="H20" i="3"/>
  <c r="K19" i="3"/>
  <c r="I53" i="3" l="1"/>
  <c r="I59" i="3" s="1"/>
  <c r="H53" i="3"/>
  <c r="H59" i="3" s="1"/>
  <c r="G53" i="3"/>
  <c r="G59" i="3" s="1"/>
  <c r="J53" i="3"/>
  <c r="J59" i="3" s="1"/>
  <c r="F53" i="3"/>
  <c r="F59" i="3" s="1"/>
  <c r="K53" i="3"/>
  <c r="K59" i="3" s="1"/>
  <c r="E53" i="3"/>
  <c r="E59" i="3" s="1"/>
  <c r="D53" i="3"/>
  <c r="D59" i="3" s="1"/>
  <c r="L55" i="3"/>
  <c r="C55" i="3"/>
  <c r="L53" i="3"/>
  <c r="L59" i="3" s="1"/>
  <c r="D55" i="3"/>
  <c r="C59" i="3"/>
  <c r="F31" i="5"/>
  <c r="H55" i="3"/>
  <c r="G55" i="3"/>
  <c r="J55" i="3"/>
  <c r="K55" i="3"/>
  <c r="I55" i="3"/>
  <c r="F55" i="3"/>
  <c r="N31" i="5"/>
  <c r="M31" i="5"/>
  <c r="L31" i="5"/>
  <c r="K31" i="5"/>
  <c r="J31" i="5"/>
  <c r="I31" i="5"/>
  <c r="G31" i="5"/>
  <c r="H31" i="5"/>
  <c r="O31" i="5"/>
  <c r="N17" i="3"/>
  <c r="E35" i="3"/>
  <c r="D57" i="3" l="1"/>
  <c r="M59" i="3"/>
  <c r="F41" i="3"/>
  <c r="E41" i="3"/>
  <c r="L41" i="3"/>
  <c r="D41" i="3"/>
  <c r="K41" i="3"/>
  <c r="J41" i="3"/>
  <c r="I41" i="3"/>
  <c r="H41" i="3"/>
  <c r="G41" i="3"/>
  <c r="D43" i="3" l="1"/>
</calcChain>
</file>

<file path=xl/sharedStrings.xml><?xml version="1.0" encoding="utf-8"?>
<sst xmlns="http://schemas.openxmlformats.org/spreadsheetml/2006/main" count="149" uniqueCount="94">
  <si>
    <t>Product</t>
  </si>
  <si>
    <t>d</t>
  </si>
  <si>
    <t>A</t>
  </si>
  <si>
    <t>h</t>
  </si>
  <si>
    <t>a</t>
  </si>
  <si>
    <t>Dedicated space</t>
  </si>
  <si>
    <t>Q</t>
  </si>
  <si>
    <t>d/Q*A+h/2*Q</t>
  </si>
  <si>
    <t>C</t>
  </si>
  <si>
    <t>a*Q</t>
  </si>
  <si>
    <t>&lt;=</t>
  </si>
  <si>
    <t>&gt;=</t>
  </si>
  <si>
    <t>Solution with Lagrange</t>
  </si>
  <si>
    <t>Q*</t>
  </si>
  <si>
    <t>Total Space Req.</t>
  </si>
  <si>
    <t>Unconstrained solution</t>
  </si>
  <si>
    <t>λ=0</t>
  </si>
  <si>
    <t>Total Cost</t>
  </si>
  <si>
    <t>Cost</t>
  </si>
  <si>
    <t>Constrained solution</t>
  </si>
  <si>
    <t>λ</t>
  </si>
  <si>
    <t>=</t>
  </si>
  <si>
    <t>cost</t>
  </si>
  <si>
    <t>Common cycle model</t>
  </si>
  <si>
    <t>T*</t>
  </si>
  <si>
    <t xml:space="preserve">Exercise 1 </t>
  </si>
  <si>
    <t>demand rate</t>
  </si>
  <si>
    <t>p</t>
  </si>
  <si>
    <t>production rate</t>
  </si>
  <si>
    <t>r</t>
  </si>
  <si>
    <t>setup time</t>
  </si>
  <si>
    <t>setup cost</t>
  </si>
  <si>
    <t>holding cost</t>
  </si>
  <si>
    <t>hd(p-d)/p</t>
  </si>
  <si>
    <t>d/p</t>
  </si>
  <si>
    <t>Independent solution</t>
  </si>
  <si>
    <t>Min:</t>
  </si>
  <si>
    <t>T</t>
  </si>
  <si>
    <t>Q (EPQ)</t>
  </si>
  <si>
    <t>Time (manufacturing)</t>
  </si>
  <si>
    <t>Total cost (lower bound)</t>
  </si>
  <si>
    <t>Required manufacturing time</t>
  </si>
  <si>
    <t>Minimum cycle time</t>
  </si>
  <si>
    <t>Unconstrained optimum</t>
  </si>
  <si>
    <t>Sum of setup and manufacturing times cannot exceed cycle length</t>
  </si>
  <si>
    <t>Minimum cycle length</t>
  </si>
  <si>
    <t>Optimal cycle</t>
  </si>
  <si>
    <t xml:space="preserve">Cost </t>
  </si>
  <si>
    <t>Total cost (upper bound)</t>
  </si>
  <si>
    <t>Basic cycle model</t>
  </si>
  <si>
    <t>Basic period(W)_initial</t>
  </si>
  <si>
    <t>Consider</t>
  </si>
  <si>
    <t>n</t>
  </si>
  <si>
    <r>
      <t>n</t>
    </r>
    <r>
      <rPr>
        <vertAlign val="subscript"/>
        <sz val="11"/>
        <color rgb="FF000000"/>
        <rFont val="TUM Neue Helvetica 55 Regular"/>
        <family val="2"/>
      </rPr>
      <t>i</t>
    </r>
    <r>
      <rPr>
        <sz val="11"/>
        <color rgb="FF000000"/>
        <rFont val="TUM Neue Helvetica 55 Regular"/>
        <family val="2"/>
      </rPr>
      <t>=2</t>
    </r>
    <r>
      <rPr>
        <vertAlign val="superscript"/>
        <sz val="11"/>
        <color rgb="FF000000"/>
        <rFont val="TUM Neue Helvetica 55 Regular"/>
        <family val="2"/>
      </rPr>
      <t>m</t>
    </r>
  </si>
  <si>
    <t>{1,2,4,8,16,...}</t>
  </si>
  <si>
    <t>Total cost</t>
  </si>
  <si>
    <t>A/n</t>
  </si>
  <si>
    <t>h(p-d)dn/p</t>
  </si>
  <si>
    <t>Basic period(W)_new</t>
  </si>
  <si>
    <t>sum</t>
  </si>
  <si>
    <t>Capacity Limit</t>
  </si>
  <si>
    <t>Costraints</t>
  </si>
  <si>
    <t>Cost function</t>
  </si>
  <si>
    <t xml:space="preserve">Capacity </t>
  </si>
  <si>
    <t>Question 2 (a)</t>
  </si>
  <si>
    <t>Minimum Cycle Length</t>
  </si>
  <si>
    <t>New Cycle Time</t>
  </si>
  <si>
    <t>Feasibility Check</t>
  </si>
  <si>
    <t>Manufacturing Time</t>
  </si>
  <si>
    <t>Exercise 3</t>
  </si>
  <si>
    <t>major setup cost</t>
  </si>
  <si>
    <t>minor setup cost</t>
  </si>
  <si>
    <t>demand</t>
  </si>
  <si>
    <t>smallest cycle</t>
  </si>
  <si>
    <t>Independent cycle times</t>
  </si>
  <si>
    <t>optimal multipliers</t>
  </si>
  <si>
    <t>rounded</t>
  </si>
  <si>
    <t>2Ahd</t>
  </si>
  <si>
    <t>Lower bound</t>
  </si>
  <si>
    <t>Optimal initial cycle time</t>
  </si>
  <si>
    <t>Ai/ni</t>
  </si>
  <si>
    <t>hdn</t>
  </si>
  <si>
    <t>new multipliers</t>
  </si>
  <si>
    <t>Multiplier of the 2nd and 7 th item is changed</t>
  </si>
  <si>
    <t>Multiplier of the 6th and 7 th item is changed</t>
  </si>
  <si>
    <t>hi/di</t>
  </si>
  <si>
    <t>Ratio</t>
  </si>
  <si>
    <t>n(n+1)</t>
  </si>
  <si>
    <t>1st Iteration</t>
  </si>
  <si>
    <t>2nd Iteration</t>
  </si>
  <si>
    <t>3rd Iteration</t>
  </si>
  <si>
    <t>4rd Iteration</t>
  </si>
  <si>
    <t xml:space="preserve">Converged! </t>
  </si>
  <si>
    <t>Double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</si>
</sst>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TUM Neue Helvetica 55 Regular"/>
      <family val="2"/>
    </font>
    <font>
      <vertAlign val="subscript"/>
      <sz val="11"/>
      <color rgb="FF000000"/>
      <name val="TUM Neue Helvetica 55 Regular"/>
      <family val="2"/>
    </font>
    <font>
      <vertAlign val="superscript"/>
      <sz val="11"/>
      <color rgb="FF000000"/>
      <name val="TUM Neue Helvetica 55 Regular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0" fillId="2" borderId="0" xfId="0" applyFill="1"/>
    <xf numFmtId="0" fontId="5" fillId="2" borderId="0" xfId="0" applyFont="1" applyFill="1"/>
    <xf numFmtId="0" fontId="0" fillId="2" borderId="2" xfId="0" applyFill="1" applyBorder="1"/>
    <xf numFmtId="0" fontId="6" fillId="2" borderId="2" xfId="0" applyFont="1" applyFill="1" applyBorder="1"/>
    <xf numFmtId="0" fontId="3" fillId="2" borderId="0" xfId="0" applyFont="1" applyFill="1"/>
    <xf numFmtId="165" fontId="0" fillId="2" borderId="0" xfId="0" applyNumberFormat="1" applyFill="1"/>
    <xf numFmtId="165" fontId="2" fillId="2" borderId="0" xfId="0" applyNumberFormat="1" applyFont="1" applyFill="1"/>
    <xf numFmtId="165" fontId="0" fillId="2" borderId="2" xfId="0" applyNumberFormat="1" applyFill="1" applyBorder="1"/>
    <xf numFmtId="2" fontId="0" fillId="2" borderId="0" xfId="0" applyNumberFormat="1" applyFill="1"/>
    <xf numFmtId="0" fontId="6" fillId="2" borderId="0" xfId="0" applyFont="1" applyFill="1"/>
    <xf numFmtId="164" fontId="0" fillId="2" borderId="0" xfId="0" applyNumberFormat="1" applyFill="1"/>
    <xf numFmtId="166" fontId="0" fillId="2" borderId="0" xfId="0" applyNumberFormat="1" applyFill="1"/>
    <xf numFmtId="0" fontId="9" fillId="2" borderId="0" xfId="0" applyFont="1" applyFill="1"/>
    <xf numFmtId="2" fontId="3" fillId="2" borderId="0" xfId="0" applyNumberFormat="1" applyFont="1" applyFill="1"/>
    <xf numFmtId="0" fontId="4" fillId="3" borderId="0" xfId="0" applyFont="1" applyFill="1"/>
    <xf numFmtId="0" fontId="1" fillId="3" borderId="0" xfId="0" applyFont="1" applyFill="1"/>
    <xf numFmtId="0" fontId="0" fillId="0" borderId="2" xfId="0" applyBorder="1"/>
    <xf numFmtId="0" fontId="1" fillId="3" borderId="5" xfId="0" applyFont="1" applyFill="1" applyBorder="1"/>
    <xf numFmtId="0" fontId="0" fillId="0" borderId="5" xfId="0" applyBorder="1"/>
    <xf numFmtId="0" fontId="1" fillId="3" borderId="2" xfId="0" applyFont="1" applyFill="1" applyBorder="1"/>
    <xf numFmtId="0" fontId="12" fillId="3" borderId="1" xfId="0" applyFont="1" applyFill="1" applyBorder="1"/>
    <xf numFmtId="0" fontId="4" fillId="3" borderId="1" xfId="0" applyFont="1" applyFill="1" applyBorder="1"/>
    <xf numFmtId="0" fontId="3" fillId="0" borderId="0" xfId="0" applyFont="1"/>
    <xf numFmtId="0" fontId="12" fillId="3" borderId="0" xfId="0" applyFont="1" applyFill="1"/>
    <xf numFmtId="0" fontId="0" fillId="0" borderId="0" xfId="0" applyAlignment="1">
      <alignment horizontal="center"/>
    </xf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2" fontId="14" fillId="4" borderId="0" xfId="0" applyNumberFormat="1" applyFont="1" applyFill="1"/>
    <xf numFmtId="0" fontId="3" fillId="5" borderId="1" xfId="0" applyFont="1" applyFill="1" applyBorder="1"/>
    <xf numFmtId="164" fontId="3" fillId="5" borderId="1" xfId="0" applyNumberFormat="1" applyFont="1" applyFill="1" applyBorder="1"/>
    <xf numFmtId="0" fontId="3" fillId="5" borderId="2" xfId="0" applyFont="1" applyFill="1" applyBorder="1"/>
    <xf numFmtId="0" fontId="6" fillId="5" borderId="2" xfId="0" applyFont="1" applyFill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4" fillId="2" borderId="0" xfId="0" applyFont="1" applyFill="1"/>
    <xf numFmtId="165" fontId="14" fillId="4" borderId="0" xfId="0" applyNumberFormat="1" applyFont="1" applyFill="1"/>
    <xf numFmtId="0" fontId="1" fillId="3" borderId="3" xfId="0" applyFont="1" applyFill="1" applyBorder="1"/>
    <xf numFmtId="0" fontId="1" fillId="3" borderId="4" xfId="0" applyFont="1" applyFill="1" applyBorder="1"/>
    <xf numFmtId="0" fontId="16" fillId="3" borderId="2" xfId="0" applyFont="1" applyFill="1" applyBorder="1"/>
    <xf numFmtId="0" fontId="13" fillId="2" borderId="0" xfId="0" applyFont="1" applyFill="1"/>
    <xf numFmtId="164" fontId="8" fillId="0" borderId="0" xfId="0" applyNumberFormat="1" applyFont="1" applyAlignment="1">
      <alignment horizontal="left" vertical="center" indent="8" readingOrder="1"/>
    </xf>
    <xf numFmtId="166" fontId="14" fillId="4" borderId="0" xfId="0" applyNumberFormat="1" applyFont="1" applyFill="1"/>
    <xf numFmtId="0" fontId="3" fillId="5" borderId="0" xfId="0" applyFont="1" applyFill="1"/>
    <xf numFmtId="0" fontId="15" fillId="5" borderId="0" xfId="0" applyFont="1" applyFill="1"/>
    <xf numFmtId="0" fontId="3" fillId="2" borderId="2" xfId="0" applyFont="1" applyFill="1" applyBorder="1"/>
    <xf numFmtId="0" fontId="2" fillId="2" borderId="0" xfId="0" applyFont="1" applyFill="1"/>
    <xf numFmtId="0" fontId="0" fillId="6" borderId="2" xfId="0" applyFill="1" applyBorder="1"/>
    <xf numFmtId="0" fontId="0" fillId="7" borderId="2" xfId="0" applyFill="1" applyBorder="1"/>
    <xf numFmtId="0" fontId="0" fillId="7" borderId="0" xfId="0" applyFill="1"/>
    <xf numFmtId="0" fontId="0" fillId="8" borderId="2" xfId="0" applyFill="1" applyBorder="1"/>
    <xf numFmtId="0" fontId="0" fillId="8" borderId="0" xfId="0" applyFill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13" fillId="2" borderId="6" xfId="0" applyFont="1" applyFill="1" applyBorder="1"/>
    <xf numFmtId="0" fontId="6" fillId="2" borderId="9" xfId="0" applyFont="1" applyFill="1" applyBorder="1"/>
    <xf numFmtId="0" fontId="13" fillId="2" borderId="4" xfId="0" applyFont="1" applyFill="1" applyBorder="1"/>
    <xf numFmtId="0" fontId="0" fillId="9" borderId="2" xfId="0" applyFill="1" applyBorder="1"/>
    <xf numFmtId="0" fontId="0" fillId="9" borderId="0" xfId="0" applyFill="1"/>
    <xf numFmtId="0" fontId="14" fillId="6" borderId="2" xfId="0" applyFont="1" applyFill="1" applyBorder="1"/>
    <xf numFmtId="0" fontId="0" fillId="2" borderId="5" xfId="0" applyFill="1" applyBorder="1"/>
    <xf numFmtId="0" fontId="14" fillId="7" borderId="0" xfId="0" applyFont="1" applyFill="1"/>
    <xf numFmtId="0" fontId="14" fillId="8" borderId="2" xfId="0" applyFont="1" applyFill="1" applyBorder="1"/>
    <xf numFmtId="0" fontId="14" fillId="9" borderId="0" xfId="0" applyFont="1" applyFill="1"/>
    <xf numFmtId="2" fontId="14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66674</xdr:colOff>
      <xdr:row>15</xdr:row>
      <xdr:rowOff>155574</xdr:rowOff>
    </xdr:from>
    <xdr:to>
      <xdr:col>16</xdr:col>
      <xdr:colOff>569877</xdr:colOff>
      <xdr:row>19</xdr:row>
      <xdr:rowOff>116904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1803591" y="2981324"/>
              <a:ext cx="1307536" cy="6809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𝐸𝑃𝑄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𝑑𝐴</m:t>
                            </m:r>
                          </m:num>
                          <m:den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(1−</m:t>
                            </m:r>
                            <m:f>
                              <m:f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num>
                              <m:den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den>
                            </m:f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15361"/>
                </a:ext>
                <a:ext uri="{FF2B5EF4-FFF2-40B4-BE49-F238E27FC236}">
                  <a16:creationId xmlns:a16="http://schemas.microsoft.com/office/drawing/2014/main" id="{FD51D30C-84F3-4B74-836A-21F13F1A8405}"/>
                </a:ext>
              </a:extLst>
            </xdr:cNvPr>
            <xdr:cNvSpPr txBox="1"/>
          </xdr:nvSpPr>
          <xdr:spPr>
            <a:xfrm>
              <a:off x="11803591" y="2981324"/>
              <a:ext cx="1307536" cy="680997"/>
            </a:xfrm>
            <a:prstGeom prst="rect">
              <a:avLst/>
            </a:prstGeom>
          </xdr:spPr>
          <xdr:txBody>
            <a:bodyPr vertOverflow="clip" horzOverflow="clip" wrap="none">
              <a:no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𝐸𝑃𝑄=√(2𝑑𝐴/(ℎ(1−𝑑/𝑝)))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14</xdr:col>
      <xdr:colOff>702734</xdr:colOff>
      <xdr:row>23</xdr:row>
      <xdr:rowOff>169334</xdr:rowOff>
    </xdr:from>
    <xdr:to>
      <xdr:col>17</xdr:col>
      <xdr:colOff>247650</xdr:colOff>
      <xdr:row>29</xdr:row>
      <xdr:rowOff>10583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2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1635317" y="4434417"/>
              <a:ext cx="1957916" cy="102658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nary>
                              <m:naryPr>
                                <m:chr m:val="∑"/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nary>
                          </m:num>
                          <m:den>
                            <m:nary>
                              <m:naryPr>
                                <m:chr m:val="∑"/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(1−</m:t>
                                </m:r>
                                <m:f>
                                  <m:f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𝑑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</m:nary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3" name="Object 2">
              <a:extLst>
                <a:ext uri="{63B3BB69-23CF-44E3-9099-C40C66FF867C}">
                  <a14:compatExt xmlns:a14="http://schemas.microsoft.com/office/drawing/2010/main" spid="_x0000_s15362"/>
                </a:ext>
                <a:ext uri="{FF2B5EF4-FFF2-40B4-BE49-F238E27FC236}">
                  <a16:creationId xmlns:a16="http://schemas.microsoft.com/office/drawing/2014/main" id="{663FC1EE-95A4-4710-BC35-8FA98C3E416B}"/>
                </a:ext>
              </a:extLst>
            </xdr:cNvPr>
            <xdr:cNvSpPr txBox="1"/>
          </xdr:nvSpPr>
          <xdr:spPr>
            <a:xfrm>
              <a:off x="11635317" y="4434417"/>
              <a:ext cx="1957916" cy="102658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𝑇=√((2∑24_(𝑗=1)^𝑛▒𝐴_𝑗 )/(∑24_(𝑗=1)^𝑛▒〖ℎ_𝑗 𝑑_𝑗 (1−𝑑_𝑗/𝑝_𝑗 )〗))</a:t>
              </a:r>
              <a:endParaRPr lang="en-US"/>
            </a:p>
          </xdr:txBody>
        </xdr:sp>
      </mc:Fallback>
    </mc:AlternateContent>
    <xdr:clientData/>
  </xdr:twoCellAnchor>
  <xdr:twoCellAnchor>
    <xdr:from>
      <xdr:col>17</xdr:col>
      <xdr:colOff>797983</xdr:colOff>
      <xdr:row>24</xdr:row>
      <xdr:rowOff>38100</xdr:rowOff>
    </xdr:from>
    <xdr:to>
      <xdr:col>19</xdr:col>
      <xdr:colOff>342420</xdr:colOff>
      <xdr:row>27</xdr:row>
      <xdr:rowOff>66300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6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4143566" y="4483100"/>
              <a:ext cx="1153104" cy="6526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de-DE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𝑇</m:t>
                    </m:r>
                    <m:r>
                      <a:rPr lang="de-DE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≥</m:t>
                    </m:r>
                    <m:f>
                      <m:fPr>
                        <m:ctrlP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nary>
                          <m:naryPr>
                            <m:chr m:val="∑"/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1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5" name="Object 6">
              <a:extLst>
                <a:ext uri="{63B3BB69-23CF-44E3-9099-C40C66FF867C}">
                  <a14:compatExt xmlns:a14="http://schemas.microsoft.com/office/drawing/2010/main" spid="_x0000_s15363"/>
                </a:ext>
                <a:ext uri="{FF2B5EF4-FFF2-40B4-BE49-F238E27FC236}">
                  <a16:creationId xmlns:a16="http://schemas.microsoft.com/office/drawing/2014/main" id="{466D17CE-09F5-4F46-93BE-90005B1D5F93}"/>
                </a:ext>
              </a:extLst>
            </xdr:cNvPr>
            <xdr:cNvSpPr txBox="1"/>
          </xdr:nvSpPr>
          <xdr:spPr>
            <a:xfrm>
              <a:off x="14143566" y="4483100"/>
              <a:ext cx="1153104" cy="65261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de-DE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𝑇≥</a:t>
              </a:r>
              <a:r>
                <a:rPr lang="en-US" sz="1100" i="0">
                  <a:effectLst/>
                  <a:latin typeface="+mn-lt"/>
                  <a:ea typeface="+mn-ea"/>
                  <a:cs typeface="+mn-cs"/>
                </a:rPr>
                <a:t>(∑_(𝑗=1)^𝑛▒𝑟_𝑗 )/(1−∑_(𝑗=1)^𝑛▒𝑑_𝑗/𝑝_𝑗 )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14</xdr:col>
      <xdr:colOff>749301</xdr:colOff>
      <xdr:row>29</xdr:row>
      <xdr:rowOff>67733</xdr:rowOff>
    </xdr:from>
    <xdr:to>
      <xdr:col>18</xdr:col>
      <xdr:colOff>577850</xdr:colOff>
      <xdr:row>33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4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1681884" y="5518150"/>
              <a:ext cx="3052233" cy="674158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nary>
                      <m:naryPr>
                        <m:chr m:val="∑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d>
                          <m:d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  <m:f>
                              <m:f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7" name="Object 4">
              <a:extLst>
                <a:ext uri="{63B3BB69-23CF-44E3-9099-C40C66FF867C}">
                  <a14:compatExt xmlns:a14="http://schemas.microsoft.com/office/drawing/2010/main" spid="_x0000_s15364"/>
                </a:ext>
                <a:ext uri="{FF2B5EF4-FFF2-40B4-BE49-F238E27FC236}">
                  <a16:creationId xmlns:a16="http://schemas.microsoft.com/office/drawing/2014/main" id="{526EB26E-A987-4E61-A8F5-5E9F3941B1A2}"/>
                </a:ext>
              </a:extLst>
            </xdr:cNvPr>
            <xdr:cNvSpPr txBox="1"/>
          </xdr:nvSpPr>
          <xdr:spPr>
            <a:xfrm>
              <a:off x="11681884" y="5518150"/>
              <a:ext cx="3052233" cy="674158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𝐶(𝑇)=∑24_(𝑗=1)^𝑛▒(𝐴_𝑗/𝑇+ℎ_𝑗/2(𝑝_𝑗−𝑑_𝑗)𝑑_𝑗/𝑝_𝑗  𝑇) 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17</xdr:col>
      <xdr:colOff>747184</xdr:colOff>
      <xdr:row>38</xdr:row>
      <xdr:rowOff>160867</xdr:rowOff>
    </xdr:from>
    <xdr:to>
      <xdr:col>22</xdr:col>
      <xdr:colOff>158750</xdr:colOff>
      <xdr:row>42</xdr:row>
      <xdr:rowOff>30692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Object 5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4092767" y="7315200"/>
              <a:ext cx="3436408" cy="62865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nary>
                      <m:naryPr>
                        <m:chr m:val="∑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d>
                          <m:d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den>
                            </m:f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  <m:f>
                              <m:f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den>
                            </m:f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9" name="Object 5">
              <a:extLst>
                <a:ext uri="{63B3BB69-23CF-44E3-9099-C40C66FF867C}">
                  <a14:compatExt xmlns:a14="http://schemas.microsoft.com/office/drawing/2010/main" spid="_x0000_s15365"/>
                </a:ext>
                <a:ext uri="{FF2B5EF4-FFF2-40B4-BE49-F238E27FC236}">
                  <a16:creationId xmlns:a16="http://schemas.microsoft.com/office/drawing/2014/main" id="{87C7D879-7544-4B35-8659-6D288DE62FF2}"/>
                </a:ext>
              </a:extLst>
            </xdr:cNvPr>
            <xdr:cNvSpPr txBox="1"/>
          </xdr:nvSpPr>
          <xdr:spPr>
            <a:xfrm>
              <a:off x="14092767" y="7315200"/>
              <a:ext cx="3436408" cy="62865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𝐶(𝑊,𝑛_𝑖)=∑24_(𝑗=1)^𝑛▒(𝐴_𝑗/(𝑛_𝑗 𝑊)+ℎ_𝑗/2(𝑝_𝑗−𝑑_𝑗)𝑑_𝑗/𝑝_𝑗  𝑛_𝑗 𝑊) </a:t>
              </a:r>
              <a:endParaRPr lang="en-US"/>
            </a:p>
          </xdr:txBody>
        </xdr:sp>
      </mc:Fallback>
    </mc:AlternateContent>
    <xdr:clientData/>
  </xdr:twoCellAnchor>
  <xdr:twoCellAnchor>
    <xdr:from>
      <xdr:col>15</xdr:col>
      <xdr:colOff>296333</xdr:colOff>
      <xdr:row>39</xdr:row>
      <xdr:rowOff>27517</xdr:rowOff>
    </xdr:from>
    <xdr:to>
      <xdr:col>18</xdr:col>
      <xdr:colOff>546100</xdr:colOff>
      <xdr:row>44</xdr:row>
      <xdr:rowOff>10583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kt 7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2033250" y="7361767"/>
              <a:ext cx="2662767" cy="92498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nary>
                              <m:naryPr>
                                <m:chr m:val="∑"/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sup>
                              <m:e>
                                <m:f>
                                  <m:f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𝐴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nary>
                          </m:num>
                          <m:den>
                            <m:nary>
                              <m:naryPr>
                                <m:chr m:val="∑"/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  <m:f>
                                  <m:f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𝑑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den>
                                </m:f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1" name="Objekt 7">
              <a:extLst>
                <a:ext uri="{63B3BB69-23CF-44E3-9099-C40C66FF867C}">
                  <a14:compatExt xmlns:a14="http://schemas.microsoft.com/office/drawing/2010/main" spid="_x0000_s15366"/>
                </a:ext>
                <a:ext uri="{FF2B5EF4-FFF2-40B4-BE49-F238E27FC236}">
                  <a16:creationId xmlns:a16="http://schemas.microsoft.com/office/drawing/2014/main" id="{B6784F9E-1852-4690-B4AD-EF25CA5310C6}"/>
                </a:ext>
              </a:extLst>
            </xdr:cNvPr>
            <xdr:cNvSpPr txBox="1"/>
          </xdr:nvSpPr>
          <xdr:spPr>
            <a:xfrm>
              <a:off x="12033250" y="7361767"/>
              <a:ext cx="2662767" cy="92498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𝑊=√((2∑24_(𝑖=1)^𝑁▒𝐴_𝑖/𝑛_𝑖 )/(∑24_(𝑖=1)^𝑁▒〖ℎ_𝑖 (𝑝_𝑖−𝑑_𝑖)𝑑_𝑖/𝑝_𝑖  𝑛_𝑖 〗))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17</xdr:col>
      <xdr:colOff>667809</xdr:colOff>
      <xdr:row>15</xdr:row>
      <xdr:rowOff>133351</xdr:rowOff>
    </xdr:from>
    <xdr:to>
      <xdr:col>19</xdr:col>
      <xdr:colOff>626753</xdr:colOff>
      <xdr:row>18</xdr:row>
      <xdr:rowOff>26089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ct 7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4013392" y="2959101"/>
              <a:ext cx="1567611" cy="43566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de-DE" b="0" i="0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T</m:t>
                    </m:r>
                    <m:d>
                      <m:dPr>
                        <m:ctrlPr>
                          <a:rPr lang="de-DE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de-DE" b="0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Manu</m:t>
                        </m:r>
                      </m:e>
                    </m:d>
                    <m:r>
                      <a:rPr lang="de-DE" b="0" i="0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num>
                      <m:den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𝑠𝑒𝑡𝑢𝑝</m:t>
                    </m:r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2" name="Object 7">
              <a:extLst>
                <a:ext uri="{63B3BB69-23CF-44E3-9099-C40C66FF867C}">
                  <a14:compatExt xmlns:a14="http://schemas.microsoft.com/office/drawing/2010/main" spid="_x0000_s15367"/>
                </a:ext>
                <a:ext uri="{FF2B5EF4-FFF2-40B4-BE49-F238E27FC236}">
                  <a16:creationId xmlns:a16="http://schemas.microsoft.com/office/drawing/2014/main" id="{F85E6B87-A41A-4425-B581-BF8C8B15A2CA}"/>
                </a:ext>
              </a:extLst>
            </xdr:cNvPr>
            <xdr:cNvSpPr txBox="1"/>
          </xdr:nvSpPr>
          <xdr:spPr>
            <a:xfrm>
              <a:off x="14013392" y="2959101"/>
              <a:ext cx="1567611" cy="43566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de-DE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T(Manu)=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𝑄/𝑝+𝑠𝑒𝑡𝑢𝑝</a:t>
              </a:r>
              <a:endParaRPr lang="en-US"/>
            </a:p>
          </xdr:txBody>
        </xdr:sp>
      </mc:Fallback>
    </mc:AlternateContent>
    <xdr:clientData/>
  </xdr:twoCellAnchor>
  <xdr:twoCellAnchor>
    <xdr:from>
      <xdr:col>12</xdr:col>
      <xdr:colOff>603250</xdr:colOff>
      <xdr:row>58</xdr:row>
      <xdr:rowOff>24341</xdr:rowOff>
    </xdr:from>
    <xdr:to>
      <xdr:col>16</xdr:col>
      <xdr:colOff>95249</xdr:colOff>
      <xdr:row>62</xdr:row>
      <xdr:rowOff>13799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 bwMode="auto">
            <a:xfrm>
              <a:off x="9927167" y="10829924"/>
              <a:ext cx="2709332" cy="719708"/>
            </a:xfrm>
            <a:prstGeom prst="rect">
              <a:avLst/>
            </a:prstGeom>
            <a:noFill/>
          </xdr:spPr>
          <xdr:txBody>
            <a:bodyPr wrap="square">
              <a:norm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d>
                          <m:d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nl-NL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nl-NL" i="1" baseline="-25000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den>
                            </m:f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nl-NL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  <m:r>
                                  <a:rPr lang="nl-NL" i="1" baseline="-25000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nl-NL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  <m:r>
                                      <a:rPr lang="nl-NL" i="1" baseline="-25000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𝑗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nary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≤</m:t>
                    </m:r>
                    <m:r>
                      <a:rPr lang="de-DE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𝑊</m:t>
                    </m:r>
                    <m:r>
                      <a:rPr lang="de-DE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de-DE" b="0">
                <a:solidFill>
                  <a:srgbClr val="000000"/>
                </a:solidFill>
              </a:endParaRPr>
            </a:p>
            <a:p>
              <a:endParaRPr lang="de-DE" b="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21" name="Object 5">
              <a:extLst>
                <a:ext uri="{FF2B5EF4-FFF2-40B4-BE49-F238E27FC236}">
                  <a16:creationId xmlns:a16="http://schemas.microsoft.com/office/drawing/2014/main" id="{DEC19B7A-A264-4671-8C94-591CC3B252A3}"/>
                </a:ext>
              </a:extLst>
            </xdr:cNvPr>
            <xdr:cNvSpPr txBox="1"/>
          </xdr:nvSpPr>
          <xdr:spPr bwMode="auto">
            <a:xfrm>
              <a:off x="9927167" y="10829924"/>
              <a:ext cx="2709332" cy="719708"/>
            </a:xfrm>
            <a:prstGeom prst="rect">
              <a:avLst/>
            </a:prstGeom>
            <a:noFill/>
          </xdr:spPr>
          <xdr:txBody>
            <a:bodyPr wrap="square">
              <a:normAutofit/>
            </a:bodyPr>
            <a:lstStyle>
              <a:defPPr>
                <a:defRPr lang="nl-NL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∑_(𝑗=1)^𝑛▒(𝑟_𝑗/</a:t>
              </a:r>
              <a:r>
                <a:rPr lang="nl-NL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nl-NL" i="0" baseline="-25000">
                  <a:solidFill>
                    <a:srgbClr val="000000"/>
                  </a:solidFill>
                  <a:latin typeface="Cambria Math" panose="02040503050406030204" pitchFamily="18" charset="0"/>
                </a:rPr>
                <a:t>𝑗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+</a:t>
              </a:r>
              <a:r>
                <a:rPr lang="nl-NL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𝑄</a:t>
              </a:r>
              <a:r>
                <a:rPr lang="nl-NL" i="0" baseline="-25000">
                  <a:solidFill>
                    <a:srgbClr val="000000"/>
                  </a:solidFill>
                  <a:latin typeface="Cambria Math" panose="02040503050406030204" pitchFamily="18" charset="0"/>
                </a:rPr>
                <a:t>𝑗</a:t>
              </a:r>
              <a:r>
                <a:rPr lang="en-US" i="0" baseline="-25000">
                  <a:solidFill>
                    <a:srgbClr val="000000"/>
                  </a:solidFill>
                  <a:latin typeface="Cambria Math" panose="02040503050406030204" pitchFamily="18" charset="0"/>
                </a:rPr>
                <a:t>/〖</a:t>
              </a:r>
              <a:r>
                <a:rPr lang="nl-NL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nl-NL" i="0" baseline="-25000">
                  <a:solidFill>
                    <a:srgbClr val="000000"/>
                  </a:solidFill>
                  <a:latin typeface="Cambria Math" panose="02040503050406030204" pitchFamily="18" charset="0"/>
                </a:rPr>
                <a:t>𝑗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𝑝〗_𝑗 ) ≤</a:t>
              </a:r>
              <a:r>
                <a:rPr lang="de-DE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  </a:t>
              </a:r>
              <a:endParaRPr lang="de-DE" b="0">
                <a:solidFill>
                  <a:srgbClr val="000000"/>
                </a:solidFill>
              </a:endParaRPr>
            </a:p>
            <a:p>
              <a:endParaRPr lang="de-DE" b="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393700</xdr:colOff>
          <xdr:row>5</xdr:row>
          <xdr:rowOff>146050</xdr:rowOff>
        </xdr:from>
        <xdr:to>
          <xdr:col>8</xdr:col>
          <xdr:colOff>679450</xdr:colOff>
          <xdr:row>8</xdr:row>
          <xdr:rowOff>171450</xdr:rowOff>
        </xdr:to>
        <xdr:sp macro="" textlink="">
          <xdr:nvSpPr>
            <xdr:cNvPr id="4098" name="Object 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91931</xdr:colOff>
      <xdr:row>21</xdr:row>
      <xdr:rowOff>140999</xdr:rowOff>
    </xdr:from>
    <xdr:to>
      <xdr:col>2</xdr:col>
      <xdr:colOff>740109</xdr:colOff>
      <xdr:row>24</xdr:row>
      <xdr:rowOff>171638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888567" y="4063567"/>
              <a:ext cx="1444815" cy="59348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+2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𝜆</m:t>
                            </m:r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3073"/>
                </a:ex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888567" y="4063567"/>
              <a:ext cx="1444815" cy="59348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〖𝑄_𝑖〗^∗ (𝜆)=√((2𝑑_𝑖 𝐴_𝑖)/(ℎ_𝑖+2𝜆𝑎_𝑖 ))</a:t>
              </a:r>
              <a:endParaRPr lang="en-US"/>
            </a:p>
          </xdr:txBody>
        </xdr:sp>
      </mc:Fallback>
    </mc:AlternateContent>
    <xdr:clientData/>
  </xdr:twoCellAnchor>
  <xdr:twoCellAnchor>
    <xdr:from>
      <xdr:col>6</xdr:col>
      <xdr:colOff>341312</xdr:colOff>
      <xdr:row>1</xdr:row>
      <xdr:rowOff>7936</xdr:rowOff>
    </xdr:from>
    <xdr:to>
      <xdr:col>10</xdr:col>
      <xdr:colOff>793750</xdr:colOff>
      <xdr:row>6</xdr:row>
      <xdr:rowOff>28573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2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 bwMode="auto">
            <a:xfrm>
              <a:off x="5294312" y="190499"/>
              <a:ext cx="4079876" cy="989012"/>
            </a:xfrm>
            <a:prstGeom prst="rect">
              <a:avLst/>
            </a:prstGeom>
            <a:noFill/>
          </xdr:spPr>
          <xdr:txBody>
            <a:bodyPr wrap="square">
              <a:normAutofit fontScale="77500" lnSpcReduction="20000"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𝑄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𝜆</m:t>
                    </m:r>
                    <m:d>
                      <m:dPr>
                        <m:begChr m:val="["/>
                        <m:endChr m:val="]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</m: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8" name="Object 2">
              <a:extLst>
                <a:ext uri="{FF2B5EF4-FFF2-40B4-BE49-F238E27FC236}">
                  <a16:creationId xmlns:a16="http://schemas.microsoft.com/office/drawing/2014/main" id="{BFB31B56-D99C-42EC-B36D-89DB748C01F1}"/>
                </a:ext>
              </a:extLst>
            </xdr:cNvPr>
            <xdr:cNvSpPr txBox="1"/>
          </xdr:nvSpPr>
          <xdr:spPr bwMode="auto">
            <a:xfrm>
              <a:off x="5294312" y="190499"/>
              <a:ext cx="4079876" cy="989012"/>
            </a:xfrm>
            <a:prstGeom prst="rect">
              <a:avLst/>
            </a:prstGeom>
            <a:noFill/>
          </xdr:spPr>
          <xdr:txBody>
            <a:bodyPr wrap="square">
              <a:normAutofit fontScale="77500" lnSpcReduction="20000"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𝐿=∑_(𝑖=1)^𝑁▒[𝑑_𝑖/𝑄_𝑖  𝐴_𝑖+ℎ_𝑖/2 𝑄_𝑖 ] +𝜆[∑_(𝑖=1)^𝑁▒〖𝑎_𝑖 𝑄_𝑖 〗−𝑊]</a:t>
              </a:r>
              <a:endParaRPr lang="en-US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127000</xdr:rowOff>
        </xdr:from>
        <xdr:to>
          <xdr:col>9</xdr:col>
          <xdr:colOff>12700</xdr:colOff>
          <xdr:row>25</xdr:row>
          <xdr:rowOff>88900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396875</xdr:colOff>
      <xdr:row>2</xdr:row>
      <xdr:rowOff>47625</xdr:rowOff>
    </xdr:from>
    <xdr:to>
      <xdr:col>14</xdr:col>
      <xdr:colOff>547688</xdr:colOff>
      <xdr:row>15</xdr:row>
      <xdr:rowOff>24190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/>
          </xdr:nvSpPr>
          <xdr:spPr>
            <a:xfrm>
              <a:off x="6151563" y="468313"/>
              <a:ext cx="6096000" cy="240544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1"/>
              <a:r>
                <a:rPr lang="de-DE" sz="1600"/>
                <a:t>Optimization </a:t>
              </a:r>
            </a:p>
            <a:p>
              <a:pPr lvl="1"/>
              <a:endParaRPr lang="de-DE" sz="1600"/>
            </a:p>
            <a:p>
              <a:pPr lvl="1"/>
              <a:r>
                <a:rPr lang="de-DE" sz="1600"/>
                <a:t>Obj :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de-DE" sz="1600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min</m:t>
                  </m:r>
                  <m:r>
                    <a:rPr lang="de-DE" sz="1600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 </m:t>
                  </m:r>
                  <m:nary>
                    <m:naryPr>
                      <m:chr m:val="∑"/>
                      <m:ctrlP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𝑁</m:t>
                      </m:r>
                    </m:sup>
                    <m:e>
                      <m:d>
                        <m:dPr>
                          <m:begChr m:val="["/>
                          <m:endChr m:val="]"/>
                          <m:ctrlPr>
                            <a:rPr lang="en-US" sz="16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sz="16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sz="1600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US" sz="1600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n-US" sz="1600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𝑄</m:t>
                                  </m:r>
                                </m:e>
                                <m:sub>
                                  <m:r>
                                    <a:rPr lang="en-US" sz="1600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den>
                          </m:f>
                          <m:sSub>
                            <m:sSubPr>
                              <m:ctrlPr>
                                <a:rPr lang="en-US" sz="16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𝐴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en-US" sz="16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+</m:t>
                          </m:r>
                          <m:f>
                            <m:fPr>
                              <m:ctrlPr>
                                <a:rPr lang="en-US" sz="16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US" sz="1600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h</m:t>
                                  </m:r>
                                </m:e>
                                <m:sub>
                                  <m:r>
                                    <a:rPr lang="en-US" sz="1600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sz="16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  <m:sSub>
                            <m:sSubPr>
                              <m:ctrlPr>
                                <a:rPr lang="en-US" sz="16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𝑄</m:t>
                              </m:r>
                            </m:e>
                            <m:sub>
                              <m:r>
                                <a:rPr lang="en-US" sz="16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e>
                      </m:d>
                    </m:e>
                  </m:nary>
                </m:oMath>
              </a14:m>
              <a:endParaRPr lang="de-DE" sz="1600"/>
            </a:p>
            <a:p>
              <a:pPr lvl="1"/>
              <a:endParaRPr lang="de-DE" sz="1600"/>
            </a:p>
            <a:p>
              <a:pPr lvl="1">
                <a:lnSpc>
                  <a:spcPct val="150000"/>
                </a:lnSpc>
              </a:pPr>
              <a:r>
                <a:rPr lang="de-DE" sz="1600"/>
                <a:t>S.t. 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𝑁</m:t>
                      </m:r>
                    </m:sup>
                    <m:e>
                      <m:sSub>
                        <m:sSubPr>
                          <m:ctrlPr>
                            <a:rPr lang="en-US" sz="16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sSub>
                        <m:sSubPr>
                          <m:ctrlPr>
                            <a:rPr lang="en-US" sz="16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𝑄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en-US" sz="160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≤</m:t>
                  </m:r>
                  <m:r>
                    <a:rPr lang="en-US" sz="160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𝑊</m:t>
                  </m:r>
                </m:oMath>
              </a14:m>
              <a:endParaRPr lang="de-DE" sz="1600">
                <a:solidFill>
                  <a:srgbClr val="000000"/>
                </a:solidFill>
              </a:endParaRPr>
            </a:p>
            <a:p>
              <a:pPr lvl="1">
                <a:lnSpc>
                  <a:spcPct val="150000"/>
                </a:lnSpc>
              </a:pPr>
              <a:r>
                <a:rPr lang="en-US" sz="1600">
                  <a:solidFill>
                    <a:srgbClr val="000000"/>
                  </a:solidFill>
                </a:rPr>
                <a:t>        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de-DE" sz="160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≥0     </m:t>
                  </m:r>
                  <m:r>
                    <a:rPr lang="de-DE" sz="160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</m:t>
                  </m:r>
                  <m:r>
                    <a:rPr lang="de-DE" sz="160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=1…</m:t>
                  </m:r>
                  <m:r>
                    <a:rPr lang="de-DE" sz="160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𝑁</m:t>
                  </m:r>
                </m:oMath>
              </a14:m>
              <a:r>
                <a:rPr lang="de-DE" sz="1600">
                  <a:solidFill>
                    <a:srgbClr val="000000"/>
                  </a:solidFill>
                </a:rPr>
                <a:t> </a:t>
              </a:r>
            </a:p>
            <a:p>
              <a:pPr lvl="1">
                <a:lnSpc>
                  <a:spcPct val="150000"/>
                </a:lnSpc>
              </a:pPr>
              <a14:m>
                <m:oMath xmlns:m="http://schemas.openxmlformats.org/officeDocument/2006/math">
                  <m:r>
                    <a:rPr lang="de-DE" sz="1600" i="1">
                      <a:solidFill>
                        <a:srgbClr val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∴ </m:t>
                  </m:r>
                </m:oMath>
              </a14:m>
              <a:r>
                <a:rPr lang="de-DE" sz="1600">
                  <a:solidFill>
                    <a:srgbClr val="000000"/>
                  </a:solidFill>
                </a:rPr>
                <a:t> Solution: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de-DE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∗</m:t>
                      </m:r>
                    </m:sup>
                  </m:sSubSup>
                </m:oMath>
              </a14:m>
              <a:r>
                <a:rPr lang="de-DE" sz="1600">
                  <a:solidFill>
                    <a:srgbClr val="000000"/>
                  </a:solidFill>
                </a:rPr>
                <a:t> = 67.94,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de-DE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b>
                    <m:sup>
                      <m:r>
                        <a:rPr lang="en-US" sz="16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∗</m:t>
                      </m:r>
                    </m:sup>
                  </m:sSubSup>
                </m:oMath>
              </a14:m>
              <a:r>
                <a:rPr lang="de-DE" sz="1600">
                  <a:solidFill>
                    <a:srgbClr val="000000"/>
                  </a:solidFill>
                </a:rPr>
                <a:t> = 96.18 and </a:t>
              </a:r>
              <a14:m>
                <m:oMath xmlns:m="http://schemas.openxmlformats.org/officeDocument/2006/math">
                  <m:r>
                    <a:rPr lang="de-DE" sz="16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</m:t>
                  </m:r>
                  <m:r>
                    <a:rPr lang="de-DE" sz="1600" b="0" i="1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=860.24</m:t>
                  </m:r>
                </m:oMath>
              </a14:m>
              <a:r>
                <a:rPr lang="de-DE" sz="1600">
                  <a:solidFill>
                    <a:srgbClr val="000000"/>
                  </a:solidFill>
                </a:rPr>
                <a:t> </a:t>
              </a:r>
              <a:endParaRPr lang="en-US" sz="1600"/>
            </a:p>
          </xdr:txBody>
        </xdr:sp>
      </mc:Choice>
      <mc:Fallback xmlns=""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B7B18D91-C2DF-4F55-9D5D-D0B4A4720614}"/>
                </a:ext>
              </a:extLst>
            </xdr:cNvPr>
            <xdr:cNvSpPr/>
          </xdr:nvSpPr>
          <xdr:spPr>
            <a:xfrm>
              <a:off x="6151563" y="468313"/>
              <a:ext cx="6096000" cy="240544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1"/>
              <a:r>
                <a:rPr lang="de-DE" sz="1600"/>
                <a:t>Optimization </a:t>
              </a:r>
            </a:p>
            <a:p>
              <a:pPr lvl="1"/>
              <a:endParaRPr lang="de-DE" sz="1600"/>
            </a:p>
            <a:p>
              <a:pPr lvl="1"/>
              <a:r>
                <a:rPr lang="de-DE" sz="1600"/>
                <a:t>Obj : </a:t>
              </a:r>
              <a:r>
                <a:rPr lang="de-D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min 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∑_(𝑖=1)^𝑁▒[𝑑_𝑖/𝑄_𝑖  𝐴_𝑖+ℎ_𝑖/2 𝑄_𝑖 ] </a:t>
              </a:r>
              <a:endParaRPr lang="de-DE" sz="1600"/>
            </a:p>
            <a:p>
              <a:pPr lvl="1"/>
              <a:endParaRPr lang="de-DE" sz="1600"/>
            </a:p>
            <a:p>
              <a:pPr lvl="1">
                <a:lnSpc>
                  <a:spcPct val="150000"/>
                </a:lnSpc>
              </a:pPr>
              <a:r>
                <a:rPr lang="de-DE" sz="1600"/>
                <a:t>S.t. : 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∑_(𝑖=1)^𝑁▒〖𝑎_𝑖 𝑄_𝑖 〗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𝑊</a:t>
              </a:r>
              <a:endParaRPr lang="de-DE" sz="1600">
                <a:solidFill>
                  <a:srgbClr val="000000"/>
                </a:solidFill>
              </a:endParaRPr>
            </a:p>
            <a:p>
              <a:pPr lvl="1">
                <a:lnSpc>
                  <a:spcPct val="150000"/>
                </a:lnSpc>
              </a:pPr>
              <a:r>
                <a:rPr lang="en-US" sz="1600">
                  <a:solidFill>
                    <a:srgbClr val="000000"/>
                  </a:solidFill>
                </a:rPr>
                <a:t>         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𝑄_𝑖</a:t>
              </a:r>
              <a:r>
                <a:rPr lang="de-DE" sz="16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≥0     𝑖=1…𝑁</a:t>
              </a:r>
              <a:r>
                <a:rPr lang="de-DE" sz="1600">
                  <a:solidFill>
                    <a:srgbClr val="000000"/>
                  </a:solidFill>
                </a:rPr>
                <a:t> </a:t>
              </a:r>
            </a:p>
            <a:p>
              <a:pPr lvl="1">
                <a:lnSpc>
                  <a:spcPct val="150000"/>
                </a:lnSpc>
              </a:pPr>
              <a:r>
                <a:rPr lang="de-DE" sz="16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∴ </a:t>
              </a:r>
              <a:r>
                <a:rPr lang="de-DE" sz="1600">
                  <a:solidFill>
                    <a:srgbClr val="000000"/>
                  </a:solidFill>
                </a:rPr>
                <a:t> Solution: 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𝑄_</a:t>
              </a:r>
              <a:r>
                <a:rPr lang="de-D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1^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∗</a:t>
              </a:r>
              <a:r>
                <a:rPr lang="de-DE" sz="1600">
                  <a:solidFill>
                    <a:srgbClr val="000000"/>
                  </a:solidFill>
                </a:rPr>
                <a:t> = 67.94, 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𝑄_</a:t>
              </a:r>
              <a:r>
                <a:rPr lang="de-DE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2^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∗</a:t>
              </a:r>
              <a:r>
                <a:rPr lang="de-DE" sz="1600">
                  <a:solidFill>
                    <a:srgbClr val="000000"/>
                  </a:solidFill>
                </a:rPr>
                <a:t> = 96.18 and </a:t>
              </a:r>
              <a:r>
                <a:rPr lang="de-DE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𝐶=860.24</a:t>
              </a:r>
              <a:r>
                <a:rPr lang="de-DE" sz="1600">
                  <a:solidFill>
                    <a:srgbClr val="000000"/>
                  </a:solidFill>
                </a:rPr>
                <a:t> </a:t>
              </a:r>
              <a:endParaRPr 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179387</xdr:colOff>
      <xdr:row>8</xdr:row>
      <xdr:rowOff>114300</xdr:rowOff>
    </xdr:from>
    <xdr:to>
      <xdr:col>2</xdr:col>
      <xdr:colOff>607284</xdr:colOff>
      <xdr:row>11</xdr:row>
      <xdr:rowOff>8161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979487" y="1676400"/>
              <a:ext cx="1227997" cy="43996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en-US">
                  <a:solidFill>
                    <a:srgbClr val="000000"/>
                  </a:solidFill>
                </a:rPr>
                <a:t>Step 1)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  <m:sSub>
                            <m:sSubPr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𝐴</m:t>
                              </m:r>
                            </m:e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h</m:t>
                              </m:r>
                            </m:e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3" name="Object 1">
              <a:extLst>
                <a:ext uri="{63B3BB69-23CF-44E3-9099-C40C66FF867C}">
                  <a14:compatExt xmlns:a14="http://schemas.microsoft.com/office/drawing/2010/main" spid="_x0000_s9217"/>
                </a:ext>
                <a:ext uri="{FF2B5EF4-FFF2-40B4-BE49-F238E27FC236}">
                  <a16:creationId xmlns:a16="http://schemas.microsoft.com/office/drawing/2014/main" id="{448EF7EF-A6F8-4177-A749-A5B1A4836882}"/>
                </a:ext>
              </a:extLst>
            </xdr:cNvPr>
            <xdr:cNvSpPr txBox="1"/>
          </xdr:nvSpPr>
          <xdr:spPr>
            <a:xfrm>
              <a:off x="979487" y="1676400"/>
              <a:ext cx="1227997" cy="43996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>
                  <a:solidFill>
                    <a:srgbClr val="000000"/>
                  </a:solidFill>
                </a:rPr>
                <a:t>Step 1) 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𝑇_𝑖=√((2𝐴_𝑖)/(ℎ_𝑖 𝑑_𝑖 ))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1</xdr:col>
      <xdr:colOff>200024</xdr:colOff>
      <xdr:row>12</xdr:row>
      <xdr:rowOff>95249</xdr:rowOff>
    </xdr:from>
    <xdr:to>
      <xdr:col>3</xdr:col>
      <xdr:colOff>239471</xdr:colOff>
      <xdr:row>14</xdr:row>
      <xdr:rowOff>170085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2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1000124" y="2381249"/>
              <a:ext cx="1642822" cy="43678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en-US">
                  <a:solidFill>
                    <a:srgbClr val="000000"/>
                  </a:solidFill>
                </a:rPr>
                <a:t>Step</a:t>
              </a:r>
              <a:r>
                <a:rPr lang="en-US" baseline="0">
                  <a:solidFill>
                    <a:srgbClr val="000000"/>
                  </a:solidFill>
                </a:rPr>
                <a:t> 1</a:t>
              </a:r>
              <a:r>
                <a:rPr lang="en-US">
                  <a:solidFill>
                    <a:srgbClr val="000000"/>
                  </a:solidFill>
                </a:rPr>
                <a:t>)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𝐴</m:t>
                              </m:r>
                            </m:e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h</m:t>
                              </m:r>
                            </m:e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h</m:t>
                              </m:r>
                            </m:e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(</m:t>
                          </m:r>
                          <m:sSub>
                            <m:sSubPr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𝐴</m:t>
                              </m:r>
                            </m:e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+</m:t>
                          </m:r>
                          <m:sSub>
                            <m:sSubPr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𝐴</m:t>
                              </m:r>
                            </m:e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sub>
                          </m:s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)</m:t>
                          </m:r>
                        </m:den>
                      </m:f>
                    </m:e>
                  </m:rad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4" name="Object 2">
              <a:extLst>
                <a:ext uri="{63B3BB69-23CF-44E3-9099-C40C66FF867C}">
                  <a14:compatExt xmlns:a14="http://schemas.microsoft.com/office/drawing/2010/main" spid="_x0000_s9218"/>
                </a:ext>
                <a:ext uri="{FF2B5EF4-FFF2-40B4-BE49-F238E27FC236}">
                  <a16:creationId xmlns:a16="http://schemas.microsoft.com/office/drawing/2014/main" id="{A144317C-3D6C-47CF-9751-B41BF0AC973C}"/>
                </a:ext>
              </a:extLst>
            </xdr:cNvPr>
            <xdr:cNvSpPr txBox="1"/>
          </xdr:nvSpPr>
          <xdr:spPr>
            <a:xfrm>
              <a:off x="1000124" y="2381249"/>
              <a:ext cx="1642822" cy="43678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>
                  <a:solidFill>
                    <a:srgbClr val="000000"/>
                  </a:solidFill>
                </a:rPr>
                <a:t>Step</a:t>
              </a:r>
              <a:r>
                <a:rPr lang="en-US" baseline="0">
                  <a:solidFill>
                    <a:srgbClr val="000000"/>
                  </a:solidFill>
                </a:rPr>
                <a:t> 1</a:t>
              </a:r>
              <a:r>
                <a:rPr lang="en-US">
                  <a:solidFill>
                    <a:srgbClr val="000000"/>
                  </a:solidFill>
                </a:rPr>
                <a:t>) 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𝑛_𝑖=√((𝐴_𝑖 ℎ_4 𝑑_4)/(ℎ_𝑖 𝑑_𝑖 (𝐴_0+𝐴_4)))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29</xdr:row>
      <xdr:rowOff>63500</xdr:rowOff>
    </xdr:from>
    <xdr:to>
      <xdr:col>3</xdr:col>
      <xdr:colOff>248576</xdr:colOff>
      <xdr:row>31</xdr:row>
      <xdr:rowOff>65337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3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800100" y="5426075"/>
              <a:ext cx="1848776" cy="36061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en-US">
                  <a:solidFill>
                    <a:srgbClr val="000000"/>
                  </a:solidFill>
                </a:rPr>
                <a:t>Step 3)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+1)&gt;=</m:t>
                  </m:r>
                  <m:f>
                    <m:f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  <m:sSub>
                        <m:sSub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𝐴</m:t>
                          </m:r>
                        </m:e>
                        <m: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h</m:t>
                          </m:r>
                        </m:e>
                        <m: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sSub>
                        <m:sSub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sSubSup>
                        <m:sSubSup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de-DE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  <m:sup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den>
                  </m:f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5" name="Object 3">
              <a:extLst>
                <a:ext uri="{63B3BB69-23CF-44E3-9099-C40C66FF867C}">
                  <a14:compatExt xmlns:a14="http://schemas.microsoft.com/office/drawing/2010/main" spid="_x0000_s9219"/>
                </a:ext>
                <a:ext uri="{FF2B5EF4-FFF2-40B4-BE49-F238E27FC236}">
                  <a16:creationId xmlns:a16="http://schemas.microsoft.com/office/drawing/2014/main" id="{A7DD56D8-9D94-4C04-934D-11D8E00705BD}"/>
                </a:ext>
              </a:extLst>
            </xdr:cNvPr>
            <xdr:cNvSpPr txBox="1"/>
          </xdr:nvSpPr>
          <xdr:spPr>
            <a:xfrm>
              <a:off x="800100" y="5426075"/>
              <a:ext cx="1848776" cy="36061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>
                  <a:solidFill>
                    <a:srgbClr val="000000"/>
                  </a:solidFill>
                </a:rPr>
                <a:t>Step 3) 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 (𝑛_𝑖+1)&gt;=(2𝐴_𝑖)/(ℎ_𝑖 𝑑_𝑖 𝑇_</a:t>
              </a:r>
              <a:r>
                <a:rPr lang="de-DE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2 )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1</xdr:col>
      <xdr:colOff>149225</xdr:colOff>
      <xdr:row>25</xdr:row>
      <xdr:rowOff>82550</xdr:rowOff>
    </xdr:from>
    <xdr:to>
      <xdr:col>3</xdr:col>
      <xdr:colOff>257024</xdr:colOff>
      <xdr:row>28</xdr:row>
      <xdr:rowOff>132095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4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949325" y="4721225"/>
              <a:ext cx="1711174" cy="5924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en-US">
                  <a:solidFill>
                    <a:srgbClr val="000000"/>
                  </a:solidFill>
                  <a:latin typeface="+mn-lt"/>
                </a:rPr>
                <a:t>Step 2)</a:t>
              </a:r>
              <a:r>
                <a:rPr lang="en-US" baseline="0">
                  <a:solidFill>
                    <a:srgbClr val="000000"/>
                  </a:solidFill>
                  <a:latin typeface="+mn-lt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𝑇</m:t>
                      </m:r>
                    </m:e>
                    <m:sup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∗</m:t>
                      </m:r>
                    </m:sup>
                  </m:sSup>
                  <m:r>
                    <a:rPr lang="en-US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2(</m:t>
                          </m:r>
                          <m:sSub>
                            <m:sSubPr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𝐴</m:t>
                              </m:r>
                            </m:e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+</m:t>
                          </m:r>
                          <m:nary>
                            <m:naryPr>
                              <m:chr m:val="∑"/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𝑁</m:t>
                              </m:r>
                            </m:sup>
                            <m:e>
                              <m:f>
                                <m:fPr>
                                  <m:ctrlP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b>
                                    <m:sSubPr>
                                      <m:ctrlP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𝐴</m:t>
                                      </m:r>
                                    </m:e>
                                    <m:sub>
                                      <m: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</m:num>
                                <m:den>
                                  <m:sSub>
                                    <m:sSubPr>
                                      <m:ctrlP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</m:den>
                              </m:f>
                            </m:e>
                          </m:nary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)</m:t>
                          </m:r>
                        </m:num>
                        <m:den>
                          <m:nary>
                            <m:naryPr>
                              <m:chr m:val="∑"/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𝑁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h</m:t>
                                  </m:r>
                                </m:e>
                                <m:sub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rad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6" name="Object 4">
              <a:extLst>
                <a:ext uri="{63B3BB69-23CF-44E3-9099-C40C66FF867C}">
                  <a14:compatExt xmlns:a14="http://schemas.microsoft.com/office/drawing/2010/main" spid="_x0000_s9220"/>
                </a:ext>
                <a:ext uri="{FF2B5EF4-FFF2-40B4-BE49-F238E27FC236}">
                  <a16:creationId xmlns:a16="http://schemas.microsoft.com/office/drawing/2014/main" id="{EB53ADCE-7C49-488B-8B93-EFBC09E24281}"/>
                </a:ext>
              </a:extLst>
            </xdr:cNvPr>
            <xdr:cNvSpPr txBox="1"/>
          </xdr:nvSpPr>
          <xdr:spPr>
            <a:xfrm>
              <a:off x="949325" y="4721225"/>
              <a:ext cx="1711174" cy="5924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>
                  <a:solidFill>
                    <a:srgbClr val="000000"/>
                  </a:solidFill>
                  <a:latin typeface="+mn-lt"/>
                </a:rPr>
                <a:t>Step 2)</a:t>
              </a:r>
              <a:r>
                <a:rPr lang="en-US" baseline="0">
                  <a:solidFill>
                    <a:srgbClr val="000000"/>
                  </a:solidFill>
                  <a:latin typeface="+mn-lt"/>
                </a:rPr>
                <a:t> 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𝑇^*=√((2(𝐴_0+∑24_(𝑖=1)^𝑁▒𝐴_𝑖/𝑛_𝑖 ))/(∑24_(𝑖=1)^𝑁▒〖ℎ_𝑖 𝑑_𝑖 𝑛_𝑖 〗))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16</xdr:col>
      <xdr:colOff>840015</xdr:colOff>
      <xdr:row>17</xdr:row>
      <xdr:rowOff>5744</xdr:rowOff>
    </xdr:from>
    <xdr:to>
      <xdr:col>20</xdr:col>
      <xdr:colOff>30520</xdr:colOff>
      <xdr:row>20</xdr:row>
      <xdr:rowOff>30663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5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12354682" y="3180744"/>
              <a:ext cx="2506263" cy="5614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2(</m:t>
                        </m:r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</m:e>
                    </m:rad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nary>
                      <m:naryPr>
                        <m:chr m:val="∑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=2</m:t>
                        </m:r>
                      </m:sub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rad>
                          <m:radPr>
                            <m:degHide m:val="on"/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rad>
                      </m:e>
                    </m:nary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7" name="Object 5">
              <a:extLst>
                <a:ext uri="{63B3BB69-23CF-44E3-9099-C40C66FF867C}">
                  <a14:compatExt xmlns:a14="http://schemas.microsoft.com/office/drawing/2010/main" spid="_x0000_s9221"/>
                </a:ex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12354682" y="3180744"/>
              <a:ext cx="2506263" cy="5614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𝐶=√(2(𝐴_0+𝐴_4)ℎ_4 𝑑_4 )+∑_(𝑖=2)^𝑁▒√(2𝐴_𝑖 ℎ_𝑖 𝑑_𝑖 )</a:t>
              </a:r>
              <a:endParaRPr lang="en-US"/>
            </a:p>
          </xdr:txBody>
        </xdr:sp>
      </mc:Fallback>
    </mc:AlternateContent>
    <xdr:clientData/>
  </xdr:twoCellAnchor>
  <xdr:twoCellAnchor>
    <xdr:from>
      <xdr:col>15</xdr:col>
      <xdr:colOff>723900</xdr:colOff>
      <xdr:row>37</xdr:row>
      <xdr:rowOff>66222</xdr:rowOff>
    </xdr:from>
    <xdr:to>
      <xdr:col>20</xdr:col>
      <xdr:colOff>679450</xdr:colOff>
      <xdr:row>42</xdr:row>
      <xdr:rowOff>104322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kt 6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1382829" y="6924222"/>
              <a:ext cx="4046764" cy="9452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nary>
                          <m:naryPr>
                            <m:chr m:val="∑"/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=2</m:t>
                            </m:r>
                          </m:sub>
                          <m:sup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nary>
                          <m:naryPr>
                            <m:chr m:val="∑"/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=2</m:t>
                            </m:r>
                          </m:sub>
                          <m:sup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8" name="Objekt 6">
              <a:extLst>
                <a:ext uri="{63B3BB69-23CF-44E3-9099-C40C66FF867C}">
                  <a14:compatExt xmlns:a14="http://schemas.microsoft.com/office/drawing/2010/main" spid="_x0000_s9222"/>
                </a:ex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1382829" y="6924222"/>
              <a:ext cx="4046764" cy="945243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𝐶=(𝐴_0+𝐴_1+∑_(𝑖=2)^𝑁▒𝐴_𝑖/𝑛_𝑖 )/𝑇_1 +(𝑇_1 (ℎ_1 𝑑_1+∑_(𝑖=2)^𝑁▒〖ℎ_𝑖 𝑑_𝑖 𝑛_𝑖)〗)/2</a:t>
              </a:r>
              <a:endParaRPr lang="en-US"/>
            </a:p>
          </xdr:txBody>
        </xdr:sp>
      </mc:Fallback>
    </mc:AlternateContent>
    <xdr:clientData/>
  </xdr:twoCellAnchor>
  <xdr:twoCellAnchor>
    <xdr:from>
      <xdr:col>15</xdr:col>
      <xdr:colOff>742950</xdr:colOff>
      <xdr:row>51</xdr:row>
      <xdr:rowOff>28575</xdr:rowOff>
    </xdr:from>
    <xdr:to>
      <xdr:col>20</xdr:col>
      <xdr:colOff>695325</xdr:colOff>
      <xdr:row>56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Objekt 6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10648950" y="9369425"/>
              <a:ext cx="3949700" cy="942975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nary>
                          <m:naryPr>
                            <m:chr m:val="∑"/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=2</m:t>
                            </m:r>
                          </m:sub>
                          <m:sup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nary>
                          <m:naryPr>
                            <m:chr m:val="∑"/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=2</m:t>
                            </m:r>
                          </m:sub>
                          <m:sup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9" name="Objekt 6">
              <a:extLst>
                <a:ext uri="{63B3BB69-23CF-44E3-9099-C40C66FF867C}">
                  <a14:compatExt xmlns:a14="http://schemas.microsoft.com/office/drawing/2010/main" spid="_x0000_s9223"/>
                </a:ext>
                <a:ext uri="{FF2B5EF4-FFF2-40B4-BE49-F238E27FC236}">
                  <a16:creationId xmlns:a16="http://schemas.microsoft.com/office/drawing/2014/main" id="{EE6CF3C8-8461-44C9-BBC1-CF2ECFAF5D50}"/>
                </a:ext>
              </a:extLst>
            </xdr:cNvPr>
            <xdr:cNvSpPr txBox="1"/>
          </xdr:nvSpPr>
          <xdr:spPr>
            <a:xfrm>
              <a:off x="10648950" y="9369425"/>
              <a:ext cx="3949700" cy="942975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𝐶=(𝐴_0+𝐴_1+∑24_(𝑖=2)^𝑁▒𝐴_𝑖/𝑛_𝑖 )/𝑇_1 +(𝑇_1 (ℎ_1 𝑑_1+∑24_(𝑖=2)^𝑁▒〖ℎ_𝑖 𝑑_𝑖 𝑛_𝑖)〗)/2</a:t>
              </a:r>
              <a:endParaRPr lang="en-US"/>
            </a:p>
          </xdr:txBody>
        </xdr:sp>
      </mc:Fallback>
    </mc:AlternateContent>
    <xdr:clientData/>
  </xdr:twoCellAnchor>
  <xdr:twoCellAnchor>
    <xdr:from>
      <xdr:col>15</xdr:col>
      <xdr:colOff>760185</xdr:colOff>
      <xdr:row>63</xdr:row>
      <xdr:rowOff>160564</xdr:rowOff>
    </xdr:from>
    <xdr:to>
      <xdr:col>20</xdr:col>
      <xdr:colOff>715735</xdr:colOff>
      <xdr:row>69</xdr:row>
      <xdr:rowOff>21771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Objekt 6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10666185" y="11679464"/>
              <a:ext cx="3952875" cy="94388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nary>
                          <m:naryPr>
                            <m:chr m:val="∑"/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=2</m:t>
                            </m:r>
                          </m:sub>
                          <m:sup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nary>
                          <m:naryPr>
                            <m:chr m:val="∑"/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=2</m:t>
                            </m:r>
                          </m:sub>
                          <m:sup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0" name="Objekt 6">
              <a:extLst>
                <a:ext uri="{63B3BB69-23CF-44E3-9099-C40C66FF867C}">
                  <a14:compatExt xmlns:a14="http://schemas.microsoft.com/office/drawing/2010/main" spid="_x0000_s9224"/>
                </a:ext>
                <a:ext uri="{FF2B5EF4-FFF2-40B4-BE49-F238E27FC236}">
                  <a16:creationId xmlns:a16="http://schemas.microsoft.com/office/drawing/2014/main" id="{A51948D9-2D27-497B-AB8A-06C127243D97}"/>
                </a:ext>
              </a:extLst>
            </xdr:cNvPr>
            <xdr:cNvSpPr txBox="1"/>
          </xdr:nvSpPr>
          <xdr:spPr>
            <a:xfrm>
              <a:off x="10666185" y="11679464"/>
              <a:ext cx="3952875" cy="94388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𝐶=(𝐴_0+𝐴_1+∑24_(𝑖=2)^𝑁▒𝐴_𝑖/𝑛_𝑖 )/𝑇_1 +(𝑇_1 (ℎ_1 𝑑_1+∑24_(𝑖=2)^𝑁▒〖ℎ_𝑖 𝑑_𝑖 𝑛_𝑖)〗)/2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0</xdr:col>
      <xdr:colOff>539750</xdr:colOff>
      <xdr:row>39</xdr:row>
      <xdr:rowOff>25400</xdr:rowOff>
    </xdr:from>
    <xdr:to>
      <xdr:col>3</xdr:col>
      <xdr:colOff>735320</xdr:colOff>
      <xdr:row>42</xdr:row>
      <xdr:rowOff>78120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9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539750" y="7197725"/>
              <a:ext cx="2592695" cy="595645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en-US">
                  <a:solidFill>
                    <a:srgbClr val="000000"/>
                  </a:solidFill>
                </a:rPr>
                <a:t>Step 4)</a:t>
              </a:r>
              <a:r>
                <a:rPr lang="en-US" baseline="0">
                  <a:solidFill>
                    <a:srgbClr val="000000"/>
                  </a:solidFill>
                </a:rPr>
                <a:t> </a:t>
              </a:r>
              <a:r>
                <a:rPr lang="en-US">
                  <a:solidFill>
                    <a:srgbClr val="000000"/>
                  </a:solidFill>
                </a:rPr>
                <a:t>Back to Step 2)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𝑇</m:t>
                      </m:r>
                    </m:e>
                    <m:sup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∗</m:t>
                      </m:r>
                    </m:sup>
                  </m:sSup>
                  <m:r>
                    <a:rPr lang="en-US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2(</m:t>
                          </m:r>
                          <m:sSub>
                            <m:sSubPr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𝐴</m:t>
                              </m:r>
                            </m:e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+</m:t>
                          </m:r>
                          <m:nary>
                            <m:naryPr>
                              <m:chr m:val="∑"/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𝑁</m:t>
                              </m:r>
                            </m:sup>
                            <m:e>
                              <m:f>
                                <m:fPr>
                                  <m:ctrlP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b>
                                    <m:sSubPr>
                                      <m:ctrlP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𝐴</m:t>
                                      </m:r>
                                    </m:e>
                                    <m:sub>
                                      <m: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</m:num>
                                <m:den>
                                  <m:sSub>
                                    <m:sSubPr>
                                      <m:ctrlP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</m:den>
                              </m:f>
                            </m:e>
                          </m:nary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)</m:t>
                          </m:r>
                        </m:num>
                        <m:den>
                          <m:nary>
                            <m:naryPr>
                              <m:chr m:val="∑"/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𝑁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h</m:t>
                                  </m:r>
                                </m:e>
                                <m:sub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rad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11" name="Object 9">
              <a:extLst>
                <a:ext uri="{63B3BB69-23CF-44E3-9099-C40C66FF867C}">
                  <a14:compatExt xmlns:a14="http://schemas.microsoft.com/office/drawing/2010/main" spid="_x0000_s9225"/>
                </a:ext>
                <a:ext uri="{FF2B5EF4-FFF2-40B4-BE49-F238E27FC236}">
                  <a16:creationId xmlns:a16="http://schemas.microsoft.com/office/drawing/2014/main" id="{3A6D5871-BC39-4E54-8FF4-D40785267CD5}"/>
                </a:ext>
              </a:extLst>
            </xdr:cNvPr>
            <xdr:cNvSpPr txBox="1"/>
          </xdr:nvSpPr>
          <xdr:spPr>
            <a:xfrm>
              <a:off x="539750" y="7197725"/>
              <a:ext cx="2592695" cy="595645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>
                  <a:solidFill>
                    <a:srgbClr val="000000"/>
                  </a:solidFill>
                </a:rPr>
                <a:t>Step 4)</a:t>
              </a:r>
              <a:r>
                <a:rPr lang="en-US" baseline="0">
                  <a:solidFill>
                    <a:srgbClr val="000000"/>
                  </a:solidFill>
                </a:rPr>
                <a:t> </a:t>
              </a:r>
              <a:r>
                <a:rPr lang="en-US">
                  <a:solidFill>
                    <a:srgbClr val="000000"/>
                  </a:solidFill>
                </a:rPr>
                <a:t>Back to Step 2) 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𝑇^*=√((2(𝐴_0+∑24_(𝑖=1)^𝑁▒𝐴_𝑖/𝑛_𝑖 ))/(∑24_(𝑖=1)^𝑁▒〖ℎ_𝑖 𝑑_𝑖 𝑛_𝑖 〗))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0</xdr:col>
      <xdr:colOff>533400</xdr:colOff>
      <xdr:row>42</xdr:row>
      <xdr:rowOff>142875</xdr:rowOff>
    </xdr:from>
    <xdr:to>
      <xdr:col>3</xdr:col>
      <xdr:colOff>926</xdr:colOff>
      <xdr:row>44</xdr:row>
      <xdr:rowOff>141537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ct 3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533400" y="7896225"/>
              <a:ext cx="1848776" cy="36378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en-US">
                  <a:solidFill>
                    <a:srgbClr val="000000"/>
                  </a:solidFill>
                </a:rPr>
                <a:t>Step 3)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+1)&gt;=</m:t>
                  </m:r>
                  <m:f>
                    <m:f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  <m:sSub>
                        <m:sSub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𝐴</m:t>
                          </m:r>
                        </m:e>
                        <m: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h</m:t>
                          </m:r>
                        </m:e>
                        <m: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sSub>
                        <m:sSub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sSubSup>
                        <m:sSubSup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de-DE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  <m:sup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den>
                  </m:f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12" name="Object 3">
              <a:extLst>
                <a:ext uri="{63B3BB69-23CF-44E3-9099-C40C66FF867C}">
                  <a14:compatExt xmlns:a14="http://schemas.microsoft.com/office/drawing/2010/main" spid="_x0000_s9219"/>
                </a:ext>
                <a:ext uri="{FF2B5EF4-FFF2-40B4-BE49-F238E27FC236}">
                  <a16:creationId xmlns:a16="http://schemas.microsoft.com/office/drawing/2014/main" id="{04BB0CA5-B808-4091-AF5B-5D5DEB6A6E82}"/>
                </a:ext>
              </a:extLst>
            </xdr:cNvPr>
            <xdr:cNvSpPr txBox="1"/>
          </xdr:nvSpPr>
          <xdr:spPr>
            <a:xfrm>
              <a:off x="533400" y="7896225"/>
              <a:ext cx="1848776" cy="363787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>
                  <a:solidFill>
                    <a:srgbClr val="000000"/>
                  </a:solidFill>
                </a:rPr>
                <a:t>Step 3) 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 (𝑛_𝑖+1)&gt;=(2𝐴_𝑖)/(ℎ_𝑖 𝑑_𝑖 𝑇_</a:t>
              </a:r>
              <a:r>
                <a:rPr lang="de-DE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2 )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0</xdr:col>
      <xdr:colOff>685800</xdr:colOff>
      <xdr:row>52</xdr:row>
      <xdr:rowOff>15875</xdr:rowOff>
    </xdr:from>
    <xdr:to>
      <xdr:col>3</xdr:col>
      <xdr:colOff>875020</xdr:colOff>
      <xdr:row>55</xdr:row>
      <xdr:rowOff>65420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ct 9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685800" y="9598025"/>
              <a:ext cx="2589520" cy="595645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en-US">
                  <a:solidFill>
                    <a:srgbClr val="000000"/>
                  </a:solidFill>
                </a:rPr>
                <a:t>Step 4)</a:t>
              </a:r>
              <a:r>
                <a:rPr lang="en-US" baseline="0">
                  <a:solidFill>
                    <a:srgbClr val="000000"/>
                  </a:solidFill>
                </a:rPr>
                <a:t> </a:t>
              </a:r>
              <a:r>
                <a:rPr lang="en-US">
                  <a:solidFill>
                    <a:srgbClr val="000000"/>
                  </a:solidFill>
                </a:rPr>
                <a:t>Back to Step 2)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𝑇</m:t>
                      </m:r>
                    </m:e>
                    <m:sup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∗</m:t>
                      </m:r>
                    </m:sup>
                  </m:sSup>
                  <m:r>
                    <a:rPr lang="en-US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2(</m:t>
                          </m:r>
                          <m:sSub>
                            <m:sSubPr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𝐴</m:t>
                              </m:r>
                            </m:e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+</m:t>
                          </m:r>
                          <m:nary>
                            <m:naryPr>
                              <m:chr m:val="∑"/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𝑁</m:t>
                              </m:r>
                            </m:sup>
                            <m:e>
                              <m:f>
                                <m:fPr>
                                  <m:ctrlP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b>
                                    <m:sSubPr>
                                      <m:ctrlP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𝐴</m:t>
                                      </m:r>
                                    </m:e>
                                    <m:sub>
                                      <m: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</m:num>
                                <m:den>
                                  <m:sSub>
                                    <m:sSubPr>
                                      <m:ctrlP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</m:den>
                              </m:f>
                            </m:e>
                          </m:nary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)</m:t>
                          </m:r>
                        </m:num>
                        <m:den>
                          <m:nary>
                            <m:naryPr>
                              <m:chr m:val="∑"/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𝑁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h</m:t>
                                  </m:r>
                                </m:e>
                                <m:sub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rad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14" name="Object 9">
              <a:extLst>
                <a:ext uri="{63B3BB69-23CF-44E3-9099-C40C66FF867C}">
                  <a14:compatExt xmlns:a14="http://schemas.microsoft.com/office/drawing/2010/main" spid="_x0000_s9225"/>
                </a:ext>
                <a:ext uri="{FF2B5EF4-FFF2-40B4-BE49-F238E27FC236}">
                  <a16:creationId xmlns:a16="http://schemas.microsoft.com/office/drawing/2014/main" id="{5BABBE13-639F-46F2-80F8-E0014F26F090}"/>
                </a:ext>
              </a:extLst>
            </xdr:cNvPr>
            <xdr:cNvSpPr txBox="1"/>
          </xdr:nvSpPr>
          <xdr:spPr>
            <a:xfrm>
              <a:off x="685800" y="9598025"/>
              <a:ext cx="2589520" cy="595645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>
                  <a:solidFill>
                    <a:srgbClr val="000000"/>
                  </a:solidFill>
                </a:rPr>
                <a:t>Step 4)</a:t>
              </a:r>
              <a:r>
                <a:rPr lang="en-US" baseline="0">
                  <a:solidFill>
                    <a:srgbClr val="000000"/>
                  </a:solidFill>
                </a:rPr>
                <a:t> </a:t>
              </a:r>
              <a:r>
                <a:rPr lang="en-US">
                  <a:solidFill>
                    <a:srgbClr val="000000"/>
                  </a:solidFill>
                </a:rPr>
                <a:t>Back to Step 2) 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𝑇^*=√((2(𝐴_0+∑24_(𝑖=1)^𝑁▒𝐴_𝑖/𝑛_𝑖 ))/(∑24_(𝑖=1)^𝑁▒〖ℎ_𝑖 𝑑_𝑖 𝑛_𝑖 〗))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0</xdr:col>
      <xdr:colOff>676275</xdr:colOff>
      <xdr:row>55</xdr:row>
      <xdr:rowOff>130175</xdr:rowOff>
    </xdr:from>
    <xdr:to>
      <xdr:col>3</xdr:col>
      <xdr:colOff>121576</xdr:colOff>
      <xdr:row>57</xdr:row>
      <xdr:rowOff>135187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Object 3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676275" y="10255250"/>
              <a:ext cx="1848776" cy="36696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en-US">
                  <a:solidFill>
                    <a:srgbClr val="000000"/>
                  </a:solidFill>
                </a:rPr>
                <a:t>Step 3)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+1)&gt;=</m:t>
                  </m:r>
                  <m:f>
                    <m:f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  <m:sSub>
                        <m:sSub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𝐴</m:t>
                          </m:r>
                        </m:e>
                        <m: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h</m:t>
                          </m:r>
                        </m:e>
                        <m: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sSub>
                        <m:sSub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sSubSup>
                        <m:sSubSup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de-DE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  <m:sup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den>
                  </m:f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15" name="Object 3">
              <a:extLst>
                <a:ext uri="{63B3BB69-23CF-44E3-9099-C40C66FF867C}">
                  <a14:compatExt xmlns:a14="http://schemas.microsoft.com/office/drawing/2010/main" spid="_x0000_s9219"/>
                </a:ext>
                <a:ext uri="{FF2B5EF4-FFF2-40B4-BE49-F238E27FC236}">
                  <a16:creationId xmlns:a16="http://schemas.microsoft.com/office/drawing/2014/main" id="{384549A2-EE3A-45C4-9BE3-EF36BEF6B5CE}"/>
                </a:ext>
              </a:extLst>
            </xdr:cNvPr>
            <xdr:cNvSpPr txBox="1"/>
          </xdr:nvSpPr>
          <xdr:spPr>
            <a:xfrm>
              <a:off x="676275" y="10255250"/>
              <a:ext cx="1848776" cy="36696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>
                  <a:solidFill>
                    <a:srgbClr val="000000"/>
                  </a:solidFill>
                </a:rPr>
                <a:t>Step 3) 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 (𝑛_𝑖+1)&gt;=(2𝐴_𝑖)/(ℎ_𝑖 𝑑_𝑖 𝑇_</a:t>
              </a:r>
              <a:r>
                <a:rPr lang="de-DE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2 )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0</xdr:col>
      <xdr:colOff>581025</xdr:colOff>
      <xdr:row>69</xdr:row>
      <xdr:rowOff>25400</xdr:rowOff>
    </xdr:from>
    <xdr:to>
      <xdr:col>3</xdr:col>
      <xdr:colOff>29501</xdr:colOff>
      <xdr:row>71</xdr:row>
      <xdr:rowOff>30412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3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581025" y="12703175"/>
              <a:ext cx="1848776" cy="36696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en-US">
                  <a:solidFill>
                    <a:srgbClr val="000000"/>
                  </a:solidFill>
                </a:rPr>
                <a:t>Step 3)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+1)&gt;=</m:t>
                  </m:r>
                  <m:f>
                    <m:f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  <m:sSub>
                        <m:sSub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𝐴</m:t>
                          </m:r>
                        </m:e>
                        <m: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h</m:t>
                          </m:r>
                        </m:e>
                        <m: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sSub>
                        <m:sSub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sSubSup>
                        <m:sSubSup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de-DE" b="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  <m:sup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den>
                  </m:f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16" name="Object 3">
              <a:extLst>
                <a:ext uri="{63B3BB69-23CF-44E3-9099-C40C66FF867C}">
                  <a14:compatExt xmlns:a14="http://schemas.microsoft.com/office/drawing/2010/main" spid="_x0000_s9219"/>
                </a:ext>
                <a:ext uri="{FF2B5EF4-FFF2-40B4-BE49-F238E27FC236}">
                  <a16:creationId xmlns:a16="http://schemas.microsoft.com/office/drawing/2014/main" id="{C1B84EBA-2B15-4DC6-9B77-B5B273BCD428}"/>
                </a:ext>
              </a:extLst>
            </xdr:cNvPr>
            <xdr:cNvSpPr txBox="1"/>
          </xdr:nvSpPr>
          <xdr:spPr>
            <a:xfrm>
              <a:off x="581025" y="12703175"/>
              <a:ext cx="1848776" cy="36696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>
                  <a:solidFill>
                    <a:srgbClr val="000000"/>
                  </a:solidFill>
                </a:rPr>
                <a:t>Step 3) 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 (𝑛_𝑖+1)&gt;=(2𝐴_𝑖)/(ℎ_𝑖 𝑑_𝑖 𝑇_</a:t>
              </a:r>
              <a:r>
                <a:rPr lang="de-DE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2 )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0</xdr:col>
      <xdr:colOff>730250</xdr:colOff>
      <xdr:row>65</xdr:row>
      <xdr:rowOff>47625</xdr:rowOff>
    </xdr:from>
    <xdr:to>
      <xdr:col>3</xdr:col>
      <xdr:colOff>41124</xdr:colOff>
      <xdr:row>68</xdr:row>
      <xdr:rowOff>93995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4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730250" y="12001500"/>
              <a:ext cx="1711174" cy="589295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en-US">
                  <a:solidFill>
                    <a:srgbClr val="000000"/>
                  </a:solidFill>
                  <a:latin typeface="+mn-lt"/>
                </a:rPr>
                <a:t>Step 2)</a:t>
              </a:r>
              <a:r>
                <a:rPr lang="en-US" baseline="0">
                  <a:solidFill>
                    <a:srgbClr val="000000"/>
                  </a:solidFill>
                  <a:latin typeface="+mn-lt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𝑇</m:t>
                      </m:r>
                    </m:e>
                    <m:sup>
                      <m: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∗</m:t>
                      </m:r>
                    </m:sup>
                  </m:sSup>
                  <m:r>
                    <a:rPr lang="en-US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2(</m:t>
                          </m:r>
                          <m:sSub>
                            <m:sSubPr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𝐴</m:t>
                              </m:r>
                            </m:e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+</m:t>
                          </m:r>
                          <m:nary>
                            <m:naryPr>
                              <m:chr m:val="∑"/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𝑁</m:t>
                              </m:r>
                            </m:sup>
                            <m:e>
                              <m:f>
                                <m:fPr>
                                  <m:ctrlP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sSub>
                                    <m:sSubPr>
                                      <m:ctrlP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𝐴</m:t>
                                      </m:r>
                                    </m:e>
                                    <m:sub>
                                      <m: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</m:num>
                                <m:den>
                                  <m:sSub>
                                    <m:sSubPr>
                                      <m:ctrlP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i="1">
                                          <a:solidFill>
                                            <a:srgbClr val="000000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</m:den>
                              </m:f>
                            </m:e>
                          </m:nary>
                          <m:r>
                            <a:rPr lang="en-US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)</m:t>
                          </m:r>
                        </m:num>
                        <m:den>
                          <m:nary>
                            <m:naryPr>
                              <m:chr m:val="∑"/>
                              <m:ctrlP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𝑁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h</m:t>
                                  </m:r>
                                </m:e>
                                <m:sub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rad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17" name="Object 4">
              <a:extLst>
                <a:ext uri="{63B3BB69-23CF-44E3-9099-C40C66FF867C}">
                  <a14:compatExt xmlns:a14="http://schemas.microsoft.com/office/drawing/2010/main" spid="_x0000_s9220"/>
                </a:ext>
                <a:ext uri="{FF2B5EF4-FFF2-40B4-BE49-F238E27FC236}">
                  <a16:creationId xmlns:a16="http://schemas.microsoft.com/office/drawing/2014/main" id="{4583686F-D020-42E4-A78B-162162FE668A}"/>
                </a:ext>
              </a:extLst>
            </xdr:cNvPr>
            <xdr:cNvSpPr txBox="1"/>
          </xdr:nvSpPr>
          <xdr:spPr>
            <a:xfrm>
              <a:off x="730250" y="12001500"/>
              <a:ext cx="1711174" cy="589295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>
                  <a:solidFill>
                    <a:srgbClr val="000000"/>
                  </a:solidFill>
                  <a:latin typeface="+mn-lt"/>
                </a:rPr>
                <a:t>Step 2)</a:t>
              </a:r>
              <a:r>
                <a:rPr lang="en-US" baseline="0">
                  <a:solidFill>
                    <a:srgbClr val="000000"/>
                  </a:solidFill>
                  <a:latin typeface="+mn-lt"/>
                </a:rPr>
                <a:t> </a:t>
              </a: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𝑇^*=√((2(𝐴_0+∑24_(𝑖=1)^𝑁▒𝐴_𝑖/𝑛_𝑖 ))/(∑24_(𝑖=1)^𝑁▒〖ℎ_𝑖 𝑑_𝑖 𝑛_𝑖 〗))</a:t>
              </a:r>
              <a:endParaRPr lang="en-US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9FBB-13CA-4D49-9A18-B1A0F89A7899}">
  <sheetPr>
    <pageSetUpPr fitToPage="1"/>
  </sheetPr>
  <dimension ref="A2:S59"/>
  <sheetViews>
    <sheetView topLeftCell="F50" zoomScale="130" zoomScaleNormal="100" workbookViewId="0">
      <selection activeCell="M59" sqref="M59"/>
    </sheetView>
  </sheetViews>
  <sheetFormatPr defaultColWidth="11.453125" defaultRowHeight="14.5"/>
  <cols>
    <col min="1" max="1" width="2.1796875" style="4" bestFit="1" customWidth="1"/>
    <col min="2" max="2" width="19.81640625" style="4" customWidth="1"/>
    <col min="3" max="3" width="14.81640625" style="4" bestFit="1" customWidth="1"/>
    <col min="4" max="4" width="12.453125" style="4" customWidth="1"/>
    <col min="5" max="7" width="10.26953125" style="4" customWidth="1"/>
    <col min="8" max="8" width="12.1796875" style="4" customWidth="1"/>
    <col min="9" max="12" width="10.26953125" style="4" customWidth="1"/>
    <col min="13" max="16384" width="11.453125" style="4"/>
  </cols>
  <sheetData>
    <row r="2" spans="1:14" ht="18.5">
      <c r="B2" s="5" t="s">
        <v>25</v>
      </c>
    </row>
    <row r="4" spans="1:14">
      <c r="A4" s="6"/>
      <c r="B4" s="6"/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</row>
    <row r="5" spans="1:14">
      <c r="A5" s="41" t="s">
        <v>1</v>
      </c>
      <c r="B5" s="19" t="s">
        <v>26</v>
      </c>
      <c r="C5" s="4">
        <v>200</v>
      </c>
      <c r="D5" s="4">
        <v>50</v>
      </c>
      <c r="E5" s="4">
        <v>800</v>
      </c>
      <c r="F5" s="4">
        <v>500</v>
      </c>
      <c r="G5" s="4">
        <v>20</v>
      </c>
      <c r="H5" s="4">
        <v>600</v>
      </c>
      <c r="I5" s="4">
        <v>100</v>
      </c>
      <c r="J5" s="4">
        <v>1000</v>
      </c>
      <c r="K5" s="4">
        <v>80</v>
      </c>
      <c r="L5" s="4">
        <v>450</v>
      </c>
    </row>
    <row r="6" spans="1:14">
      <c r="A6" s="41" t="s">
        <v>27</v>
      </c>
      <c r="B6" s="19" t="s">
        <v>28</v>
      </c>
      <c r="C6" s="4">
        <v>5000</v>
      </c>
      <c r="D6" s="4">
        <v>2000</v>
      </c>
      <c r="E6" s="4">
        <v>4000</v>
      </c>
      <c r="F6" s="4">
        <v>6400</v>
      </c>
      <c r="G6" s="4">
        <v>300</v>
      </c>
      <c r="H6" s="4">
        <v>36000</v>
      </c>
      <c r="I6" s="4">
        <v>2000</v>
      </c>
      <c r="J6" s="4">
        <v>6000</v>
      </c>
      <c r="K6" s="4">
        <v>900</v>
      </c>
      <c r="L6" s="4">
        <v>7250</v>
      </c>
    </row>
    <row r="7" spans="1:14">
      <c r="A7" s="41" t="s">
        <v>29</v>
      </c>
      <c r="B7" s="19" t="s">
        <v>30</v>
      </c>
      <c r="C7" s="4">
        <v>5.0000000000000001E-4</v>
      </c>
      <c r="D7" s="4">
        <v>6.0000000000000006E-4</v>
      </c>
      <c r="E7" s="4">
        <v>8.0000000000000004E-4</v>
      </c>
      <c r="F7" s="4">
        <v>4.0000000000000002E-4</v>
      </c>
      <c r="G7" s="4">
        <v>1E-4</v>
      </c>
      <c r="H7" s="4">
        <v>2.0000000000000001E-4</v>
      </c>
      <c r="I7" s="4">
        <v>1E-4</v>
      </c>
      <c r="J7" s="4">
        <v>6.0000000000000006E-4</v>
      </c>
      <c r="K7" s="4">
        <v>2.0000000000000001E-4</v>
      </c>
      <c r="L7" s="4">
        <v>1E-4</v>
      </c>
    </row>
    <row r="8" spans="1:14">
      <c r="A8" s="41" t="s">
        <v>2</v>
      </c>
      <c r="B8" s="19" t="s">
        <v>31</v>
      </c>
      <c r="C8" s="4">
        <v>75</v>
      </c>
      <c r="D8" s="4">
        <v>120</v>
      </c>
      <c r="E8" s="4">
        <v>110</v>
      </c>
      <c r="F8" s="4">
        <v>60</v>
      </c>
      <c r="G8" s="4">
        <v>200</v>
      </c>
      <c r="H8" s="4">
        <v>150</v>
      </c>
      <c r="I8" s="4">
        <v>80</v>
      </c>
      <c r="J8" s="4">
        <v>300</v>
      </c>
      <c r="K8" s="4">
        <v>115</v>
      </c>
      <c r="L8" s="4">
        <v>95</v>
      </c>
    </row>
    <row r="9" spans="1:14">
      <c r="A9" s="42" t="s">
        <v>3</v>
      </c>
      <c r="B9" s="23" t="s">
        <v>32</v>
      </c>
      <c r="C9" s="6">
        <v>8</v>
      </c>
      <c r="D9" s="6">
        <v>14</v>
      </c>
      <c r="E9" s="6">
        <v>5</v>
      </c>
      <c r="F9" s="6">
        <v>2</v>
      </c>
      <c r="G9" s="6">
        <v>25</v>
      </c>
      <c r="H9" s="6">
        <v>3</v>
      </c>
      <c r="I9" s="6">
        <v>6</v>
      </c>
      <c r="J9" s="6">
        <v>20</v>
      </c>
      <c r="K9" s="6">
        <v>15</v>
      </c>
      <c r="L9" s="6">
        <v>3</v>
      </c>
    </row>
    <row r="11" spans="1:14">
      <c r="B11" s="4" t="s">
        <v>33</v>
      </c>
      <c r="C11" s="12">
        <f>C9*C5*(C6-C5)/C6</f>
        <v>1536</v>
      </c>
      <c r="D11" s="12">
        <f t="shared" ref="D11:L11" si="0">D9*D5*(D6-D5)/D6</f>
        <v>682.5</v>
      </c>
      <c r="E11" s="12">
        <f t="shared" si="0"/>
        <v>3200</v>
      </c>
      <c r="F11" s="12">
        <f t="shared" si="0"/>
        <v>921.875</v>
      </c>
      <c r="G11" s="12">
        <f t="shared" si="0"/>
        <v>466.66666666666669</v>
      </c>
      <c r="H11" s="12">
        <f t="shared" si="0"/>
        <v>1770</v>
      </c>
      <c r="I11" s="12">
        <f t="shared" si="0"/>
        <v>570</v>
      </c>
      <c r="J11" s="12">
        <f t="shared" si="0"/>
        <v>16666.666666666668</v>
      </c>
      <c r="K11" s="12">
        <f t="shared" si="0"/>
        <v>1093.3333333333333</v>
      </c>
      <c r="L11" s="12">
        <f t="shared" si="0"/>
        <v>1266.2068965517242</v>
      </c>
    </row>
    <row r="12" spans="1:14">
      <c r="B12" s="4" t="s">
        <v>34</v>
      </c>
      <c r="C12" s="12">
        <f>C5/C6</f>
        <v>0.04</v>
      </c>
      <c r="D12" s="12">
        <f t="shared" ref="D12:L12" si="1">D5/D6</f>
        <v>2.5000000000000001E-2</v>
      </c>
      <c r="E12" s="12">
        <f t="shared" si="1"/>
        <v>0.2</v>
      </c>
      <c r="F12" s="12">
        <f t="shared" si="1"/>
        <v>7.8125E-2</v>
      </c>
      <c r="G12" s="12">
        <f t="shared" si="1"/>
        <v>6.6666666666666666E-2</v>
      </c>
      <c r="H12" s="12">
        <f t="shared" si="1"/>
        <v>1.6666666666666666E-2</v>
      </c>
      <c r="I12" s="12">
        <f t="shared" si="1"/>
        <v>0.05</v>
      </c>
      <c r="J12" s="12">
        <f t="shared" si="1"/>
        <v>0.16666666666666666</v>
      </c>
      <c r="K12" s="12">
        <f t="shared" si="1"/>
        <v>8.8888888888888892E-2</v>
      </c>
      <c r="L12" s="12">
        <f t="shared" si="1"/>
        <v>6.2068965517241378E-2</v>
      </c>
    </row>
    <row r="15" spans="1:14" ht="18.5">
      <c r="B15" s="43" t="s">
        <v>35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</row>
    <row r="16" spans="1:14">
      <c r="N16" s="8" t="s">
        <v>36</v>
      </c>
    </row>
    <row r="17" spans="2:19">
      <c r="B17" s="4" t="s">
        <v>37</v>
      </c>
      <c r="C17" s="9">
        <f>C18/C5</f>
        <v>0.3125</v>
      </c>
      <c r="D17" s="9">
        <f>D18/D5</f>
        <v>0.59299945332888093</v>
      </c>
      <c r="E17" s="9">
        <f>E18/E5</f>
        <v>0.26220221204253791</v>
      </c>
      <c r="F17" s="9">
        <f>F18/F5</f>
        <v>0.36079009344135782</v>
      </c>
      <c r="G17" s="9">
        <f>G18/G5</f>
        <v>0.92582009977255153</v>
      </c>
      <c r="H17" s="9">
        <f t="shared" ref="H17:L17" si="2">H18/H5</f>
        <v>0.41169348479630918</v>
      </c>
      <c r="I17" s="9">
        <f t="shared" si="2"/>
        <v>0.52981294282601754</v>
      </c>
      <c r="J17" s="10">
        <f t="shared" si="2"/>
        <v>0.18973665961010275</v>
      </c>
      <c r="K17" s="9">
        <f t="shared" si="2"/>
        <v>0.45865657485588995</v>
      </c>
      <c r="L17" s="9">
        <f t="shared" si="2"/>
        <v>0.38736864384064029</v>
      </c>
      <c r="N17" s="11">
        <f>MIN(C17:L17)</f>
        <v>0.18973665961010275</v>
      </c>
    </row>
    <row r="18" spans="2:19">
      <c r="B18" s="4" t="s">
        <v>38</v>
      </c>
      <c r="C18" s="12">
        <f>SQRT((2*C5*C8)/(C9*(1-C5/C6)))</f>
        <v>62.5</v>
      </c>
      <c r="D18" s="12">
        <f t="shared" ref="D18:L18" si="3">SQRT((2*D5*D8)/(D9*(1-D5/D6)))</f>
        <v>29.649972666444047</v>
      </c>
      <c r="E18" s="12">
        <f t="shared" si="3"/>
        <v>209.76176963403032</v>
      </c>
      <c r="F18" s="12">
        <f t="shared" si="3"/>
        <v>180.39504672067892</v>
      </c>
      <c r="G18" s="12">
        <f t="shared" si="3"/>
        <v>18.51640199545103</v>
      </c>
      <c r="H18" s="12">
        <f t="shared" si="3"/>
        <v>247.0160908777855</v>
      </c>
      <c r="I18" s="12">
        <f t="shared" si="3"/>
        <v>52.981294282601752</v>
      </c>
      <c r="J18" s="12">
        <f>SQRT((2*J5*J8)/(J9*(1-J5/J6)))</f>
        <v>189.73665961010275</v>
      </c>
      <c r="K18" s="12">
        <f t="shared" si="3"/>
        <v>36.692525988471196</v>
      </c>
      <c r="L18" s="12">
        <f t="shared" si="3"/>
        <v>174.31588972828814</v>
      </c>
    </row>
    <row r="19" spans="2:19">
      <c r="B19" s="4" t="s">
        <v>39</v>
      </c>
      <c r="C19" s="14">
        <f>C7+C18/C6</f>
        <v>1.3000000000000001E-2</v>
      </c>
      <c r="D19" s="14">
        <f t="shared" ref="D19:L19" si="4">D7+D18/D6</f>
        <v>1.5424986333222023E-2</v>
      </c>
      <c r="E19" s="14">
        <f t="shared" si="4"/>
        <v>5.3240442408507581E-2</v>
      </c>
      <c r="F19" s="14">
        <f t="shared" si="4"/>
        <v>2.8586726050106082E-2</v>
      </c>
      <c r="G19" s="14">
        <f t="shared" si="4"/>
        <v>6.1821339984836771E-2</v>
      </c>
      <c r="H19" s="14">
        <f t="shared" si="4"/>
        <v>7.0615580799384854E-3</v>
      </c>
      <c r="I19" s="14">
        <f t="shared" si="4"/>
        <v>2.6590647141300876E-2</v>
      </c>
      <c r="J19" s="14">
        <f t="shared" si="4"/>
        <v>3.2222776601683795E-2</v>
      </c>
      <c r="K19" s="14">
        <f t="shared" si="4"/>
        <v>4.0969473320523551E-2</v>
      </c>
      <c r="L19" s="14">
        <f t="shared" si="4"/>
        <v>2.4143570997005259E-2</v>
      </c>
    </row>
    <row r="20" spans="2:19">
      <c r="B20" s="4" t="s">
        <v>18</v>
      </c>
      <c r="C20" s="14">
        <f>(C5/C18)*C8 + (C9/2)*(C6-C5)*(C18/C6)</f>
        <v>480</v>
      </c>
      <c r="D20" s="14">
        <f t="shared" ref="D20:L20" si="5">(D5/D18)*D8 + (D9/2)*(D6-D5)*(D18/D6)</f>
        <v>404.72212689696124</v>
      </c>
      <c r="E20" s="14">
        <f t="shared" si="5"/>
        <v>839.04707853612126</v>
      </c>
      <c r="F20" s="14">
        <f t="shared" si="5"/>
        <v>332.60336739125182</v>
      </c>
      <c r="G20" s="14">
        <f t="shared" si="5"/>
        <v>432.04937989385735</v>
      </c>
      <c r="H20" s="14">
        <f t="shared" si="5"/>
        <v>728.69746808946707</v>
      </c>
      <c r="I20" s="14">
        <f t="shared" si="5"/>
        <v>301.99337741083002</v>
      </c>
      <c r="J20" s="14">
        <f t="shared" si="5"/>
        <v>3162.2776601683795</v>
      </c>
      <c r="K20" s="14">
        <f t="shared" si="5"/>
        <v>501.46452184243969</v>
      </c>
      <c r="L20" s="14">
        <f t="shared" si="5"/>
        <v>490.48884833890725</v>
      </c>
    </row>
    <row r="21" spans="2:19"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2:19">
      <c r="B22" s="48" t="s">
        <v>40</v>
      </c>
      <c r="C22" s="48"/>
      <c r="D22" s="48"/>
      <c r="E22" s="40">
        <f>SUM(C20:L20)</f>
        <v>7673.343828568215</v>
      </c>
      <c r="F22" s="14"/>
      <c r="G22" s="14"/>
      <c r="H22" s="14"/>
      <c r="I22" s="14"/>
      <c r="J22" s="14"/>
      <c r="K22" s="14"/>
      <c r="L22" s="14"/>
    </row>
    <row r="23" spans="2:19">
      <c r="B23" s="4" t="s">
        <v>41</v>
      </c>
      <c r="C23" s="14"/>
      <c r="D23" s="14"/>
      <c r="E23" s="14">
        <f>SUM(C19:L19)</f>
        <v>0.30306152091712441</v>
      </c>
      <c r="F23" s="14"/>
      <c r="G23" s="14"/>
      <c r="H23" s="14"/>
      <c r="I23" s="14"/>
      <c r="J23" s="45"/>
      <c r="K23" s="14"/>
      <c r="L23" s="14"/>
    </row>
    <row r="24" spans="2:19">
      <c r="B24" s="48" t="s">
        <v>42</v>
      </c>
      <c r="C24" s="48"/>
      <c r="D24" s="48"/>
      <c r="E24" s="40">
        <f>MIN(C17:L17)</f>
        <v>0.18973665961010275</v>
      </c>
      <c r="F24" s="14"/>
      <c r="G24" s="14"/>
      <c r="H24" s="14"/>
      <c r="I24" s="14"/>
      <c r="J24" s="14"/>
      <c r="K24" s="14"/>
      <c r="L24" s="14"/>
      <c r="P24" s="4" t="s">
        <v>43</v>
      </c>
      <c r="S24" s="4" t="s">
        <v>65</v>
      </c>
    </row>
    <row r="26" spans="2:19" ht="18.5">
      <c r="B26" s="43" t="s">
        <v>23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 spans="2:19" ht="15.5">
      <c r="B27" s="13"/>
    </row>
    <row r="28" spans="2:19" ht="15.5">
      <c r="B28" s="13"/>
    </row>
    <row r="29" spans="2:19">
      <c r="B29" s="4" t="s">
        <v>43</v>
      </c>
      <c r="E29" s="15">
        <f>SQRT(2*SUM(C8:L8)/SUM(C11:L11))</f>
        <v>0.30436996209177891</v>
      </c>
      <c r="P29" s="4" t="s">
        <v>55</v>
      </c>
    </row>
    <row r="30" spans="2:19">
      <c r="B30" s="4" t="s">
        <v>45</v>
      </c>
      <c r="E30" s="15">
        <f>SUM(C7:L7)/(1-SUM(C12:L12))</f>
        <v>1.7482759823702478E-2</v>
      </c>
    </row>
    <row r="31" spans="2:19">
      <c r="B31" s="48" t="s">
        <v>46</v>
      </c>
      <c r="C31" s="48"/>
      <c r="D31" s="48"/>
      <c r="E31" s="40">
        <f>MAX(E29,E30)</f>
        <v>0.30436996209177891</v>
      </c>
      <c r="F31" s="4" t="s">
        <v>44</v>
      </c>
    </row>
    <row r="33" spans="2:19">
      <c r="B33" s="4" t="s">
        <v>6</v>
      </c>
      <c r="C33" s="14">
        <f>C5*$E$31</f>
        <v>60.873992418355783</v>
      </c>
      <c r="D33" s="14">
        <f t="shared" ref="D33:L33" si="6">D5*$E$31</f>
        <v>15.218498104588946</v>
      </c>
      <c r="E33" s="14">
        <f t="shared" si="6"/>
        <v>243.49596967342313</v>
      </c>
      <c r="F33" s="14">
        <f t="shared" si="6"/>
        <v>152.18498104588946</v>
      </c>
      <c r="G33" s="14">
        <f t="shared" si="6"/>
        <v>6.0873992418355787</v>
      </c>
      <c r="H33" s="14">
        <f t="shared" si="6"/>
        <v>182.62197725506735</v>
      </c>
      <c r="I33" s="14">
        <f t="shared" si="6"/>
        <v>30.436996209177892</v>
      </c>
      <c r="J33" s="14">
        <f t="shared" si="6"/>
        <v>304.36996209177892</v>
      </c>
      <c r="K33" s="14">
        <f t="shared" si="6"/>
        <v>24.349596967342315</v>
      </c>
      <c r="L33" s="14">
        <f t="shared" si="6"/>
        <v>136.96648294130051</v>
      </c>
    </row>
    <row r="34" spans="2:19">
      <c r="B34" s="4" t="s">
        <v>47</v>
      </c>
      <c r="C34" s="14">
        <f>C8/$E$31+C11*$E$31/2</f>
        <v>480.16678023099905</v>
      </c>
      <c r="D34" s="14">
        <f t="shared" ref="D34:L34" si="7">D8/$E$31+D11*$E$31/2</f>
        <v>498.12328851504009</v>
      </c>
      <c r="E34" s="14">
        <f t="shared" si="7"/>
        <v>848.39422505213179</v>
      </c>
      <c r="F34" s="14">
        <f t="shared" si="7"/>
        <v>337.42404887728958</v>
      </c>
      <c r="G34" s="14">
        <f t="shared" si="7"/>
        <v>728.11472274011601</v>
      </c>
      <c r="H34" s="14">
        <f t="shared" si="7"/>
        <v>762.18871514025</v>
      </c>
      <c r="I34" s="14">
        <f t="shared" si="7"/>
        <v>349.58346516363736</v>
      </c>
      <c r="J34" s="14">
        <f t="shared" si="7"/>
        <v>3522.058948142876</v>
      </c>
      <c r="K34" s="14">
        <f t="shared" si="7"/>
        <v>544.21857493842549</v>
      </c>
      <c r="L34" s="14">
        <f t="shared" si="7"/>
        <v>504.81782838828155</v>
      </c>
    </row>
    <row r="35" spans="2:19">
      <c r="B35" s="48" t="s">
        <v>48</v>
      </c>
      <c r="C35" s="48"/>
      <c r="D35" s="48"/>
      <c r="E35" s="40">
        <f>SUM(C34:L34)</f>
        <v>8575.0905971890461</v>
      </c>
    </row>
    <row r="37" spans="2:19" ht="18.5">
      <c r="B37" s="43" t="s">
        <v>49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</row>
    <row r="38" spans="2:19" ht="15.5">
      <c r="B38" s="13"/>
    </row>
    <row r="39" spans="2:19">
      <c r="B39" s="47" t="s">
        <v>50</v>
      </c>
      <c r="C39" s="47"/>
      <c r="D39" s="46">
        <f>N17</f>
        <v>0.18973665961010275</v>
      </c>
      <c r="N39" s="4" t="s">
        <v>51</v>
      </c>
      <c r="Q39" s="4" t="s">
        <v>66</v>
      </c>
      <c r="S39" s="4" t="s">
        <v>55</v>
      </c>
    </row>
    <row r="40" spans="2:19" ht="17.5">
      <c r="B40" s="4" t="s">
        <v>52</v>
      </c>
      <c r="C40" s="8">
        <v>2</v>
      </c>
      <c r="D40" s="8">
        <v>4</v>
      </c>
      <c r="E40" s="8">
        <v>1</v>
      </c>
      <c r="F40" s="8">
        <v>2</v>
      </c>
      <c r="G40" s="8">
        <v>4</v>
      </c>
      <c r="H40" s="8">
        <v>2</v>
      </c>
      <c r="I40" s="8">
        <v>2</v>
      </c>
      <c r="J40" s="8">
        <v>1</v>
      </c>
      <c r="K40" s="8">
        <v>2</v>
      </c>
      <c r="L40" s="8">
        <v>2</v>
      </c>
      <c r="N40" s="16" t="s">
        <v>53</v>
      </c>
      <c r="O40" s="44" t="s">
        <v>54</v>
      </c>
    </row>
    <row r="41" spans="2:19">
      <c r="B41" s="4" t="s">
        <v>18</v>
      </c>
      <c r="C41" s="14">
        <f>C8/(C40*$D$39)+C9*(C6-C5)*C5/C6*C40*$D$39/2</f>
        <v>489.07786292164155</v>
      </c>
      <c r="D41" s="14">
        <f t="shared" ref="D41:L41" si="8">D8/(D40*$D$39)+D9*(D6-D5)*D5/D6*D40*$D$39/2</f>
        <v>417.10442337620918</v>
      </c>
      <c r="E41" s="14">
        <f t="shared" si="8"/>
        <v>883.32955974036736</v>
      </c>
      <c r="F41" s="14">
        <f t="shared" si="8"/>
        <v>333.02736608648246</v>
      </c>
      <c r="G41" s="14">
        <f t="shared" si="8"/>
        <v>440.61068731679421</v>
      </c>
      <c r="H41" s="14">
        <f t="shared" si="8"/>
        <v>731.11859503092933</v>
      </c>
      <c r="I41" s="14">
        <f t="shared" si="8"/>
        <v>318.96840665565054</v>
      </c>
      <c r="J41" s="14">
        <f t="shared" si="8"/>
        <v>3162.2776601683795</v>
      </c>
      <c r="K41" s="14">
        <f t="shared" si="8"/>
        <v>510.49702360651537</v>
      </c>
      <c r="L41" s="14">
        <f t="shared" si="8"/>
        <v>490.59284835699577</v>
      </c>
    </row>
    <row r="43" spans="2:19">
      <c r="B43" s="4" t="s">
        <v>55</v>
      </c>
      <c r="D43" s="17">
        <f>SUM(C41:L41)</f>
        <v>7776.6044332599658</v>
      </c>
    </row>
    <row r="45" spans="2:19">
      <c r="B45" s="4" t="s">
        <v>56</v>
      </c>
      <c r="C45" s="4">
        <f t="shared" ref="C45:L45" si="9">C8/C40</f>
        <v>37.5</v>
      </c>
      <c r="D45" s="4">
        <f t="shared" si="9"/>
        <v>30</v>
      </c>
      <c r="E45" s="4">
        <f t="shared" si="9"/>
        <v>110</v>
      </c>
      <c r="F45" s="4">
        <f t="shared" si="9"/>
        <v>30</v>
      </c>
      <c r="G45" s="4">
        <f t="shared" si="9"/>
        <v>50</v>
      </c>
      <c r="H45" s="4">
        <f t="shared" si="9"/>
        <v>75</v>
      </c>
      <c r="I45" s="4">
        <f t="shared" si="9"/>
        <v>40</v>
      </c>
      <c r="J45" s="4">
        <f t="shared" si="9"/>
        <v>300</v>
      </c>
      <c r="K45" s="4">
        <f t="shared" si="9"/>
        <v>57.5</v>
      </c>
      <c r="L45" s="4">
        <f t="shared" si="9"/>
        <v>47.5</v>
      </c>
    </row>
    <row r="46" spans="2:19">
      <c r="B46" s="4" t="s">
        <v>57</v>
      </c>
      <c r="C46" s="4">
        <f t="shared" ref="C46:L46" si="10">C9*(C6-C5)*C5/C6*C40</f>
        <v>3072</v>
      </c>
      <c r="D46" s="4">
        <f t="shared" si="10"/>
        <v>2730</v>
      </c>
      <c r="E46" s="4">
        <f t="shared" si="10"/>
        <v>3200</v>
      </c>
      <c r="F46" s="4">
        <f t="shared" si="10"/>
        <v>1843.75</v>
      </c>
      <c r="G46" s="4">
        <f t="shared" si="10"/>
        <v>1866.6666666666667</v>
      </c>
      <c r="H46" s="4">
        <f t="shared" si="10"/>
        <v>3540</v>
      </c>
      <c r="I46" s="4">
        <f t="shared" si="10"/>
        <v>1140</v>
      </c>
      <c r="J46" s="4">
        <f t="shared" si="10"/>
        <v>16666.666666666668</v>
      </c>
      <c r="K46" s="4">
        <f t="shared" si="10"/>
        <v>2186.6666666666665</v>
      </c>
      <c r="L46" s="4">
        <f t="shared" si="10"/>
        <v>2532.4137931034484</v>
      </c>
    </row>
    <row r="51" spans="2:14">
      <c r="B51" s="47" t="s">
        <v>58</v>
      </c>
      <c r="C51" s="47"/>
      <c r="D51" s="40">
        <f>SQRT(2*SUM(C45:L45)/SUM(C46:L46))</f>
        <v>0.20024956268771174</v>
      </c>
    </row>
    <row r="53" spans="2:14">
      <c r="B53" s="4" t="s">
        <v>6</v>
      </c>
      <c r="C53" s="14">
        <f>D51*C56*C5</f>
        <v>80.099825075084695</v>
      </c>
      <c r="D53" s="14">
        <f t="shared" ref="D53:K53" si="11">D56*$D$51*D5</f>
        <v>40.049912537542347</v>
      </c>
      <c r="E53" s="14">
        <f t="shared" si="11"/>
        <v>160.19965015016939</v>
      </c>
      <c r="F53" s="14">
        <f t="shared" si="11"/>
        <v>200.24956268771174</v>
      </c>
      <c r="G53" s="14">
        <f t="shared" si="11"/>
        <v>16.01996501501694</v>
      </c>
      <c r="H53" s="14">
        <f t="shared" si="11"/>
        <v>240.2994752252541</v>
      </c>
      <c r="I53" s="14">
        <f t="shared" si="11"/>
        <v>40.049912537542347</v>
      </c>
      <c r="J53" s="14">
        <f t="shared" si="11"/>
        <v>200.24956268771174</v>
      </c>
      <c r="K53" s="14">
        <f t="shared" si="11"/>
        <v>32.039930030033879</v>
      </c>
      <c r="L53" s="14">
        <f>L56*$D$51*L5</f>
        <v>180.22460641894057</v>
      </c>
    </row>
    <row r="55" spans="2:14">
      <c r="B55" s="4" t="s">
        <v>18</v>
      </c>
      <c r="C55" s="14">
        <f>C8/(C56*$D$51)+C9/2*(C6-C5)*C5/C6*C56*$D$51</f>
        <v>494.84965484945269</v>
      </c>
      <c r="D55" s="14">
        <f>D8/(D56*$D$51)+D9/2*(D6-D5)*D5/D6*D56*$D$51</f>
        <v>423.1537143176285</v>
      </c>
      <c r="E55" s="14">
        <f>E8/(E56*$D$51)+E9/2*(E6-E5)*E5/E6*E56*$D$51</f>
        <v>869.7138582129794</v>
      </c>
      <c r="F55" s="14">
        <f t="shared" ref="F55:L55" si="12">F8/(F56*$D$51)+F9/2*(F6-F5)*F5/F6*F56*$D$51</f>
        <v>334.41812685163626</v>
      </c>
      <c r="G55" s="14">
        <f t="shared" si="12"/>
        <v>436.58802725670097</v>
      </c>
      <c r="H55" s="14">
        <f t="shared" si="12"/>
        <v>728.97437907950484</v>
      </c>
      <c r="I55" s="14">
        <f t="shared" si="12"/>
        <v>313.89299906386503</v>
      </c>
      <c r="J55" s="14">
        <f t="shared" si="12"/>
        <v>3166.8769682199513</v>
      </c>
      <c r="K55" s="14">
        <f t="shared" si="12"/>
        <v>506.08122259896038</v>
      </c>
      <c r="L55" s="14">
        <f t="shared" si="12"/>
        <v>490.76139095074222</v>
      </c>
      <c r="M55" s="9"/>
    </row>
    <row r="56" spans="2:14">
      <c r="C56" s="8">
        <v>2</v>
      </c>
      <c r="D56" s="8">
        <v>4</v>
      </c>
      <c r="E56" s="8">
        <v>1</v>
      </c>
      <c r="F56" s="8">
        <v>2</v>
      </c>
      <c r="G56" s="8">
        <v>4</v>
      </c>
      <c r="H56" s="8">
        <v>2</v>
      </c>
      <c r="I56" s="8">
        <v>2</v>
      </c>
      <c r="J56" s="8">
        <v>1</v>
      </c>
      <c r="K56" s="8">
        <v>2</v>
      </c>
      <c r="L56" s="8">
        <v>2</v>
      </c>
    </row>
    <row r="57" spans="2:14">
      <c r="B57" s="48" t="s">
        <v>55</v>
      </c>
      <c r="C57" s="48"/>
      <c r="D57" s="32">
        <f>SUM(C55:L55)</f>
        <v>7765.3103414014222</v>
      </c>
    </row>
    <row r="58" spans="2:14">
      <c r="M58" s="4" t="s">
        <v>59</v>
      </c>
      <c r="N58" s="4" t="s">
        <v>67</v>
      </c>
    </row>
    <row r="59" spans="2:14">
      <c r="B59" s="4" t="s">
        <v>68</v>
      </c>
      <c r="C59" s="15">
        <f>C7/C56 + C53/(C56*C6)</f>
        <v>8.2599825075084701E-3</v>
      </c>
      <c r="D59" s="15">
        <f t="shared" ref="D59:L59" si="13">D7/D56 + D53/(D56*D6)</f>
        <v>5.1562390671927938E-3</v>
      </c>
      <c r="E59" s="15">
        <f t="shared" si="13"/>
        <v>4.0849912537542353E-2</v>
      </c>
      <c r="F59" s="15">
        <f t="shared" si="13"/>
        <v>1.5844497084977479E-2</v>
      </c>
      <c r="G59" s="15">
        <f t="shared" si="13"/>
        <v>1.3374970845847451E-2</v>
      </c>
      <c r="H59" s="15">
        <f t="shared" si="13"/>
        <v>3.4374927114618624E-3</v>
      </c>
      <c r="I59" s="15">
        <f t="shared" si="13"/>
        <v>1.0062478134385587E-2</v>
      </c>
      <c r="J59" s="15">
        <f t="shared" si="13"/>
        <v>3.3974927114618629E-2</v>
      </c>
      <c r="K59" s="15">
        <f t="shared" si="13"/>
        <v>1.7899961127796599E-2</v>
      </c>
      <c r="L59" s="15">
        <f t="shared" si="13"/>
        <v>1.2479283201306245E-2</v>
      </c>
      <c r="M59" s="40">
        <f>SUM(C59:L59)</f>
        <v>0.16133974433263748</v>
      </c>
    </row>
  </sheetData>
  <pageMargins left="0.7" right="0.7" top="0.78740157499999996" bottom="0.78740157499999996" header="0.3" footer="0.3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CEBF-4C38-43AE-B6D3-E72B9A879769}">
  <sheetPr>
    <pageSetUpPr fitToPage="1"/>
  </sheetPr>
  <dimension ref="D2:K31"/>
  <sheetViews>
    <sheetView showGridLines="0" topLeftCell="A10" zoomScale="97" zoomScaleNormal="110" workbookViewId="0">
      <selection activeCell="K19" sqref="K19"/>
    </sheetView>
  </sheetViews>
  <sheetFormatPr defaultColWidth="11.453125" defaultRowHeight="14.5"/>
  <cols>
    <col min="4" max="4" width="13.54296875" customWidth="1"/>
    <col min="7" max="8" width="12.7265625" bestFit="1" customWidth="1"/>
    <col min="9" max="9" width="15" bestFit="1" customWidth="1"/>
  </cols>
  <sheetData>
    <row r="2" spans="4:11" ht="18.5">
      <c r="D2" s="1" t="s">
        <v>64</v>
      </c>
    </row>
    <row r="4" spans="4:11">
      <c r="D4" s="21" t="s">
        <v>0</v>
      </c>
      <c r="E4" s="22">
        <v>1</v>
      </c>
      <c r="F4" s="22">
        <v>2</v>
      </c>
    </row>
    <row r="5" spans="4:11">
      <c r="D5" s="19" t="s">
        <v>1</v>
      </c>
      <c r="E5">
        <v>200</v>
      </c>
      <c r="F5">
        <v>250</v>
      </c>
    </row>
    <row r="6" spans="4:11">
      <c r="D6" s="19" t="s">
        <v>2</v>
      </c>
      <c r="E6">
        <v>150</v>
      </c>
      <c r="F6">
        <v>111</v>
      </c>
    </row>
    <row r="7" spans="4:11">
      <c r="D7" s="19" t="s">
        <v>3</v>
      </c>
      <c r="E7">
        <v>1</v>
      </c>
      <c r="F7">
        <v>2</v>
      </c>
    </row>
    <row r="8" spans="4:11">
      <c r="D8" s="23" t="s">
        <v>4</v>
      </c>
      <c r="E8" s="20">
        <v>3</v>
      </c>
      <c r="F8" s="20">
        <v>1</v>
      </c>
    </row>
    <row r="11" spans="4:11" ht="16" thickBot="1">
      <c r="D11" s="24" t="s">
        <v>12</v>
      </c>
      <c r="E11" s="25"/>
      <c r="F11" s="25"/>
    </row>
    <row r="12" spans="4:11" ht="15.5">
      <c r="D12" s="2"/>
    </row>
    <row r="13" spans="4:11">
      <c r="D13" t="s">
        <v>13</v>
      </c>
      <c r="E13" s="3">
        <f>SQRT((2*E5*E6)/(E7+2*$E$16*E8))</f>
        <v>244.94897427831782</v>
      </c>
      <c r="F13" s="3">
        <f>SQRT((2*F5*F6)/(F7+2*$E$16*F8))</f>
        <v>166.58331248957683</v>
      </c>
    </row>
    <row r="14" spans="4:11">
      <c r="E14" s="3"/>
      <c r="F14" s="3"/>
      <c r="I14" s="19" t="s">
        <v>14</v>
      </c>
    </row>
    <row r="15" spans="4:11" ht="15" thickBot="1">
      <c r="D15" s="33" t="s">
        <v>15</v>
      </c>
      <c r="E15" s="34"/>
      <c r="F15" s="34"/>
      <c r="I15" s="32">
        <f>E13*E8+F13*F8</f>
        <v>901.43023532453026</v>
      </c>
      <c r="J15" s="37" t="s">
        <v>11</v>
      </c>
      <c r="K15" s="38">
        <v>300</v>
      </c>
    </row>
    <row r="16" spans="4:11">
      <c r="D16" s="29" t="s">
        <v>16</v>
      </c>
      <c r="E16" s="31">
        <v>0</v>
      </c>
      <c r="F16" s="30"/>
    </row>
    <row r="17" spans="4:11">
      <c r="E17" s="30"/>
      <c r="F17" s="30"/>
      <c r="I17" s="19" t="s">
        <v>17</v>
      </c>
    </row>
    <row r="18" spans="4:11">
      <c r="D18" t="s">
        <v>18</v>
      </c>
      <c r="E18" s="3">
        <f>E$5/E13*E$6+E$7/2*E13</f>
        <v>244.94897427831782</v>
      </c>
      <c r="F18" s="3">
        <f>F$5/F13*F$6+F$7/2*F13</f>
        <v>333.16662497915365</v>
      </c>
      <c r="I18" s="32">
        <f>SUM(E18:F18)</f>
        <v>578.11559925747144</v>
      </c>
    </row>
    <row r="22" spans="4:11" ht="15.5">
      <c r="D22" s="36" t="s">
        <v>19</v>
      </c>
      <c r="E22" s="35"/>
      <c r="F22" s="35"/>
    </row>
    <row r="24" spans="4:11">
      <c r="D24" t="str">
        <f t="shared" ref="D24" si="0">D13</f>
        <v>Q*</v>
      </c>
      <c r="E24" s="3">
        <f>SQRT((2*E5*E6)/(E7+2*$E$26*E8))</f>
        <v>67.939873274407518</v>
      </c>
      <c r="F24" s="3">
        <f>SQRT((2*F5*F6)/(F7+2*$E$26*F8))</f>
        <v>96.180244424795305</v>
      </c>
      <c r="G24" s="3"/>
    </row>
    <row r="26" spans="4:11">
      <c r="D26" s="29" t="s">
        <v>20</v>
      </c>
      <c r="E26" s="3">
        <v>1.9997926356488989</v>
      </c>
    </row>
    <row r="27" spans="4:11">
      <c r="I27" s="19" t="s">
        <v>14</v>
      </c>
    </row>
    <row r="28" spans="4:11">
      <c r="D28" t="s">
        <v>9</v>
      </c>
      <c r="E28" s="3">
        <f>E8*E24</f>
        <v>203.81961982322255</v>
      </c>
      <c r="F28" s="3">
        <f>F8*F24</f>
        <v>96.180244424795305</v>
      </c>
      <c r="I28" s="32">
        <f>SUM(E28:F28)</f>
        <v>299.99986424801784</v>
      </c>
      <c r="J28" s="28" t="s">
        <v>21</v>
      </c>
      <c r="K28">
        <v>300</v>
      </c>
    </row>
    <row r="29" spans="4:11">
      <c r="E29" s="3"/>
      <c r="F29" s="3"/>
      <c r="I29" s="19" t="s">
        <v>17</v>
      </c>
    </row>
    <row r="30" spans="4:11">
      <c r="D30" t="s">
        <v>18</v>
      </c>
      <c r="E30" s="3">
        <f>E$5/E24*E$6+E$7/2*E24</f>
        <v>475.53684799764625</v>
      </c>
      <c r="F30" s="3">
        <f>F$5/F24*F$6+F$7/2*F24</f>
        <v>384.70103334520735</v>
      </c>
      <c r="I30" s="32">
        <f>SUM(E30:F30)</f>
        <v>860.2378813428536</v>
      </c>
    </row>
    <row r="31" spans="4:11">
      <c r="E31" s="3"/>
      <c r="F31" s="3"/>
    </row>
  </sheetData>
  <pageMargins left="0.7" right="0.7" top="0.78740157499999996" bottom="0.78740157499999996" header="0.3" footer="0.3"/>
  <pageSetup paperSize="9" scale="68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8" r:id="rId4">
          <objectPr defaultSize="0" autoPict="0" r:id="rId5">
            <anchor moveWithCells="1" sizeWithCells="1">
              <from>
                <xdr:col>6</xdr:col>
                <xdr:colOff>393700</xdr:colOff>
                <xdr:row>5</xdr:row>
                <xdr:rowOff>146050</xdr:rowOff>
              </from>
              <to>
                <xdr:col>8</xdr:col>
                <xdr:colOff>679450</xdr:colOff>
                <xdr:row>8</xdr:row>
                <xdr:rowOff>171450</xdr:rowOff>
              </to>
            </anchor>
          </objectPr>
        </oleObject>
      </mc:Choice>
      <mc:Fallback>
        <oleObject progId="Equation.3" shapeId="4098" r:id="rId4"/>
      </mc:Fallback>
    </mc:AlternateContent>
    <mc:AlternateContent xmlns:mc="http://schemas.openxmlformats.org/markup-compatibility/2006">
      <mc:Choice Requires="x14">
        <oleObject shapeId="4099" r:id="rId6">
          <objectPr defaultSize="0" autoPict="0" r:id="rId7">
            <anchor moveWithCells="1">
              <from>
                <xdr:col>8</xdr:col>
                <xdr:colOff>0</xdr:colOff>
                <xdr:row>22</xdr:row>
                <xdr:rowOff>127000</xdr:rowOff>
              </from>
              <to>
                <xdr:col>9</xdr:col>
                <xdr:colOff>12700</xdr:colOff>
                <xdr:row>25</xdr:row>
                <xdr:rowOff>88900</xdr:rowOff>
              </to>
            </anchor>
          </objectPr>
        </oleObject>
      </mc:Choice>
      <mc:Fallback>
        <oleObject shapeId="4099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F4DA8-D3BD-4232-9110-6F5F5AF6A243}">
  <sheetPr>
    <pageSetUpPr fitToPage="1"/>
  </sheetPr>
  <dimension ref="D2:H21"/>
  <sheetViews>
    <sheetView showGridLines="0" topLeftCell="B1" zoomScale="90" zoomScaleNormal="120" workbookViewId="0">
      <selection activeCell="E18" sqref="E18"/>
    </sheetView>
  </sheetViews>
  <sheetFormatPr defaultColWidth="11.453125" defaultRowHeight="14.5"/>
  <cols>
    <col min="4" max="4" width="13.54296875" customWidth="1"/>
    <col min="8" max="8" width="12.7265625" bestFit="1" customWidth="1"/>
    <col min="9" max="9" width="15" bestFit="1" customWidth="1"/>
  </cols>
  <sheetData>
    <row r="2" spans="4:6" ht="18.5">
      <c r="D2" s="1" t="s">
        <v>64</v>
      </c>
    </row>
    <row r="4" spans="4:6">
      <c r="D4" s="21" t="s">
        <v>0</v>
      </c>
      <c r="E4" s="22">
        <v>1</v>
      </c>
      <c r="F4" s="22">
        <v>2</v>
      </c>
    </row>
    <row r="5" spans="4:6">
      <c r="D5" s="19" t="s">
        <v>1</v>
      </c>
      <c r="E5">
        <v>200</v>
      </c>
      <c r="F5">
        <v>250</v>
      </c>
    </row>
    <row r="6" spans="4:6">
      <c r="D6" s="19" t="s">
        <v>2</v>
      </c>
      <c r="E6">
        <v>150</v>
      </c>
      <c r="F6">
        <v>111</v>
      </c>
    </row>
    <row r="7" spans="4:6">
      <c r="D7" s="19" t="s">
        <v>3</v>
      </c>
      <c r="E7">
        <v>1</v>
      </c>
      <c r="F7">
        <v>2</v>
      </c>
    </row>
    <row r="8" spans="4:6">
      <c r="D8" s="23" t="s">
        <v>4</v>
      </c>
      <c r="E8" s="20">
        <v>3</v>
      </c>
      <c r="F8" s="20">
        <v>1</v>
      </c>
    </row>
    <row r="10" spans="4:6" ht="16" thickBot="1">
      <c r="D10" s="24" t="s">
        <v>5</v>
      </c>
      <c r="E10" s="25"/>
      <c r="F10" s="25"/>
    </row>
    <row r="11" spans="4:6" ht="15.5">
      <c r="D11" s="2"/>
    </row>
    <row r="12" spans="4:6">
      <c r="D12" t="s">
        <v>6</v>
      </c>
      <c r="E12" s="3">
        <v>67.939907059103007</v>
      </c>
      <c r="F12" s="3">
        <v>96.180278634362196</v>
      </c>
    </row>
    <row r="13" spans="4:6">
      <c r="D13" t="s">
        <v>7</v>
      </c>
      <c r="E13" s="3">
        <f>E5/E12*E6+E7/2*E12</f>
        <v>475.53664531059974</v>
      </c>
      <c r="F13" s="3">
        <f>F5/F12*F6+F7/2*F12</f>
        <v>384.70096493320386</v>
      </c>
    </row>
    <row r="15" spans="4:6" ht="15.5">
      <c r="D15" s="27" t="s">
        <v>62</v>
      </c>
      <c r="E15" s="69">
        <f>SUM(E13:F13)</f>
        <v>860.2376102438036</v>
      </c>
      <c r="F15" s="69"/>
    </row>
    <row r="17" spans="4:8">
      <c r="D17" s="20" t="s">
        <v>61</v>
      </c>
      <c r="E17" s="20"/>
      <c r="F17" s="20"/>
    </row>
    <row r="18" spans="4:8">
      <c r="D18" t="s">
        <v>9</v>
      </c>
      <c r="E18" s="3">
        <f>E8*E12</f>
        <v>203.81972117730902</v>
      </c>
      <c r="F18" s="3">
        <f>F8*F12</f>
        <v>96.180278634362196</v>
      </c>
    </row>
    <row r="19" spans="4:8">
      <c r="H19" t="s">
        <v>60</v>
      </c>
    </row>
    <row r="20" spans="4:8">
      <c r="D20" s="19" t="s">
        <v>63</v>
      </c>
      <c r="F20">
        <f>SUM(E18:F18)</f>
        <v>299.99999981167122</v>
      </c>
      <c r="G20" s="28" t="s">
        <v>10</v>
      </c>
      <c r="H20" s="26">
        <v>300</v>
      </c>
    </row>
    <row r="21" spans="4:8">
      <c r="D21" s="19" t="s">
        <v>6</v>
      </c>
      <c r="E21" s="28" t="s">
        <v>11</v>
      </c>
      <c r="F21">
        <v>0</v>
      </c>
    </row>
  </sheetData>
  <mergeCells count="1">
    <mergeCell ref="E15:F15"/>
  </mergeCells>
  <pageMargins left="0.7" right="0.7" top="0.78740157499999996" bottom="0.78740157499999996" header="0.3" footer="0.3"/>
  <pageSetup paperSize="9" scale="6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6A26-0C5A-446B-96FF-45532F1AA0C9}">
  <sheetPr>
    <pageSetUpPr fitToPage="1"/>
  </sheetPr>
  <dimension ref="C3:S78"/>
  <sheetViews>
    <sheetView tabSelected="1" topLeftCell="C1" zoomScale="93" zoomScaleNormal="130" workbookViewId="0">
      <selection activeCell="Q55" sqref="Q55"/>
    </sheetView>
  </sheetViews>
  <sheetFormatPr defaultColWidth="11.453125" defaultRowHeight="14.5"/>
  <cols>
    <col min="1" max="3" width="11.453125" style="4"/>
    <col min="4" max="4" width="22.453125" style="4" bestFit="1" customWidth="1"/>
    <col min="5" max="5" width="11.453125" style="4"/>
    <col min="6" max="15" width="8.453125" style="4" customWidth="1"/>
    <col min="16" max="16" width="11.453125" style="4"/>
    <col min="17" max="17" width="12.81640625" style="4" bestFit="1" customWidth="1"/>
    <col min="18" max="16384" width="11.453125" style="4"/>
  </cols>
  <sheetData>
    <row r="3" spans="3:19" ht="18.5">
      <c r="C3" s="5" t="s">
        <v>69</v>
      </c>
    </row>
    <row r="4" spans="3:19">
      <c r="G4" s="8" t="s">
        <v>70</v>
      </c>
      <c r="I4" s="8">
        <v>30</v>
      </c>
      <c r="K4" s="8" t="s">
        <v>71</v>
      </c>
      <c r="L4" s="8"/>
      <c r="M4" s="8">
        <v>15</v>
      </c>
    </row>
    <row r="6" spans="3:19" ht="15.5">
      <c r="E6" s="56" t="s">
        <v>0</v>
      </c>
      <c r="F6" s="56">
        <v>1</v>
      </c>
      <c r="G6" s="56">
        <v>2</v>
      </c>
      <c r="H6" s="56">
        <v>3</v>
      </c>
      <c r="I6" s="56">
        <v>4</v>
      </c>
      <c r="J6" s="56">
        <v>5</v>
      </c>
      <c r="K6" s="57">
        <v>6</v>
      </c>
      <c r="L6" s="57">
        <v>7</v>
      </c>
      <c r="M6" s="57">
        <v>8</v>
      </c>
      <c r="N6" s="57">
        <v>9</v>
      </c>
      <c r="O6" s="57">
        <v>10</v>
      </c>
    </row>
    <row r="7" spans="3:19" ht="15.5">
      <c r="E7" s="58" t="s">
        <v>72</v>
      </c>
      <c r="F7" s="59">
        <v>8</v>
      </c>
      <c r="G7" s="59">
        <v>25</v>
      </c>
      <c r="H7" s="59">
        <v>4</v>
      </c>
      <c r="I7" s="59">
        <v>63</v>
      </c>
      <c r="J7" s="59">
        <v>67</v>
      </c>
      <c r="K7" s="59">
        <v>46</v>
      </c>
      <c r="L7" s="59">
        <v>54</v>
      </c>
      <c r="M7" s="59">
        <v>2</v>
      </c>
      <c r="N7" s="59">
        <v>83</v>
      </c>
      <c r="O7" s="59">
        <v>82</v>
      </c>
    </row>
    <row r="8" spans="3:19" ht="15.5">
      <c r="E8" s="60" t="s">
        <v>32</v>
      </c>
      <c r="F8" s="59">
        <v>1</v>
      </c>
      <c r="G8" s="59">
        <v>2</v>
      </c>
      <c r="H8" s="59">
        <v>0.6</v>
      </c>
      <c r="I8" s="59">
        <v>5.2</v>
      </c>
      <c r="J8" s="59">
        <v>1.6</v>
      </c>
      <c r="K8" s="61">
        <v>0.4</v>
      </c>
      <c r="L8" s="61">
        <v>9.8000000000000004E-2</v>
      </c>
      <c r="M8" s="61">
        <v>12</v>
      </c>
      <c r="N8" s="61">
        <v>2</v>
      </c>
      <c r="O8" s="61">
        <v>1</v>
      </c>
    </row>
    <row r="9" spans="3:19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49" t="s">
        <v>73</v>
      </c>
    </row>
    <row r="10" spans="3:19">
      <c r="D10" s="19" t="s">
        <v>74</v>
      </c>
      <c r="E10" s="18"/>
      <c r="F10" s="4">
        <f>SQRT((2*$M$4)/(F8*F7))</f>
        <v>1.9364916731037085</v>
      </c>
      <c r="G10" s="4">
        <f t="shared" ref="G10:O10" si="0">SQRT((2*$M$4)/(G8*G7))</f>
        <v>0.7745966692414834</v>
      </c>
      <c r="H10" s="4">
        <f t="shared" si="0"/>
        <v>3.5355339059327378</v>
      </c>
      <c r="I10" s="50">
        <f t="shared" si="0"/>
        <v>0.30261376633440118</v>
      </c>
      <c r="J10" s="4">
        <f t="shared" si="0"/>
        <v>0.52900921189394867</v>
      </c>
      <c r="K10" s="4">
        <f t="shared" si="0"/>
        <v>1.2768847961381229</v>
      </c>
      <c r="L10" s="4">
        <f t="shared" si="0"/>
        <v>2.3809523809523809</v>
      </c>
      <c r="M10" s="4">
        <f t="shared" si="0"/>
        <v>1.1180339887498949</v>
      </c>
      <c r="N10" s="4">
        <f t="shared" si="0"/>
        <v>0.42511515094885183</v>
      </c>
      <c r="O10" s="4">
        <f t="shared" si="0"/>
        <v>0.60485837890913385</v>
      </c>
      <c r="Q10" s="68">
        <f>MIN(F10:O10)</f>
        <v>0.30261376633440118</v>
      </c>
    </row>
    <row r="11" spans="3:19">
      <c r="D11" s="6"/>
      <c r="E11" s="6" t="s">
        <v>18</v>
      </c>
      <c r="F11" s="6">
        <f>SQRT(2*($I$4+$M$4)*F7*F8)</f>
        <v>26.832815729997478</v>
      </c>
      <c r="G11" s="6">
        <f t="shared" ref="G11:O11" si="1">SQRT(2*($I$4+$M$4)*G7*G8)</f>
        <v>67.082039324993687</v>
      </c>
      <c r="H11" s="6">
        <f t="shared" si="1"/>
        <v>14.696938456699069</v>
      </c>
      <c r="I11" s="6">
        <f t="shared" si="1"/>
        <v>171.70905625505023</v>
      </c>
      <c r="J11" s="6">
        <f>SQRT(2*($I$4+$M$4)*J7*J8)</f>
        <v>98.224233262469397</v>
      </c>
      <c r="K11" s="6">
        <f t="shared" si="1"/>
        <v>40.693979898751607</v>
      </c>
      <c r="L11" s="6">
        <f t="shared" si="1"/>
        <v>21.823840175367856</v>
      </c>
      <c r="M11" s="6">
        <f t="shared" si="1"/>
        <v>46.475800154489001</v>
      </c>
      <c r="N11" s="6">
        <f t="shared" si="1"/>
        <v>122.22929272478018</v>
      </c>
      <c r="O11" s="6">
        <f t="shared" si="1"/>
        <v>85.906926379658117</v>
      </c>
      <c r="P11" s="6"/>
      <c r="Q11" s="6"/>
      <c r="R11" s="6" t="s">
        <v>8</v>
      </c>
      <c r="S11" s="62">
        <f>SUM(F11:O11)</f>
        <v>695.67492236225655</v>
      </c>
    </row>
    <row r="12" spans="3:19">
      <c r="D12" s="8" t="s">
        <v>75</v>
      </c>
      <c r="F12" s="4">
        <f>SQRT(($M$4*$I$8*$I$7)/(F8*F7*($I$4+$M$4)))</f>
        <v>3.6945906403822333</v>
      </c>
      <c r="G12" s="4">
        <f>SQRT(($M$4*$I$8*$I$7)/(G8*G7*($I$4+$M$4)))</f>
        <v>1.4778362561528933</v>
      </c>
      <c r="H12" s="4">
        <f t="shared" ref="H12:O12" si="2">SQRT(($M$4*$I$8*$I$7)/(H8*H7*($I$4+$M$4)))</f>
        <v>6.7453687816160208</v>
      </c>
      <c r="I12" s="4">
        <f>SQRT(($M$4*$I$8*$I$7)/(I8*I7*($I$4+$M$4)))</f>
        <v>0.57735026918962573</v>
      </c>
      <c r="J12" s="4">
        <f t="shared" si="2"/>
        <v>1.0092852502726424</v>
      </c>
      <c r="K12" s="4">
        <f t="shared" si="2"/>
        <v>2.4361409254588806</v>
      </c>
      <c r="L12" s="4">
        <f t="shared" si="2"/>
        <v>4.5425676257949794</v>
      </c>
      <c r="M12" s="4">
        <f t="shared" si="2"/>
        <v>2.1330729007701543</v>
      </c>
      <c r="N12" s="4">
        <f t="shared" si="2"/>
        <v>0.81106801521278404</v>
      </c>
      <c r="O12" s="4">
        <f t="shared" si="2"/>
        <v>1.1539962378938551</v>
      </c>
    </row>
    <row r="13" spans="3:19">
      <c r="E13" s="8" t="s">
        <v>76</v>
      </c>
      <c r="F13" s="63">
        <f>ROUND(F12,0)</f>
        <v>4</v>
      </c>
      <c r="G13" s="63">
        <f>ROUND(G12,0)</f>
        <v>1</v>
      </c>
      <c r="H13" s="63">
        <f t="shared" ref="H13:N13" si="3">ROUND(H12,0)</f>
        <v>7</v>
      </c>
      <c r="I13" s="63">
        <v>1</v>
      </c>
      <c r="J13" s="63">
        <f t="shared" si="3"/>
        <v>1</v>
      </c>
      <c r="K13" s="63">
        <f t="shared" si="3"/>
        <v>2</v>
      </c>
      <c r="L13" s="63">
        <f t="shared" si="3"/>
        <v>5</v>
      </c>
      <c r="M13" s="63">
        <f t="shared" si="3"/>
        <v>2</v>
      </c>
      <c r="N13" s="63">
        <f t="shared" si="3"/>
        <v>1</v>
      </c>
      <c r="O13" s="63">
        <f>ROUND(O12,0)</f>
        <v>1</v>
      </c>
    </row>
    <row r="15" spans="3:19"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3:19">
      <c r="E16" s="4" t="s">
        <v>77</v>
      </c>
      <c r="F16" s="4">
        <f>SQRT(2*$M$4*F7*F8)</f>
        <v>15.491933384829668</v>
      </c>
      <c r="G16" s="4">
        <f t="shared" ref="G16:O16" si="4">SQRT(2*$M$4*G7*G8)</f>
        <v>38.729833462074168</v>
      </c>
      <c r="H16" s="4">
        <f t="shared" si="4"/>
        <v>8.4852813742385695</v>
      </c>
      <c r="I16" s="4">
        <f>SQRT(2*$M$4*I7*I8)</f>
        <v>99.136269851149834</v>
      </c>
      <c r="J16" s="4">
        <f t="shared" si="4"/>
        <v>56.709787515031302</v>
      </c>
      <c r="K16" s="4">
        <f t="shared" si="4"/>
        <v>23.49468024894146</v>
      </c>
      <c r="L16" s="4">
        <f t="shared" si="4"/>
        <v>12.600000000000001</v>
      </c>
      <c r="M16" s="4">
        <f t="shared" si="4"/>
        <v>26.832815729997478</v>
      </c>
      <c r="N16" s="4">
        <f t="shared" si="4"/>
        <v>70.569115057509407</v>
      </c>
      <c r="O16" s="4">
        <f t="shared" si="4"/>
        <v>49.598387070548981</v>
      </c>
      <c r="Q16" s="4" t="s">
        <v>78</v>
      </c>
    </row>
    <row r="17" spans="4:19">
      <c r="R17" s="6" t="s">
        <v>8</v>
      </c>
      <c r="S17" s="62">
        <f>SQRT(2*(M4+I4)*I7*I8)+SUM(F16:H16,J16:O16)</f>
        <v>474.22089009822128</v>
      </c>
    </row>
    <row r="21" spans="4:19">
      <c r="D21" s="19" t="s">
        <v>79</v>
      </c>
      <c r="E21" s="18"/>
    </row>
    <row r="22" spans="4:19" ht="15.5">
      <c r="D22" s="7" t="s">
        <v>88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4:19">
      <c r="E23" s="4" t="s">
        <v>80</v>
      </c>
      <c r="F23" s="4">
        <f>$M$4/F13</f>
        <v>3.75</v>
      </c>
      <c r="G23" s="4">
        <f>$M$4/G13</f>
        <v>15</v>
      </c>
      <c r="H23" s="4">
        <f t="shared" ref="H23:O23" si="5">$M$4/H13</f>
        <v>2.1428571428571428</v>
      </c>
      <c r="I23" s="4">
        <f t="shared" si="5"/>
        <v>15</v>
      </c>
      <c r="J23" s="4">
        <f t="shared" si="5"/>
        <v>15</v>
      </c>
      <c r="K23" s="4">
        <f t="shared" si="5"/>
        <v>7.5</v>
      </c>
      <c r="L23" s="4">
        <f t="shared" si="5"/>
        <v>3</v>
      </c>
      <c r="M23" s="4">
        <f t="shared" si="5"/>
        <v>7.5</v>
      </c>
      <c r="N23" s="4">
        <f t="shared" si="5"/>
        <v>15</v>
      </c>
      <c r="O23" s="4">
        <f t="shared" si="5"/>
        <v>15</v>
      </c>
    </row>
    <row r="26" spans="4:19">
      <c r="E26" s="4" t="s">
        <v>81</v>
      </c>
      <c r="F26" s="4">
        <f>F$8*F$7*F13</f>
        <v>32</v>
      </c>
      <c r="G26" s="4">
        <f t="shared" ref="G26:O26" si="6">G$8*G$7*G13</f>
        <v>50</v>
      </c>
      <c r="H26" s="4">
        <f t="shared" si="6"/>
        <v>16.8</v>
      </c>
      <c r="I26" s="4">
        <f t="shared" si="6"/>
        <v>327.60000000000002</v>
      </c>
      <c r="J26" s="4">
        <f t="shared" si="6"/>
        <v>107.2</v>
      </c>
      <c r="K26" s="4">
        <f t="shared" si="6"/>
        <v>36.800000000000004</v>
      </c>
      <c r="L26" s="4">
        <f t="shared" si="6"/>
        <v>26.46</v>
      </c>
      <c r="M26" s="4">
        <f t="shared" si="6"/>
        <v>48</v>
      </c>
      <c r="N26" s="4">
        <f t="shared" si="6"/>
        <v>166</v>
      </c>
      <c r="O26" s="4">
        <f t="shared" si="6"/>
        <v>82</v>
      </c>
    </row>
    <row r="29" spans="4:19">
      <c r="E29" s="6" t="s">
        <v>24</v>
      </c>
      <c r="F29" s="51">
        <f>SQRT((2*(I4+SUM(F23:O23)))/(SUM(F26:O26)))</f>
        <v>0.537325856533032</v>
      </c>
    </row>
    <row r="31" spans="4:19">
      <c r="E31" s="4" t="s">
        <v>86</v>
      </c>
      <c r="F31" s="4">
        <f>(2*$M$4)/(F$8*F$7*$F$29*$F$29)</f>
        <v>12.988403990024938</v>
      </c>
      <c r="G31" s="4">
        <f>(2*$M$4)/(G$8*G$7*$F$29*$F$29)</f>
        <v>2.0781446384039901</v>
      </c>
      <c r="H31" s="4">
        <f t="shared" ref="H31:O31" si="7">(2*$M$4)/(H$8*H$7*$F$29*$F$29)</f>
        <v>43.294679966749797</v>
      </c>
      <c r="I31" s="4">
        <f t="shared" si="7"/>
        <v>0.31717714261355157</v>
      </c>
      <c r="J31" s="4">
        <f>(2*$M$4)/(J$8*J$7*$F$29*$F$29)</f>
        <v>0.96928387985260722</v>
      </c>
      <c r="K31" s="4">
        <f t="shared" si="7"/>
        <v>5.6471321695760599</v>
      </c>
      <c r="L31" s="4">
        <f>(2*$M$4)/(L$8*L$7*$F$29*$F$29)</f>
        <v>19.634775495124625</v>
      </c>
      <c r="M31" s="4">
        <f t="shared" si="7"/>
        <v>4.3294679966749801</v>
      </c>
      <c r="N31" s="4">
        <f t="shared" si="7"/>
        <v>0.62594718024216567</v>
      </c>
      <c r="O31" s="4">
        <f t="shared" si="7"/>
        <v>1.2671613648804818</v>
      </c>
    </row>
    <row r="32" spans="4:19">
      <c r="E32" s="4" t="s">
        <v>87</v>
      </c>
      <c r="F32" s="6">
        <f>F33*(F33+1)</f>
        <v>20</v>
      </c>
      <c r="G32" s="6">
        <f t="shared" ref="G32:O32" si="8">G33*(G33+1)</f>
        <v>6</v>
      </c>
      <c r="H32" s="6">
        <f>H33*(H33+1)</f>
        <v>56</v>
      </c>
      <c r="I32" s="6">
        <f t="shared" si="8"/>
        <v>2</v>
      </c>
      <c r="J32" s="6">
        <f t="shared" si="8"/>
        <v>2</v>
      </c>
      <c r="K32" s="6">
        <f t="shared" si="8"/>
        <v>6</v>
      </c>
      <c r="L32" s="6">
        <f t="shared" si="8"/>
        <v>20</v>
      </c>
      <c r="M32" s="6">
        <f t="shared" si="8"/>
        <v>6</v>
      </c>
      <c r="N32" s="6">
        <f t="shared" si="8"/>
        <v>2</v>
      </c>
      <c r="O32" s="6">
        <f t="shared" si="8"/>
        <v>2</v>
      </c>
    </row>
    <row r="33" spans="4:19">
      <c r="D33" s="6" t="s">
        <v>82</v>
      </c>
      <c r="E33" s="6"/>
      <c r="F33" s="51">
        <v>4</v>
      </c>
      <c r="G33" s="64">
        <v>2</v>
      </c>
      <c r="H33" s="51">
        <v>7</v>
      </c>
      <c r="I33" s="51">
        <v>1</v>
      </c>
      <c r="J33" s="51">
        <v>1</v>
      </c>
      <c r="K33" s="51">
        <v>2</v>
      </c>
      <c r="L33" s="64">
        <v>4</v>
      </c>
      <c r="M33" s="51">
        <v>2</v>
      </c>
      <c r="N33" s="51">
        <v>1</v>
      </c>
      <c r="O33" s="51">
        <v>1</v>
      </c>
      <c r="P33" s="6"/>
      <c r="Q33" s="6"/>
      <c r="R33" s="4" t="s">
        <v>83</v>
      </c>
    </row>
    <row r="35" spans="4:19" ht="15.5">
      <c r="D35" s="7" t="s">
        <v>89</v>
      </c>
    </row>
    <row r="36" spans="4:19">
      <c r="D36" s="65"/>
      <c r="E36" s="65" t="s">
        <v>80</v>
      </c>
      <c r="F36" s="65">
        <f>$M$4/F33</f>
        <v>3.75</v>
      </c>
      <c r="G36" s="65">
        <f t="shared" ref="G36:O36" si="9">$M$4/G33</f>
        <v>7.5</v>
      </c>
      <c r="H36" s="65">
        <f t="shared" si="9"/>
        <v>2.1428571428571428</v>
      </c>
      <c r="I36" s="65">
        <f t="shared" si="9"/>
        <v>15</v>
      </c>
      <c r="J36" s="65">
        <f t="shared" si="9"/>
        <v>15</v>
      </c>
      <c r="K36" s="65">
        <f t="shared" si="9"/>
        <v>7.5</v>
      </c>
      <c r="L36" s="65">
        <f t="shared" si="9"/>
        <v>3.75</v>
      </c>
      <c r="M36" s="65">
        <f>$M$4/M33</f>
        <v>7.5</v>
      </c>
      <c r="N36" s="65">
        <f t="shared" si="9"/>
        <v>15</v>
      </c>
      <c r="O36" s="65">
        <f t="shared" si="9"/>
        <v>15</v>
      </c>
    </row>
    <row r="37" spans="4:19">
      <c r="Q37" s="6" t="s">
        <v>22</v>
      </c>
      <c r="R37" s="6" t="s">
        <v>8</v>
      </c>
      <c r="S37" s="51">
        <f>($I$4+$M$4+SUM(F36:H36,J36:O36))/F29+(F29*(I39+SUM(F39:H39,J39:O39)))/2</f>
        <v>479.20593692293539</v>
      </c>
    </row>
    <row r="39" spans="4:19">
      <c r="E39" s="4" t="s">
        <v>81</v>
      </c>
      <c r="F39" s="4">
        <f>F$8*F$7*F33</f>
        <v>32</v>
      </c>
      <c r="G39" s="4">
        <f t="shared" ref="G39:O39" si="10">G$8*G$7*G33</f>
        <v>100</v>
      </c>
      <c r="H39" s="4">
        <f t="shared" si="10"/>
        <v>16.8</v>
      </c>
      <c r="I39" s="4">
        <f t="shared" si="10"/>
        <v>327.60000000000002</v>
      </c>
      <c r="J39" s="4">
        <f t="shared" si="10"/>
        <v>107.2</v>
      </c>
      <c r="K39" s="4">
        <f t="shared" si="10"/>
        <v>36.800000000000004</v>
      </c>
      <c r="L39" s="4">
        <f t="shared" si="10"/>
        <v>21.167999999999999</v>
      </c>
      <c r="M39" s="4">
        <f t="shared" si="10"/>
        <v>48</v>
      </c>
      <c r="N39" s="4">
        <f t="shared" si="10"/>
        <v>166</v>
      </c>
      <c r="O39" s="4">
        <f t="shared" si="10"/>
        <v>82</v>
      </c>
    </row>
    <row r="42" spans="4:19">
      <c r="E42" s="6" t="s">
        <v>24</v>
      </c>
      <c r="F42" s="52">
        <f>SQRT((2*(I4+SUM(F36:O36)))/(SUM(F39:O39)))</f>
        <v>0.5104434638899118</v>
      </c>
    </row>
    <row r="44" spans="4:19">
      <c r="E44" s="4" t="s">
        <v>86</v>
      </c>
      <c r="F44" s="4">
        <f>(2*$M$4)/(F$8*F$7*$F$42*$F$42)</f>
        <v>14.392491228070176</v>
      </c>
      <c r="G44" s="4">
        <f>(2*$M$4)/(G$8*G$7*$F$42*$F$42)</f>
        <v>2.3027985964912285</v>
      </c>
      <c r="H44" s="4">
        <f t="shared" ref="H44:O44" si="11">(2*$M$4)/(H$8*H$7*$F$42*$F$42)</f>
        <v>47.974970760233916</v>
      </c>
      <c r="I44" s="4">
        <f t="shared" si="11"/>
        <v>0.35146498725446096</v>
      </c>
      <c r="J44" s="4">
        <f t="shared" si="11"/>
        <v>1.074066509557476</v>
      </c>
      <c r="K44" s="4">
        <f t="shared" si="11"/>
        <v>6.2576048817696419</v>
      </c>
      <c r="L44" s="4">
        <f t="shared" si="11"/>
        <v>21.757356353847587</v>
      </c>
      <c r="M44" s="4">
        <f t="shared" si="11"/>
        <v>4.7974970760233928</v>
      </c>
      <c r="N44" s="4">
        <f t="shared" si="11"/>
        <v>0.69361403508771946</v>
      </c>
      <c r="O44" s="4">
        <f t="shared" si="11"/>
        <v>1.404145485665383</v>
      </c>
    </row>
    <row r="45" spans="4:19">
      <c r="D45" s="6"/>
      <c r="E45" s="4" t="s">
        <v>87</v>
      </c>
      <c r="F45" s="6">
        <f>F46*(F46+1)</f>
        <v>20</v>
      </c>
      <c r="G45" s="6">
        <f t="shared" ref="G45:O45" si="12">G46*(G46+1)</f>
        <v>6</v>
      </c>
      <c r="H45" s="6">
        <f t="shared" si="12"/>
        <v>56</v>
      </c>
      <c r="I45" s="6">
        <f t="shared" si="12"/>
        <v>2</v>
      </c>
      <c r="J45" s="6">
        <f t="shared" si="12"/>
        <v>2</v>
      </c>
      <c r="K45" s="6">
        <f t="shared" si="12"/>
        <v>12</v>
      </c>
      <c r="L45" s="6">
        <f t="shared" si="12"/>
        <v>30</v>
      </c>
      <c r="M45" s="6">
        <f t="shared" si="12"/>
        <v>6</v>
      </c>
      <c r="N45" s="6">
        <f t="shared" si="12"/>
        <v>2</v>
      </c>
      <c r="O45" s="6">
        <f t="shared" si="12"/>
        <v>2</v>
      </c>
      <c r="P45" s="6"/>
      <c r="Q45" s="6"/>
      <c r="R45" s="4" t="s">
        <v>84</v>
      </c>
    </row>
    <row r="46" spans="4:19">
      <c r="D46" s="4" t="s">
        <v>82</v>
      </c>
      <c r="E46" s="65"/>
      <c r="F46" s="53">
        <v>4</v>
      </c>
      <c r="G46" s="53">
        <v>2</v>
      </c>
      <c r="H46" s="53">
        <v>7</v>
      </c>
      <c r="I46" s="53">
        <v>1</v>
      </c>
      <c r="J46" s="53">
        <v>1</v>
      </c>
      <c r="K46" s="66">
        <v>3</v>
      </c>
      <c r="L46" s="66">
        <v>5</v>
      </c>
      <c r="M46" s="53">
        <v>2</v>
      </c>
      <c r="N46" s="53">
        <v>1</v>
      </c>
      <c r="O46" s="53">
        <v>1</v>
      </c>
    </row>
    <row r="48" spans="4:19" ht="15.5">
      <c r="D48" s="7" t="s">
        <v>90</v>
      </c>
    </row>
    <row r="49" spans="4:19">
      <c r="D49" s="65"/>
      <c r="E49" s="65" t="s">
        <v>80</v>
      </c>
      <c r="F49" s="65">
        <f>$M$4/F46</f>
        <v>3.75</v>
      </c>
      <c r="G49" s="65">
        <f t="shared" ref="G49:O49" si="13">$M$4/G46</f>
        <v>7.5</v>
      </c>
      <c r="H49" s="65">
        <f t="shared" si="13"/>
        <v>2.1428571428571428</v>
      </c>
      <c r="I49" s="65">
        <f t="shared" si="13"/>
        <v>15</v>
      </c>
      <c r="J49" s="65">
        <f t="shared" si="13"/>
        <v>15</v>
      </c>
      <c r="K49" s="65">
        <f t="shared" si="13"/>
        <v>5</v>
      </c>
      <c r="L49" s="65">
        <f t="shared" si="13"/>
        <v>3</v>
      </c>
      <c r="M49" s="65">
        <f t="shared" si="13"/>
        <v>7.5</v>
      </c>
      <c r="N49" s="65">
        <f t="shared" si="13"/>
        <v>15</v>
      </c>
      <c r="O49" s="65">
        <f t="shared" si="13"/>
        <v>15</v>
      </c>
    </row>
    <row r="50" spans="4:19">
      <c r="Q50" s="6" t="s">
        <v>22</v>
      </c>
      <c r="R50" s="6" t="s">
        <v>8</v>
      </c>
      <c r="S50" s="52">
        <f>($I$4+$M$4+SUM(F49:H49,J49:O49))/F42+(F42*(I52+SUM(F52:H52,J52:O52)))/2</f>
        <v>478.25515815931027</v>
      </c>
    </row>
    <row r="52" spans="4:19">
      <c r="E52" s="4" t="s">
        <v>81</v>
      </c>
      <c r="F52" s="4">
        <f>F$8*F$7*F46</f>
        <v>32</v>
      </c>
      <c r="G52" s="4">
        <f t="shared" ref="G52:O52" si="14">G$8*G$7*G46</f>
        <v>100</v>
      </c>
      <c r="H52" s="4">
        <f t="shared" si="14"/>
        <v>16.8</v>
      </c>
      <c r="I52" s="4">
        <f>I$8*I$7*I46</f>
        <v>327.60000000000002</v>
      </c>
      <c r="J52" s="4">
        <f t="shared" si="14"/>
        <v>107.2</v>
      </c>
      <c r="K52" s="4">
        <f t="shared" si="14"/>
        <v>55.2</v>
      </c>
      <c r="L52" s="4">
        <f t="shared" si="14"/>
        <v>26.46</v>
      </c>
      <c r="M52" s="4">
        <f>M$8*M$7*M46</f>
        <v>48</v>
      </c>
      <c r="N52" s="4">
        <f t="shared" si="14"/>
        <v>166</v>
      </c>
      <c r="O52" s="4">
        <f t="shared" si="14"/>
        <v>82</v>
      </c>
    </row>
    <row r="55" spans="4:19">
      <c r="E55" s="6" t="s">
        <v>24</v>
      </c>
      <c r="F55" s="54">
        <f>SQRT((2*(I4+SUM(F49:O49)))/(SUM(F52:O52)))</f>
        <v>0.49736182086694064</v>
      </c>
    </row>
    <row r="57" spans="4:19">
      <c r="E57" s="4" t="s">
        <v>86</v>
      </c>
      <c r="F57" s="4">
        <f>(2*$M$4)/(F$8*F$7*$F$55*$F$55)</f>
        <v>15.159552418143589</v>
      </c>
      <c r="G57" s="4">
        <f t="shared" ref="G57:O57" si="15">(2*$M$4)/(G$8*G$7*$F$55*$F$55)</f>
        <v>2.4255283869029745</v>
      </c>
      <c r="H57" s="4">
        <f t="shared" si="15"/>
        <v>50.531841393811966</v>
      </c>
      <c r="I57" s="4">
        <f t="shared" si="15"/>
        <v>0.3701966402477066</v>
      </c>
      <c r="J57" s="4">
        <f t="shared" si="15"/>
        <v>1.1313098819510141</v>
      </c>
      <c r="K57" s="4">
        <f t="shared" si="15"/>
        <v>6.5911097470189501</v>
      </c>
      <c r="L57" s="4">
        <f t="shared" si="15"/>
        <v>22.916934872477082</v>
      </c>
      <c r="M57" s="4">
        <f t="shared" si="15"/>
        <v>5.0531841393811963</v>
      </c>
      <c r="N57" s="4">
        <f t="shared" si="15"/>
        <v>0.73058083942860663</v>
      </c>
      <c r="O57" s="4">
        <f t="shared" si="15"/>
        <v>1.4789807237213257</v>
      </c>
    </row>
    <row r="58" spans="4:19">
      <c r="D58" s="6"/>
      <c r="E58" s="4" t="s">
        <v>87</v>
      </c>
      <c r="F58" s="6">
        <f>F59*(F59+1)</f>
        <v>20</v>
      </c>
      <c r="G58" s="6">
        <f t="shared" ref="G58:O58" si="16">G59*(G59+1)</f>
        <v>6</v>
      </c>
      <c r="H58" s="6">
        <f>H59*(H59+1)</f>
        <v>56</v>
      </c>
      <c r="I58" s="6">
        <f t="shared" si="16"/>
        <v>2</v>
      </c>
      <c r="J58" s="6">
        <f t="shared" si="16"/>
        <v>2</v>
      </c>
      <c r="K58" s="6">
        <f t="shared" si="16"/>
        <v>12</v>
      </c>
      <c r="L58" s="6">
        <f t="shared" si="16"/>
        <v>30</v>
      </c>
      <c r="M58" s="6">
        <f t="shared" si="16"/>
        <v>6</v>
      </c>
      <c r="N58" s="6">
        <f t="shared" si="16"/>
        <v>2</v>
      </c>
      <c r="O58" s="6">
        <f t="shared" si="16"/>
        <v>2</v>
      </c>
      <c r="P58" s="6"/>
      <c r="Q58" s="6"/>
      <c r="R58" s="39" t="s">
        <v>92</v>
      </c>
    </row>
    <row r="59" spans="4:19">
      <c r="D59" s="4" t="s">
        <v>82</v>
      </c>
      <c r="E59" s="65"/>
      <c r="F59" s="55">
        <v>4</v>
      </c>
      <c r="G59" s="55">
        <v>2</v>
      </c>
      <c r="H59" s="55">
        <v>7</v>
      </c>
      <c r="I59" s="55">
        <v>1</v>
      </c>
      <c r="J59" s="55">
        <v>1</v>
      </c>
      <c r="K59" s="55">
        <v>3</v>
      </c>
      <c r="L59" s="55">
        <v>5</v>
      </c>
      <c r="M59" s="55">
        <v>2</v>
      </c>
      <c r="N59" s="55">
        <v>1</v>
      </c>
      <c r="O59" s="55">
        <v>1</v>
      </c>
    </row>
    <row r="61" spans="4:19" ht="15.5">
      <c r="D61" s="13" t="s">
        <v>91</v>
      </c>
    </row>
    <row r="62" spans="4:19">
      <c r="D62" s="65"/>
      <c r="E62" s="65" t="s">
        <v>80</v>
      </c>
      <c r="F62" s="65">
        <f>$M$4/F59</f>
        <v>3.75</v>
      </c>
      <c r="G62" s="65">
        <f t="shared" ref="G62:O62" si="17">$M$4/G59</f>
        <v>7.5</v>
      </c>
      <c r="H62" s="65">
        <f t="shared" si="17"/>
        <v>2.1428571428571428</v>
      </c>
      <c r="I62" s="65">
        <f t="shared" si="17"/>
        <v>15</v>
      </c>
      <c r="J62" s="65">
        <f t="shared" si="17"/>
        <v>15</v>
      </c>
      <c r="K62" s="65">
        <f t="shared" si="17"/>
        <v>5</v>
      </c>
      <c r="L62" s="65">
        <f t="shared" si="17"/>
        <v>3</v>
      </c>
      <c r="M62" s="65">
        <f t="shared" si="17"/>
        <v>7.5</v>
      </c>
      <c r="N62" s="65">
        <f t="shared" si="17"/>
        <v>15</v>
      </c>
      <c r="O62" s="65">
        <f t="shared" si="17"/>
        <v>15</v>
      </c>
    </row>
    <row r="63" spans="4:19">
      <c r="Q63" s="6" t="s">
        <v>22</v>
      </c>
      <c r="R63" s="6" t="s">
        <v>8</v>
      </c>
      <c r="S63" s="67">
        <f>($I$4+$M$4+SUM(F62:H62,J62:O62))/F55+(F55*(I65+SUM(F65:H65,J65:O65)))/2</f>
        <v>478.09402392655534</v>
      </c>
    </row>
    <row r="65" spans="4:19">
      <c r="E65" s="4" t="s">
        <v>81</v>
      </c>
      <c r="F65" s="4">
        <f>F$8*F$7*F59</f>
        <v>32</v>
      </c>
      <c r="G65" s="4">
        <f t="shared" ref="G65:O65" si="18">G$8*G$7*G59</f>
        <v>100</v>
      </c>
      <c r="H65" s="4">
        <f t="shared" si="18"/>
        <v>16.8</v>
      </c>
      <c r="I65" s="4">
        <f t="shared" si="18"/>
        <v>327.60000000000002</v>
      </c>
      <c r="J65" s="4">
        <f t="shared" si="18"/>
        <v>107.2</v>
      </c>
      <c r="K65" s="4">
        <f t="shared" si="18"/>
        <v>55.2</v>
      </c>
      <c r="L65" s="4">
        <f t="shared" si="18"/>
        <v>26.46</v>
      </c>
      <c r="M65" s="4">
        <f t="shared" si="18"/>
        <v>48</v>
      </c>
      <c r="N65" s="4">
        <f t="shared" si="18"/>
        <v>166</v>
      </c>
      <c r="O65" s="4">
        <f t="shared" si="18"/>
        <v>82</v>
      </c>
    </row>
    <row r="68" spans="4:19">
      <c r="E68" s="6" t="s">
        <v>24</v>
      </c>
      <c r="F68" s="62">
        <f>SQRT((2*(I4+SUM(F62:O62)))/(SUM(F65:O65)))</f>
        <v>0.49736182086694064</v>
      </c>
    </row>
    <row r="70" spans="4:19">
      <c r="E70" s="4" t="s">
        <v>86</v>
      </c>
      <c r="F70" s="4">
        <f>(2*$M$4)/(F$8*F$7*$F$68*$F$68)</f>
        <v>15.159552418143589</v>
      </c>
      <c r="G70" s="4">
        <f t="shared" ref="G70:O70" si="19">(2*$M$4)/(G$8*G$7*$F$68*$F$68)</f>
        <v>2.4255283869029745</v>
      </c>
      <c r="H70" s="4">
        <f t="shared" si="19"/>
        <v>50.531841393811966</v>
      </c>
      <c r="I70" s="4">
        <f t="shared" si="19"/>
        <v>0.3701966402477066</v>
      </c>
      <c r="J70" s="4">
        <f t="shared" si="19"/>
        <v>1.1313098819510141</v>
      </c>
      <c r="K70" s="4">
        <f t="shared" si="19"/>
        <v>6.5911097470189501</v>
      </c>
      <c r="L70" s="4">
        <f t="shared" si="19"/>
        <v>22.916934872477082</v>
      </c>
      <c r="M70" s="4">
        <f t="shared" si="19"/>
        <v>5.0531841393811963</v>
      </c>
      <c r="N70" s="4">
        <f t="shared" si="19"/>
        <v>0.73058083942860663</v>
      </c>
      <c r="O70" s="4">
        <f t="shared" si="19"/>
        <v>1.4789807237213257</v>
      </c>
    </row>
    <row r="71" spans="4:19">
      <c r="D71" s="6"/>
      <c r="E71" s="4" t="s">
        <v>87</v>
      </c>
      <c r="F71" s="6">
        <f>F72*(F72+1)</f>
        <v>20</v>
      </c>
      <c r="G71" s="6">
        <f t="shared" ref="G71:O71" si="20">G72*(G72+1)</f>
        <v>6</v>
      </c>
      <c r="H71" s="6">
        <f t="shared" si="20"/>
        <v>56</v>
      </c>
      <c r="I71" s="6">
        <f t="shared" si="20"/>
        <v>2</v>
      </c>
      <c r="J71" s="6">
        <f t="shared" si="20"/>
        <v>2</v>
      </c>
      <c r="K71" s="6">
        <f t="shared" si="20"/>
        <v>12</v>
      </c>
      <c r="L71" s="6">
        <f t="shared" si="20"/>
        <v>30</v>
      </c>
      <c r="M71" s="6">
        <f t="shared" si="20"/>
        <v>6</v>
      </c>
      <c r="N71" s="6">
        <f t="shared" si="20"/>
        <v>2</v>
      </c>
      <c r="O71" s="6">
        <f t="shared" si="20"/>
        <v>2</v>
      </c>
      <c r="P71" s="6"/>
      <c r="Q71" s="6"/>
    </row>
    <row r="72" spans="4:19">
      <c r="D72" s="4" t="s">
        <v>82</v>
      </c>
      <c r="E72" s="65"/>
      <c r="F72" s="63">
        <v>4</v>
      </c>
      <c r="G72" s="63">
        <v>2</v>
      </c>
      <c r="H72" s="63">
        <v>7</v>
      </c>
      <c r="I72" s="63">
        <v>1</v>
      </c>
      <c r="J72" s="63">
        <v>1</v>
      </c>
      <c r="K72" s="63">
        <v>3</v>
      </c>
      <c r="L72" s="63">
        <v>5</v>
      </c>
      <c r="M72" s="63">
        <v>2</v>
      </c>
      <c r="N72" s="63">
        <v>1</v>
      </c>
      <c r="O72" s="63">
        <v>1</v>
      </c>
    </row>
    <row r="74" spans="4:19" ht="15.5">
      <c r="D74" s="13" t="s">
        <v>93</v>
      </c>
    </row>
    <row r="75" spans="4:19">
      <c r="D75" s="65"/>
      <c r="E75" s="65" t="s">
        <v>80</v>
      </c>
      <c r="F75" s="65">
        <f>$M$4/F72</f>
        <v>3.75</v>
      </c>
      <c r="G75" s="65">
        <f t="shared" ref="G75:O75" si="21">$M$4/G72</f>
        <v>7.5</v>
      </c>
      <c r="H75" s="65">
        <f t="shared" si="21"/>
        <v>2.1428571428571428</v>
      </c>
      <c r="I75" s="65">
        <f>$M$4/I72</f>
        <v>15</v>
      </c>
      <c r="J75" s="65">
        <f t="shared" si="21"/>
        <v>15</v>
      </c>
      <c r="K75" s="65">
        <f t="shared" si="21"/>
        <v>5</v>
      </c>
      <c r="L75" s="65">
        <f t="shared" si="21"/>
        <v>3</v>
      </c>
      <c r="M75" s="65">
        <f t="shared" si="21"/>
        <v>7.5</v>
      </c>
      <c r="N75" s="65">
        <f t="shared" si="21"/>
        <v>15</v>
      </c>
      <c r="O75" s="65">
        <f t="shared" si="21"/>
        <v>15</v>
      </c>
    </row>
    <row r="76" spans="4:19">
      <c r="E76" s="4" t="s">
        <v>85</v>
      </c>
      <c r="F76" s="4">
        <f>F$8*F$7</f>
        <v>8</v>
      </c>
      <c r="G76" s="4">
        <f t="shared" ref="G76:O76" si="22">G$8*G$7</f>
        <v>50</v>
      </c>
      <c r="H76" s="4">
        <f t="shared" si="22"/>
        <v>2.4</v>
      </c>
      <c r="I76" s="4">
        <f t="shared" si="22"/>
        <v>327.60000000000002</v>
      </c>
      <c r="J76" s="4">
        <f t="shared" si="22"/>
        <v>107.2</v>
      </c>
      <c r="K76" s="4">
        <f t="shared" si="22"/>
        <v>18.400000000000002</v>
      </c>
      <c r="L76" s="4">
        <f t="shared" si="22"/>
        <v>5.2919999999999998</v>
      </c>
      <c r="M76" s="4">
        <f t="shared" si="22"/>
        <v>24</v>
      </c>
      <c r="N76" s="4">
        <f t="shared" si="22"/>
        <v>166</v>
      </c>
      <c r="O76" s="4">
        <f t="shared" si="22"/>
        <v>82</v>
      </c>
      <c r="Q76" s="6" t="s">
        <v>22</v>
      </c>
      <c r="R76" s="6" t="s">
        <v>8</v>
      </c>
      <c r="S76" s="62">
        <f>($I$4+$M$4+SUM(F75:H75,J75:O75))/F68+(F68*(I78+SUM(F78:H78,J78:O78)))/2</f>
        <v>478.09402392655534</v>
      </c>
    </row>
    <row r="78" spans="4:19">
      <c r="E78" s="4" t="s">
        <v>81</v>
      </c>
      <c r="F78" s="4">
        <f>F$8*F$7*F72</f>
        <v>32</v>
      </c>
      <c r="G78" s="4">
        <f t="shared" ref="G78:O78" si="23">G$8*G$7*G72</f>
        <v>100</v>
      </c>
      <c r="H78" s="4">
        <f t="shared" si="23"/>
        <v>16.8</v>
      </c>
      <c r="I78" s="4">
        <f t="shared" si="23"/>
        <v>327.60000000000002</v>
      </c>
      <c r="J78" s="4">
        <f t="shared" si="23"/>
        <v>107.2</v>
      </c>
      <c r="K78" s="4">
        <f t="shared" si="23"/>
        <v>55.2</v>
      </c>
      <c r="L78" s="4">
        <f t="shared" si="23"/>
        <v>26.46</v>
      </c>
      <c r="M78" s="4">
        <f t="shared" si="23"/>
        <v>48</v>
      </c>
      <c r="N78" s="4">
        <f t="shared" si="23"/>
        <v>166</v>
      </c>
      <c r="O78" s="4">
        <f t="shared" si="23"/>
        <v>82</v>
      </c>
    </row>
  </sheetData>
  <pageMargins left="0.7" right="0.7" top="0.78740157499999996" bottom="0.78740157499999996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2(a) _ Lagrange</vt:lpstr>
      <vt:lpstr>Exercise 2(a) _Optimization</vt:lpstr>
      <vt:lpstr>Exercise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Eunji Lee</dc:creator>
  <cp:lastModifiedBy>Patrick Helm</cp:lastModifiedBy>
  <dcterms:created xsi:type="dcterms:W3CDTF">2020-06-26T12:09:39Z</dcterms:created>
  <dcterms:modified xsi:type="dcterms:W3CDTF">2025-07-07T11:04:29Z</dcterms:modified>
</cp:coreProperties>
</file>