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min\OneDrive - TUM\Teaching\InvMan 2024\Exercises\Assignment 2\"/>
    </mc:Choice>
  </mc:AlternateContent>
  <bookViews>
    <workbookView xWindow="20" yWindow="470" windowWidth="28800" windowHeight="16700" activeTab="3"/>
  </bookViews>
  <sheets>
    <sheet name="Ex. 1" sheetId="1" r:id="rId1"/>
    <sheet name="Ex. 2" sheetId="2" r:id="rId2"/>
    <sheet name="Ex. 3" sheetId="3" r:id="rId3"/>
    <sheet name="Ex. 4" sheetId="4" r:id="rId4"/>
    <sheet name="Results" sheetId="10" r:id="rId5"/>
    <sheet name="Ex.2 Extra" sheetId="11" r:id="rId6"/>
  </sheets>
  <definedNames>
    <definedName name="_xlnm._FilterDatabase" localSheetId="5" hidden="1">'Ex.2 Extra'!$A$1:$C$1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4" l="1"/>
  <c r="C27" i="4"/>
  <c r="D10" i="3"/>
  <c r="C10" i="3"/>
  <c r="B47" i="2"/>
  <c r="E31" i="2"/>
  <c r="C31" i="2"/>
  <c r="B44" i="2"/>
  <c r="L11" i="1"/>
  <c r="K11" i="1"/>
  <c r="J11" i="1"/>
  <c r="I11" i="1"/>
  <c r="C20" i="1"/>
  <c r="C21" i="1" s="1"/>
  <c r="C22" i="1" s="1"/>
  <c r="C23" i="1" s="1"/>
  <c r="C19" i="1"/>
  <c r="C26" i="4" l="1"/>
  <c r="B26" i="4"/>
  <c r="F10" i="3"/>
  <c r="B60" i="2"/>
  <c r="I31" i="2"/>
  <c r="H31" i="2"/>
  <c r="B48" i="2"/>
  <c r="K12" i="1"/>
  <c r="K13" i="1" s="1"/>
  <c r="J12" i="1"/>
  <c r="J13" i="1" s="1"/>
  <c r="I12" i="1"/>
  <c r="L12" i="1" l="1"/>
  <c r="L13" i="1"/>
  <c r="I13" i="1"/>
  <c r="E30" i="1"/>
  <c r="E31" i="1"/>
  <c r="E32" i="1"/>
  <c r="E33" i="1"/>
  <c r="E29" i="1"/>
  <c r="D30" i="1"/>
  <c r="C29" i="1"/>
  <c r="D29" i="1"/>
  <c r="C30" i="1"/>
  <c r="D20" i="1"/>
  <c r="D21" i="1"/>
  <c r="D22" i="1"/>
  <c r="D23" i="1"/>
  <c r="D19" i="1"/>
  <c r="D13" i="1"/>
  <c r="D12" i="1"/>
  <c r="D11" i="1"/>
  <c r="C11" i="1"/>
  <c r="C12" i="1"/>
  <c r="C13" i="1"/>
  <c r="C10" i="1"/>
  <c r="C31" i="1" l="1"/>
  <c r="D31" i="1" s="1"/>
  <c r="G27" i="4"/>
  <c r="C33" i="4"/>
  <c r="D35" i="4"/>
  <c r="G23" i="4"/>
  <c r="F27" i="4"/>
  <c r="C24" i="4"/>
  <c r="F9" i="3"/>
  <c r="D11" i="3"/>
  <c r="F11" i="3" s="1"/>
  <c r="C32" i="1" l="1"/>
  <c r="D32" i="1" s="1"/>
  <c r="A6" i="10"/>
  <c r="C33" i="1" l="1"/>
  <c r="D33" i="1" s="1"/>
  <c r="D24" i="4"/>
  <c r="E10" i="3"/>
  <c r="A22" i="10" l="1"/>
  <c r="D38" i="10"/>
  <c r="E38" i="10"/>
  <c r="F38" i="10"/>
  <c r="C38" i="10"/>
  <c r="D37" i="10"/>
  <c r="E37" i="10"/>
  <c r="F37" i="10"/>
  <c r="C37" i="10"/>
  <c r="B38" i="10"/>
  <c r="B3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B27" i="10"/>
  <c r="A27" i="10"/>
  <c r="D27" i="10"/>
  <c r="C27" i="10"/>
  <c r="A10" i="10" l="1"/>
  <c r="A7" i="10"/>
  <c r="A8" i="10"/>
  <c r="A9" i="10"/>
  <c r="B5" i="10"/>
  <c r="C5" i="10"/>
  <c r="D5" i="10"/>
  <c r="A5" i="10"/>
  <c r="C38" i="1"/>
  <c r="C6" i="10" s="1"/>
  <c r="D38" i="1" l="1"/>
  <c r="D6" i="10" s="1"/>
  <c r="B40" i="1" l="1"/>
  <c r="B8" i="10" s="1"/>
  <c r="E8" i="10" l="1"/>
  <c r="H8" i="10" l="1"/>
  <c r="B35" i="4" l="1"/>
  <c r="C39" i="10"/>
  <c r="D26" i="4"/>
  <c r="D27" i="4" l="1"/>
  <c r="D33" i="4" l="1"/>
  <c r="B42" i="1"/>
  <c r="B10" i="10" s="1"/>
  <c r="D29" i="10"/>
  <c r="C11" i="3"/>
  <c r="C12" i="3" l="1"/>
  <c r="E12" i="3" s="1"/>
  <c r="E11" i="3"/>
  <c r="C40" i="10"/>
  <c r="E9" i="10"/>
  <c r="C35" i="4" l="1"/>
  <c r="C36" i="4" s="1"/>
  <c r="E10" i="10"/>
  <c r="B41" i="1"/>
  <c r="B9" i="10" s="1"/>
  <c r="D30" i="10"/>
  <c r="C41" i="10" l="1"/>
  <c r="C42" i="10"/>
  <c r="C13" i="3"/>
  <c r="C14" i="3" s="1"/>
  <c r="E24" i="4" l="1"/>
  <c r="C29" i="10"/>
  <c r="E9" i="3"/>
  <c r="C28" i="10" s="1"/>
  <c r="D28" i="10"/>
  <c r="D12" i="3"/>
  <c r="D13" i="3" s="1"/>
  <c r="D14" i="3" s="1"/>
  <c r="F14" i="3" s="1"/>
  <c r="D33" i="10" s="1"/>
  <c r="F13" i="3" l="1"/>
  <c r="D32" i="10" s="1"/>
  <c r="F12" i="3"/>
  <c r="D31" i="10" s="1"/>
  <c r="D39" i="10"/>
  <c r="F24" i="4"/>
  <c r="F26" i="4" s="1"/>
  <c r="F39" i="10" s="1"/>
  <c r="E26" i="4"/>
  <c r="E27" i="4" s="1"/>
  <c r="E33" i="4" l="1"/>
  <c r="D40" i="10"/>
  <c r="E40" i="10"/>
  <c r="E39" i="10"/>
  <c r="F40" i="10"/>
  <c r="C30" i="10"/>
  <c r="C31" i="10"/>
  <c r="F33" i="4" l="1"/>
  <c r="D41" i="10"/>
  <c r="E14" i="3"/>
  <c r="C33" i="10" s="1"/>
  <c r="F35" i="4" l="1"/>
  <c r="F41" i="10" s="1"/>
  <c r="E35" i="4"/>
  <c r="E41" i="10" s="1"/>
  <c r="D36" i="4"/>
  <c r="E13" i="3"/>
  <c r="C32" i="10" s="1"/>
  <c r="D42" i="10" l="1"/>
  <c r="E36" i="4"/>
  <c r="E42" i="10" s="1"/>
  <c r="F36" i="4"/>
  <c r="F42" i="10" s="1"/>
  <c r="B45" i="2"/>
  <c r="C34" i="2"/>
  <c r="G36" i="4" l="1"/>
  <c r="D34" i="2"/>
  <c r="C40" i="2"/>
  <c r="C36" i="2"/>
  <c r="C32" i="2"/>
  <c r="E40" i="2"/>
  <c r="E36" i="2"/>
  <c r="E32" i="2"/>
  <c r="J41" i="2"/>
  <c r="J37" i="2"/>
  <c r="J33" i="2"/>
  <c r="C37" i="2"/>
  <c r="E37" i="2"/>
  <c r="J38" i="2"/>
  <c r="C35" i="2"/>
  <c r="E39" i="2"/>
  <c r="E35" i="2"/>
  <c r="J40" i="2"/>
  <c r="J36" i="2"/>
  <c r="J32" i="2"/>
  <c r="C41" i="2"/>
  <c r="C33" i="2"/>
  <c r="E41" i="2"/>
  <c r="E33" i="2"/>
  <c r="J42" i="2"/>
  <c r="J34" i="2"/>
  <c r="C39" i="2"/>
  <c r="C42" i="2"/>
  <c r="C38" i="2"/>
  <c r="E42" i="2"/>
  <c r="E38" i="2"/>
  <c r="E34" i="2"/>
  <c r="F34" i="2" s="1"/>
  <c r="J31" i="2"/>
  <c r="J39" i="2"/>
  <c r="J35" i="2"/>
  <c r="J43" i="2" l="1"/>
  <c r="F41" i="2"/>
  <c r="D41" i="2"/>
  <c r="F38" i="2"/>
  <c r="D38" i="2"/>
  <c r="F31" i="2"/>
  <c r="D31" i="2"/>
  <c r="F40" i="2"/>
  <c r="D40" i="2"/>
  <c r="F42" i="2"/>
  <c r="D42" i="2"/>
  <c r="F39" i="2"/>
  <c r="D39" i="2"/>
  <c r="F32" i="2"/>
  <c r="D32" i="2"/>
  <c r="F33" i="2"/>
  <c r="D33" i="2"/>
  <c r="F35" i="2"/>
  <c r="D35" i="2"/>
  <c r="F37" i="2"/>
  <c r="D37" i="2"/>
  <c r="F36" i="2"/>
  <c r="D36" i="2"/>
  <c r="B20" i="1"/>
  <c r="B30" i="1" s="1"/>
  <c r="B21" i="1"/>
  <c r="B22" i="1"/>
  <c r="B23" i="1"/>
  <c r="B19" i="1"/>
  <c r="H9" i="10"/>
  <c r="I19" i="1" l="1"/>
  <c r="D43" i="2"/>
  <c r="C39" i="1"/>
  <c r="C7" i="10" s="1"/>
  <c r="F43" i="2"/>
  <c r="B31" i="1"/>
  <c r="B32" i="1"/>
  <c r="B29" i="1"/>
  <c r="B33" i="1"/>
  <c r="I29" i="1" l="1"/>
  <c r="K29" i="1" s="1"/>
  <c r="B16" i="10"/>
  <c r="J29" i="1"/>
  <c r="G6" i="10" s="1"/>
  <c r="I21" i="1"/>
  <c r="K19" i="1"/>
  <c r="J19" i="1"/>
  <c r="F6" i="10" s="1"/>
  <c r="I20" i="1"/>
  <c r="B65" i="2" l="1"/>
  <c r="B15" i="10"/>
  <c r="B22" i="10"/>
  <c r="H35" i="2"/>
  <c r="I35" i="2" s="1"/>
  <c r="H39" i="2"/>
  <c r="I39" i="2" s="1"/>
  <c r="H38" i="2"/>
  <c r="I38" i="2" s="1"/>
  <c r="H42" i="2"/>
  <c r="I42" i="2" s="1"/>
  <c r="H32" i="2"/>
  <c r="I32" i="2" s="1"/>
  <c r="H36" i="2"/>
  <c r="I36" i="2" s="1"/>
  <c r="H40" i="2"/>
  <c r="I40" i="2" s="1"/>
  <c r="H34" i="2"/>
  <c r="I34" i="2" s="1"/>
  <c r="H33" i="2"/>
  <c r="I33" i="2" s="1"/>
  <c r="H37" i="2"/>
  <c r="I37" i="2" s="1"/>
  <c r="H41" i="2"/>
  <c r="I41" i="2" s="1"/>
  <c r="H10" i="10"/>
  <c r="L19" i="1"/>
  <c r="I6" i="10" s="1"/>
  <c r="K20" i="1"/>
  <c r="J20" i="1"/>
  <c r="F7" i="10" s="1"/>
  <c r="I43" i="2" l="1"/>
  <c r="I30" i="1"/>
  <c r="K30" i="1" s="1"/>
  <c r="D39" i="1"/>
  <c r="D7" i="10" s="1"/>
  <c r="C40" i="1"/>
  <c r="C8" i="10" s="1"/>
  <c r="J21" i="1"/>
  <c r="F8" i="10" s="1"/>
  <c r="D40" i="1"/>
  <c r="D8" i="10" s="1"/>
  <c r="L29" i="1"/>
  <c r="J6" i="10" s="1"/>
  <c r="L20" i="1"/>
  <c r="I7" i="10" s="1"/>
  <c r="B19" i="10" l="1"/>
  <c r="J30" i="1"/>
  <c r="L30" i="1" s="1"/>
  <c r="J7" i="10" s="1"/>
  <c r="I22" i="1"/>
  <c r="J22" i="1" s="1"/>
  <c r="F9" i="10" s="1"/>
  <c r="C41" i="1"/>
  <c r="C9" i="10" s="1"/>
  <c r="K21" i="1"/>
  <c r="L21" i="1" s="1"/>
  <c r="I8" i="10" s="1"/>
  <c r="I31" i="1"/>
  <c r="J31" i="1" l="1"/>
  <c r="G8" i="10" s="1"/>
  <c r="G7" i="10"/>
  <c r="D41" i="1"/>
  <c r="D9" i="10" s="1"/>
  <c r="K22" i="1"/>
  <c r="L22" i="1" s="1"/>
  <c r="I9" i="10" s="1"/>
  <c r="I23" i="1"/>
  <c r="J23" i="1" s="1"/>
  <c r="F10" i="10" s="1"/>
  <c r="C42" i="1"/>
  <c r="C10" i="10" s="1"/>
  <c r="K31" i="1"/>
  <c r="L31" i="1" l="1"/>
  <c r="J8" i="10" s="1"/>
  <c r="I32" i="1"/>
  <c r="J32" i="1" s="1"/>
  <c r="G9" i="10" s="1"/>
  <c r="I33" i="1"/>
  <c r="J33" i="1" s="1"/>
  <c r="G10" i="10" s="1"/>
  <c r="D42" i="1"/>
  <c r="D10" i="10" s="1"/>
  <c r="K23" i="1"/>
  <c r="L23" i="1" s="1"/>
  <c r="I10" i="10" s="1"/>
  <c r="K32" i="1"/>
  <c r="L32" i="1" s="1"/>
  <c r="J9" i="10" s="1"/>
  <c r="K33" i="1" l="1"/>
  <c r="L33" i="1" s="1"/>
  <c r="J10" i="10" s="1"/>
</calcChain>
</file>

<file path=xl/sharedStrings.xml><?xml version="1.0" encoding="utf-8"?>
<sst xmlns="http://schemas.openxmlformats.org/spreadsheetml/2006/main" count="166" uniqueCount="103">
  <si>
    <t>Year</t>
  </si>
  <si>
    <t>Demand</t>
  </si>
  <si>
    <t xml:space="preserve">a) </t>
  </si>
  <si>
    <t>Moving average</t>
  </si>
  <si>
    <t>a_t</t>
  </si>
  <si>
    <t>b)</t>
  </si>
  <si>
    <t>n=2</t>
  </si>
  <si>
    <t>Exp. Smoothing</t>
  </si>
  <si>
    <t>c)</t>
  </si>
  <si>
    <t xml:space="preserve">Trend model </t>
  </si>
  <si>
    <t>b_t</t>
  </si>
  <si>
    <t>p_t</t>
  </si>
  <si>
    <t>d)</t>
  </si>
  <si>
    <t>gamma:</t>
  </si>
  <si>
    <t>e</t>
  </si>
  <si>
    <t>MAD</t>
  </si>
  <si>
    <t>ERR</t>
  </si>
  <si>
    <t>sigma:</t>
  </si>
  <si>
    <t>MAD,ERR_0:</t>
  </si>
  <si>
    <t>SIG</t>
  </si>
  <si>
    <t>alpha=0.2</t>
  </si>
  <si>
    <t>alpha=0.2, beta=0.1</t>
  </si>
  <si>
    <t>Week</t>
  </si>
  <si>
    <t>Price ($)</t>
  </si>
  <si>
    <t>a)</t>
  </si>
  <si>
    <t>mean price</t>
  </si>
  <si>
    <t>mean demand</t>
  </si>
  <si>
    <t>x-x_bar</t>
  </si>
  <si>
    <t>y-y_bar</t>
  </si>
  <si>
    <t>(x-x_bar)^2</t>
  </si>
  <si>
    <t>sum</t>
  </si>
  <si>
    <t>(x-x_bar)*(y-y_bar)</t>
  </si>
  <si>
    <t>b_hat</t>
  </si>
  <si>
    <t>a_hat</t>
  </si>
  <si>
    <t>R^2</t>
  </si>
  <si>
    <t>(y_t-y_bar)^2</t>
  </si>
  <si>
    <t>Day</t>
  </si>
  <si>
    <t>timing</t>
  </si>
  <si>
    <t>p_t+i</t>
  </si>
  <si>
    <t>Quantity</t>
  </si>
  <si>
    <t xml:space="preserve"> x_hat</t>
  </si>
  <si>
    <t>Week Number</t>
  </si>
  <si>
    <t>mu</t>
  </si>
  <si>
    <t>t-1</t>
  </si>
  <si>
    <t>sigma</t>
  </si>
  <si>
    <t>S</t>
  </si>
  <si>
    <t>Retail stores</t>
  </si>
  <si>
    <t>Assembly</t>
  </si>
  <si>
    <t>order</t>
  </si>
  <si>
    <t>R</t>
  </si>
  <si>
    <t>L</t>
  </si>
  <si>
    <t>alpha</t>
  </si>
  <si>
    <t>good</t>
  </si>
  <si>
    <t>mean absolute deviation</t>
  </si>
  <si>
    <r>
      <rPr>
        <i/>
        <sz val="16"/>
        <color rgb="FF000000"/>
        <rFont val="TUM Neue Helvetica 55 Regular"/>
        <family val="2"/>
      </rPr>
      <t>y</t>
    </r>
    <r>
      <rPr>
        <i/>
        <vertAlign val="subscript"/>
        <sz val="16"/>
        <color rgb="FF000000"/>
        <rFont val="TUM Neue Helvetica 55 Regular"/>
        <family val="2"/>
      </rPr>
      <t xml:space="preserve">t </t>
    </r>
    <r>
      <rPr>
        <sz val="16"/>
        <color rgb="FF000000"/>
        <rFont val="TUM Neue Helvetica 55 Regular"/>
        <family val="2"/>
      </rPr>
      <t xml:space="preserve">= </t>
    </r>
    <r>
      <rPr>
        <i/>
        <sz val="16"/>
        <color rgb="FF000000"/>
        <rFont val="TUM Neue Helvetica 55 Regular"/>
        <family val="2"/>
      </rPr>
      <t xml:space="preserve">a </t>
    </r>
    <r>
      <rPr>
        <sz val="16"/>
        <color rgb="FF000000"/>
        <rFont val="TUM Neue Helvetica 55 Regular"/>
        <family val="2"/>
      </rPr>
      <t>+</t>
    </r>
    <r>
      <rPr>
        <i/>
        <sz val="16"/>
        <color rgb="FF000000"/>
        <rFont val="TUM Neue Helvetica 55 Regular"/>
        <family val="2"/>
      </rPr>
      <t>b·x</t>
    </r>
    <r>
      <rPr>
        <i/>
        <vertAlign val="subscript"/>
        <sz val="16"/>
        <color rgb="FF000000"/>
        <rFont val="TUM Neue Helvetica 55 Regular"/>
        <family val="2"/>
      </rPr>
      <t xml:space="preserve"> t </t>
    </r>
    <r>
      <rPr>
        <i/>
        <sz val="16"/>
        <color rgb="FF000000"/>
        <rFont val="TUM Neue Helvetica 55 Regular"/>
        <family val="2"/>
      </rPr>
      <t xml:space="preserve">+ </t>
    </r>
    <r>
      <rPr>
        <i/>
        <sz val="16"/>
        <color rgb="FF000000"/>
        <rFont val="Symbol"/>
        <family val="1"/>
        <charset val="2"/>
      </rPr>
      <t>e</t>
    </r>
    <r>
      <rPr>
        <i/>
        <vertAlign val="subscript"/>
        <sz val="16"/>
        <color rgb="FF000000"/>
        <rFont val="TUM Neue Helvetica 55 Regular"/>
        <family val="2"/>
      </rPr>
      <t>t</t>
    </r>
  </si>
  <si>
    <t>d) MAD</t>
  </si>
  <si>
    <t>e) SIG</t>
  </si>
  <si>
    <t>Exrecise 4)</t>
  </si>
  <si>
    <t>Exercise 3)</t>
  </si>
  <si>
    <t>Exercise 2)</t>
  </si>
  <si>
    <t>Exercise 1)</t>
  </si>
  <si>
    <t>Order</t>
  </si>
  <si>
    <t>y(1.49)=</t>
  </si>
  <si>
    <t>Sheet 2 (Forecasting)</t>
  </si>
  <si>
    <t>z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</si>
  <si>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</si>
  <si>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</si>
  <si>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</si>
  <si>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</si>
  <si>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</si>
  <si>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</si>
  <si>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</si>
  <si>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</si>
  <si>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</si>
  <si>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</si>
  <si>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</si>
  <si>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</si>
  <si>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</si>
  <si>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</si>
  <si>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</si>
  <si>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</si>
  <si>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</si>
  <si>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</si>
  <si>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</si>
  <si>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</si>
  <si>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</si>
  <si>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</si>
  <si>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</si>
  <si>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</si>
  <si>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</si>
  <si>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p_(t+1)</t>
  </si>
  <si>
    <t xml:space="preserve">Calculate the MAD with exponential smoothing (γ=0.1 and starting value=0). </t>
  </si>
  <si>
    <t>Overestimate</t>
  </si>
  <si>
    <r>
      <t>b) Calculate the regression function using</t>
    </r>
    <r>
      <rPr>
        <b/>
        <sz val="11"/>
        <color theme="1"/>
        <rFont val="Calibri"/>
        <family val="2"/>
        <scheme val="minor"/>
      </rPr>
      <t xml:space="preserve"> least squares estimation.</t>
    </r>
    <r>
      <rPr>
        <sz val="11"/>
        <color theme="1"/>
        <rFont val="Calibri"/>
        <family val="2"/>
        <scheme val="minor"/>
      </rPr>
      <t xml:space="preserve"> </t>
    </r>
  </si>
  <si>
    <t>(p_t-y_bar)^2</t>
  </si>
  <si>
    <t xml:space="preserve">d) Which demand can be predicted for the following week when price is 1.49? </t>
  </si>
  <si>
    <t xml:space="preserve">c) How well does the function fit past observations? </t>
  </si>
  <si>
    <t>smoothing factor</t>
  </si>
  <si>
    <t xml:space="preserve">a demand of 5 units every 14 days. </t>
  </si>
  <si>
    <t>Initial guess:</t>
  </si>
  <si>
    <t>a) Depict the supply chain described in the exercise graphically.</t>
  </si>
  <si>
    <t>in-stock prob (alpha)</t>
  </si>
  <si>
    <t>Normally distributed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</si>
</sst>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000"/>
    <numFmt numFmtId="167" formatCode="0.00000000"/>
  </numFmts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UM Neue Helvetica 55 Regular"/>
      <family val="2"/>
    </font>
    <font>
      <i/>
      <sz val="16"/>
      <color rgb="FF000000"/>
      <name val="TUM Neue Helvetica 55 Regular"/>
      <family val="2"/>
    </font>
    <font>
      <i/>
      <vertAlign val="subscript"/>
      <sz val="16"/>
      <color rgb="FF000000"/>
      <name val="TUM Neue Helvetica 55 Regular"/>
      <family val="2"/>
    </font>
    <font>
      <sz val="16"/>
      <color rgb="FF000000"/>
      <name val="TUM Neue Helvetica 55 Regular"/>
      <family val="2"/>
    </font>
    <font>
      <i/>
      <sz val="16"/>
      <color rgb="FF000000"/>
      <name val="Symbol"/>
      <family val="1"/>
      <charset val="2"/>
    </font>
    <font>
      <sz val="16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6"/>
      <color rgb="FFFFFFFF"/>
      <name val="Calibri"/>
    </font>
    <font>
      <sz val="16"/>
      <color rgb="FF000000"/>
      <name val="Calibri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applyFill="1" applyBorder="1"/>
    <xf numFmtId="0" fontId="1" fillId="0" borderId="0" xfId="0" applyFont="1" applyBorder="1" applyAlignment="1">
      <alignment horizontal="justify" vertical="center" wrapText="1"/>
    </xf>
    <xf numFmtId="0" fontId="0" fillId="2" borderId="1" xfId="0" applyFill="1" applyBorder="1"/>
    <xf numFmtId="0" fontId="3" fillId="0" borderId="0" xfId="0" applyFont="1"/>
    <xf numFmtId="0" fontId="8" fillId="0" borderId="0" xfId="0" applyFont="1" applyAlignment="1">
      <alignment horizontal="left" vertical="center" indent="3" readingOrder="1"/>
    </xf>
    <xf numFmtId="0" fontId="0" fillId="3" borderId="0" xfId="0" applyFill="1"/>
    <xf numFmtId="0" fontId="0" fillId="0" borderId="12" xfId="0" applyBorder="1"/>
    <xf numFmtId="0" fontId="0" fillId="3" borderId="13" xfId="0" applyFill="1" applyBorder="1"/>
    <xf numFmtId="0" fontId="0" fillId="0" borderId="13" xfId="0" applyBorder="1"/>
    <xf numFmtId="0" fontId="0" fillId="4" borderId="0" xfId="0" applyFill="1"/>
    <xf numFmtId="0" fontId="0" fillId="5" borderId="0" xfId="0" applyFill="1"/>
    <xf numFmtId="0" fontId="0" fillId="0" borderId="15" xfId="0" applyBorder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0" fillId="0" borderId="0" xfId="0" applyBorder="1"/>
    <xf numFmtId="164" fontId="0" fillId="0" borderId="1" xfId="0" applyNumberFormat="1" applyBorder="1"/>
    <xf numFmtId="165" fontId="0" fillId="0" borderId="0" xfId="0" applyNumberFormat="1" applyFill="1" applyBorder="1"/>
    <xf numFmtId="165" fontId="0" fillId="0" borderId="0" xfId="0" applyNumberFormat="1" applyBorder="1"/>
    <xf numFmtId="2" fontId="0" fillId="0" borderId="0" xfId="0" applyNumberFormat="1"/>
    <xf numFmtId="0" fontId="10" fillId="6" borderId="17" xfId="0" applyFont="1" applyFill="1" applyBorder="1" applyAlignment="1">
      <alignment horizontal="center" vertical="center" wrapText="1" readingOrder="1"/>
    </xf>
    <xf numFmtId="0" fontId="11" fillId="7" borderId="17" xfId="0" applyFont="1" applyFill="1" applyBorder="1" applyAlignment="1">
      <alignment horizontal="right" vertical="center" wrapText="1" readingOrder="1"/>
    </xf>
    <xf numFmtId="0" fontId="0" fillId="0" borderId="0" xfId="0" applyFill="1" applyBorder="1" applyAlignment="1"/>
    <xf numFmtId="0" fontId="0" fillId="0" borderId="13" xfId="0" applyFill="1" applyBorder="1" applyAlignment="1"/>
    <xf numFmtId="0" fontId="12" fillId="0" borderId="18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Continuous"/>
    </xf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9" xfId="0" applyFont="1" applyBorder="1" applyAlignment="1">
      <alignment horizontal="justify" vertical="center" wrapText="1"/>
    </xf>
    <xf numFmtId="0" fontId="1" fillId="0" borderId="20" xfId="0" applyFont="1" applyBorder="1" applyAlignment="1">
      <alignment horizontal="justify" vertical="center" wrapText="1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justify" vertical="center"/>
    </xf>
    <xf numFmtId="0" fontId="2" fillId="0" borderId="0" xfId="0" applyFont="1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0" fillId="2" borderId="1" xfId="0" applyFill="1" applyBorder="1" applyAlignment="1"/>
    <xf numFmtId="0" fontId="0" fillId="0" borderId="0" xfId="0" applyBorder="1" applyAlignment="1"/>
    <xf numFmtId="0" fontId="1" fillId="8" borderId="1" xfId="0" applyFont="1" applyFill="1" applyBorder="1" applyAlignment="1">
      <alignment horizontal="justify" vertical="center"/>
    </xf>
    <xf numFmtId="0" fontId="0" fillId="8" borderId="1" xfId="0" applyFill="1" applyBorder="1" applyAlignment="1"/>
    <xf numFmtId="0" fontId="1" fillId="8" borderId="1" xfId="0" applyFont="1" applyFill="1" applyBorder="1" applyAlignment="1">
      <alignment horizontal="justify" vertical="center" wrapText="1"/>
    </xf>
    <xf numFmtId="164" fontId="0" fillId="9" borderId="1" xfId="0" applyNumberFormat="1" applyFill="1" applyBorder="1" applyAlignment="1"/>
    <xf numFmtId="0" fontId="0" fillId="8" borderId="1" xfId="0" applyFill="1" applyBorder="1"/>
    <xf numFmtId="0" fontId="0" fillId="8" borderId="0" xfId="0" applyFill="1"/>
    <xf numFmtId="0" fontId="0" fillId="8" borderId="0" xfId="0" applyFill="1" applyAlignment="1"/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'Ex. 2'!$B$2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'Ex. 2'!$C$3:$C$14</c:f>
              <c:numCache>
                <c:formatCode>General</c:formatCode>
                <c:ptCount val="12"/>
                <c:pt idx="0">
                  <c:v>1.49</c:v>
                </c:pt>
                <c:pt idx="1">
                  <c:v>1.49</c:v>
                </c:pt>
                <c:pt idx="2">
                  <c:v>1.99</c:v>
                </c:pt>
                <c:pt idx="3">
                  <c:v>2.4900000000000002</c:v>
                </c:pt>
                <c:pt idx="4">
                  <c:v>2.4900000000000002</c:v>
                </c:pt>
                <c:pt idx="5">
                  <c:v>2.4900000000000002</c:v>
                </c:pt>
                <c:pt idx="6">
                  <c:v>3.19</c:v>
                </c:pt>
                <c:pt idx="7">
                  <c:v>3.29</c:v>
                </c:pt>
                <c:pt idx="8">
                  <c:v>3.49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</c:numCache>
            </c:numRef>
          </c:cat>
          <c:val>
            <c:numRef>
              <c:f>'Ex. 2'!$B$3:$B$14</c:f>
              <c:numCache>
                <c:formatCode>General</c:formatCode>
                <c:ptCount val="12"/>
                <c:pt idx="0">
                  <c:v>3000</c:v>
                </c:pt>
                <c:pt idx="1">
                  <c:v>3100</c:v>
                </c:pt>
                <c:pt idx="2">
                  <c:v>2000</c:v>
                </c:pt>
                <c:pt idx="3">
                  <c:v>1500</c:v>
                </c:pt>
                <c:pt idx="4">
                  <c:v>1800</c:v>
                </c:pt>
                <c:pt idx="5">
                  <c:v>1600</c:v>
                </c:pt>
                <c:pt idx="6">
                  <c:v>800</c:v>
                </c:pt>
                <c:pt idx="7">
                  <c:v>700</c:v>
                </c:pt>
                <c:pt idx="8">
                  <c:v>500</c:v>
                </c:pt>
                <c:pt idx="9">
                  <c:v>600</c:v>
                </c:pt>
                <c:pt idx="10">
                  <c:v>550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0-406B-9ADB-2745AAEC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68408"/>
        <c:axId val="435172720"/>
      </c:lineChart>
      <c:catAx>
        <c:axId val="43516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172720"/>
        <c:crosses val="autoZero"/>
        <c:auto val="1"/>
        <c:lblAlgn val="ctr"/>
        <c:lblOffset val="100"/>
        <c:noMultiLvlLbl val="0"/>
      </c:catAx>
      <c:valAx>
        <c:axId val="43517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16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Demand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'Ex.2 Extra'!$C$2:$C$13</c:f>
              <c:numCache>
                <c:formatCode>General</c:formatCode>
                <c:ptCount val="12"/>
                <c:pt idx="0">
                  <c:v>1.49</c:v>
                </c:pt>
                <c:pt idx="1">
                  <c:v>1.49</c:v>
                </c:pt>
                <c:pt idx="2">
                  <c:v>1.99</c:v>
                </c:pt>
                <c:pt idx="3">
                  <c:v>2.4900000000000002</c:v>
                </c:pt>
                <c:pt idx="4">
                  <c:v>2.4900000000000002</c:v>
                </c:pt>
                <c:pt idx="5">
                  <c:v>2.4900000000000002</c:v>
                </c:pt>
                <c:pt idx="6">
                  <c:v>3.19</c:v>
                </c:pt>
                <c:pt idx="7">
                  <c:v>3.29</c:v>
                </c:pt>
                <c:pt idx="8">
                  <c:v>3.49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</c:numCache>
            </c:numRef>
          </c:xVal>
          <c:yVal>
            <c:numRef>
              <c:f>'Ex.2 Extra'!$B$2:$B$13</c:f>
              <c:numCache>
                <c:formatCode>General</c:formatCode>
                <c:ptCount val="12"/>
                <c:pt idx="0">
                  <c:v>3000</c:v>
                </c:pt>
                <c:pt idx="1">
                  <c:v>3100</c:v>
                </c:pt>
                <c:pt idx="2">
                  <c:v>2000</c:v>
                </c:pt>
                <c:pt idx="3">
                  <c:v>1500</c:v>
                </c:pt>
                <c:pt idx="4">
                  <c:v>1800</c:v>
                </c:pt>
                <c:pt idx="5">
                  <c:v>1600</c:v>
                </c:pt>
                <c:pt idx="6">
                  <c:v>800</c:v>
                </c:pt>
                <c:pt idx="7">
                  <c:v>700</c:v>
                </c:pt>
                <c:pt idx="8">
                  <c:v>500</c:v>
                </c:pt>
                <c:pt idx="9">
                  <c:v>600</c:v>
                </c:pt>
                <c:pt idx="10">
                  <c:v>550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4-4D5B-9E09-5B6220BB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8576"/>
        <c:axId val="596620368"/>
      </c:scatterChart>
      <c:valAx>
        <c:axId val="595898576"/>
        <c:scaling>
          <c:orientation val="minMax"/>
          <c:max val="3.8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20368"/>
        <c:crosses val="autoZero"/>
        <c:crossBetween val="midCat"/>
      </c:valAx>
      <c:valAx>
        <c:axId val="59662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28575">
              <a:noFill/>
            </a:ln>
          </c:spPr>
          <c:trendline>
            <c:spPr>
              <a:ln w="2857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'Ex. 2'!$C$3:$C$14</c:f>
              <c:numCache>
                <c:formatCode>General</c:formatCode>
                <c:ptCount val="12"/>
                <c:pt idx="0">
                  <c:v>1.49</c:v>
                </c:pt>
                <c:pt idx="1">
                  <c:v>1.49</c:v>
                </c:pt>
                <c:pt idx="2">
                  <c:v>1.99</c:v>
                </c:pt>
                <c:pt idx="3">
                  <c:v>2.4900000000000002</c:v>
                </c:pt>
                <c:pt idx="4">
                  <c:v>2.4900000000000002</c:v>
                </c:pt>
                <c:pt idx="5">
                  <c:v>2.4900000000000002</c:v>
                </c:pt>
                <c:pt idx="6">
                  <c:v>3.19</c:v>
                </c:pt>
                <c:pt idx="7">
                  <c:v>3.29</c:v>
                </c:pt>
                <c:pt idx="8">
                  <c:v>3.49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</c:numCache>
            </c:numRef>
          </c:xVal>
          <c:yVal>
            <c:numRef>
              <c:f>'Ex. 2'!$B$3:$B$14</c:f>
              <c:numCache>
                <c:formatCode>General</c:formatCode>
                <c:ptCount val="12"/>
                <c:pt idx="0">
                  <c:v>3000</c:v>
                </c:pt>
                <c:pt idx="1">
                  <c:v>3100</c:v>
                </c:pt>
                <c:pt idx="2">
                  <c:v>2000</c:v>
                </c:pt>
                <c:pt idx="3">
                  <c:v>1500</c:v>
                </c:pt>
                <c:pt idx="4">
                  <c:v>1800</c:v>
                </c:pt>
                <c:pt idx="5">
                  <c:v>1600</c:v>
                </c:pt>
                <c:pt idx="6">
                  <c:v>800</c:v>
                </c:pt>
                <c:pt idx="7">
                  <c:v>700</c:v>
                </c:pt>
                <c:pt idx="8">
                  <c:v>500</c:v>
                </c:pt>
                <c:pt idx="9">
                  <c:v>600</c:v>
                </c:pt>
                <c:pt idx="10">
                  <c:v>550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A-4DCB-A239-8DC52B79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69976"/>
        <c:axId val="435170368"/>
      </c:scatterChart>
      <c:valAx>
        <c:axId val="435169976"/>
        <c:scaling>
          <c:orientation val="minMax"/>
          <c:min val="1.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170368"/>
        <c:crosses val="autoZero"/>
        <c:crossBetween val="midCat"/>
      </c:valAx>
      <c:valAx>
        <c:axId val="4351703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Demand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16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'Ex.2 Extra'!$B$1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'Ex.2 Extra'!$C$2:$C$13</c:f>
              <c:numCache>
                <c:formatCode>General</c:formatCode>
                <c:ptCount val="12"/>
                <c:pt idx="0">
                  <c:v>1.49</c:v>
                </c:pt>
                <c:pt idx="1">
                  <c:v>1.49</c:v>
                </c:pt>
                <c:pt idx="2">
                  <c:v>1.99</c:v>
                </c:pt>
                <c:pt idx="3">
                  <c:v>2.4900000000000002</c:v>
                </c:pt>
                <c:pt idx="4">
                  <c:v>2.4900000000000002</c:v>
                </c:pt>
                <c:pt idx="5">
                  <c:v>2.4900000000000002</c:v>
                </c:pt>
                <c:pt idx="6">
                  <c:v>3.19</c:v>
                </c:pt>
                <c:pt idx="7">
                  <c:v>3.29</c:v>
                </c:pt>
                <c:pt idx="8">
                  <c:v>3.49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</c:numCache>
            </c:numRef>
          </c:cat>
          <c:val>
            <c:numRef>
              <c:f>'Ex.2 Extra'!$B$2:$B$13</c:f>
              <c:numCache>
                <c:formatCode>General</c:formatCode>
                <c:ptCount val="12"/>
                <c:pt idx="0">
                  <c:v>3000</c:v>
                </c:pt>
                <c:pt idx="1">
                  <c:v>3100</c:v>
                </c:pt>
                <c:pt idx="2">
                  <c:v>2000</c:v>
                </c:pt>
                <c:pt idx="3">
                  <c:v>1500</c:v>
                </c:pt>
                <c:pt idx="4">
                  <c:v>1800</c:v>
                </c:pt>
                <c:pt idx="5">
                  <c:v>1600</c:v>
                </c:pt>
                <c:pt idx="6">
                  <c:v>800</c:v>
                </c:pt>
                <c:pt idx="7">
                  <c:v>700</c:v>
                </c:pt>
                <c:pt idx="8">
                  <c:v>500</c:v>
                </c:pt>
                <c:pt idx="9">
                  <c:v>600</c:v>
                </c:pt>
                <c:pt idx="10">
                  <c:v>550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3-6642-BC7C-C7CE8B265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8416"/>
        <c:axId val="620825152"/>
      </c:lineChart>
      <c:catAx>
        <c:axId val="6268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25152"/>
        <c:crosses val="autoZero"/>
        <c:auto val="1"/>
        <c:lblAlgn val="ctr"/>
        <c:lblOffset val="100"/>
        <c:noMultiLvlLbl val="0"/>
      </c:catAx>
      <c:valAx>
        <c:axId val="62082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'Ex.2 Extra'!$C$2:$C$13</c:f>
              <c:numCache>
                <c:formatCode>General</c:formatCode>
                <c:ptCount val="12"/>
                <c:pt idx="0">
                  <c:v>1.49</c:v>
                </c:pt>
                <c:pt idx="1">
                  <c:v>1.49</c:v>
                </c:pt>
                <c:pt idx="2">
                  <c:v>1.99</c:v>
                </c:pt>
                <c:pt idx="3">
                  <c:v>2.4900000000000002</c:v>
                </c:pt>
                <c:pt idx="4">
                  <c:v>2.4900000000000002</c:v>
                </c:pt>
                <c:pt idx="5">
                  <c:v>2.4900000000000002</c:v>
                </c:pt>
                <c:pt idx="6">
                  <c:v>3.19</c:v>
                </c:pt>
                <c:pt idx="7">
                  <c:v>3.29</c:v>
                </c:pt>
                <c:pt idx="8">
                  <c:v>3.49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</c:numCache>
            </c:numRef>
          </c:xVal>
          <c:yVal>
            <c:numRef>
              <c:f>'Ex.2 Extra'!$B$2:$B$13</c:f>
              <c:numCache>
                <c:formatCode>General</c:formatCode>
                <c:ptCount val="12"/>
                <c:pt idx="0">
                  <c:v>3000</c:v>
                </c:pt>
                <c:pt idx="1">
                  <c:v>3100</c:v>
                </c:pt>
                <c:pt idx="2">
                  <c:v>2000</c:v>
                </c:pt>
                <c:pt idx="3">
                  <c:v>1500</c:v>
                </c:pt>
                <c:pt idx="4">
                  <c:v>1800</c:v>
                </c:pt>
                <c:pt idx="5">
                  <c:v>1600</c:v>
                </c:pt>
                <c:pt idx="6">
                  <c:v>800</c:v>
                </c:pt>
                <c:pt idx="7">
                  <c:v>700</c:v>
                </c:pt>
                <c:pt idx="8">
                  <c:v>500</c:v>
                </c:pt>
                <c:pt idx="9">
                  <c:v>600</c:v>
                </c:pt>
                <c:pt idx="10">
                  <c:v>550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034B-972E-577229D5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8576"/>
        <c:axId val="596620368"/>
      </c:scatterChart>
      <c:valAx>
        <c:axId val="595898576"/>
        <c:scaling>
          <c:orientation val="minMax"/>
          <c:max val="3.8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20368"/>
        <c:crosses val="autoZero"/>
        <c:crossBetween val="midCat"/>
      </c:valAx>
      <c:valAx>
        <c:axId val="59662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7" Type="http://schemas.openxmlformats.org/officeDocument/2006/relationships/image" Target="../media/image14.wmf"/><Relationship Id="rId2" Type="http://schemas.openxmlformats.org/officeDocument/2006/relationships/image" Target="../media/image11.emf"/><Relationship Id="rId1" Type="http://schemas.openxmlformats.org/officeDocument/2006/relationships/chart" Target="../charts/chart1.xml"/><Relationship Id="rId6" Type="http://schemas.openxmlformats.org/officeDocument/2006/relationships/image" Target="../media/image1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7</xdr:row>
      <xdr:rowOff>54361</xdr:rowOff>
    </xdr:from>
    <xdr:to>
      <xdr:col>6</xdr:col>
      <xdr:colOff>244929</xdr:colOff>
      <xdr:row>10</xdr:row>
      <xdr:rowOff>107074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1420518"/>
          <a:ext cx="1664154" cy="678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108586</xdr:colOff>
      <xdr:row>17</xdr:row>
      <xdr:rowOff>148008</xdr:rowOff>
    </xdr:from>
    <xdr:to>
      <xdr:col>7</xdr:col>
      <xdr:colOff>760326</xdr:colOff>
      <xdr:row>20</xdr:row>
      <xdr:rowOff>176889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7007" y="3447143"/>
          <a:ext cx="3058056" cy="635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238126</xdr:colOff>
      <xdr:row>26</xdr:row>
      <xdr:rowOff>142875</xdr:rowOff>
    </xdr:from>
    <xdr:to>
      <xdr:col>7</xdr:col>
      <xdr:colOff>647700</xdr:colOff>
      <xdr:row>30</xdr:row>
      <xdr:rowOff>57455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6" y="5238750"/>
          <a:ext cx="1933574" cy="731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137160</xdr:colOff>
      <xdr:row>5</xdr:row>
      <xdr:rowOff>132035</xdr:rowOff>
    </xdr:from>
    <xdr:to>
      <xdr:col>14</xdr:col>
      <xdr:colOff>480060</xdr:colOff>
      <xdr:row>7</xdr:row>
      <xdr:rowOff>131444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0620" y="1084535"/>
          <a:ext cx="2697480" cy="365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317432</xdr:colOff>
      <xdr:row>7</xdr:row>
      <xdr:rowOff>81643</xdr:rowOff>
    </xdr:from>
    <xdr:to>
      <xdr:col>8</xdr:col>
      <xdr:colOff>744311</xdr:colOff>
      <xdr:row>8</xdr:row>
      <xdr:rowOff>179615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432" y="1447800"/>
          <a:ext cx="1188879" cy="299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7</xdr:row>
      <xdr:rowOff>104775</xdr:rowOff>
    </xdr:from>
    <xdr:to>
      <xdr:col>14</xdr:col>
      <xdr:colOff>304800</xdr:colOff>
      <xdr:row>8</xdr:row>
      <xdr:rowOff>193446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1466850"/>
          <a:ext cx="2333625" cy="288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373380</xdr:colOff>
      <xdr:row>9</xdr:row>
      <xdr:rowOff>190500</xdr:rowOff>
    </xdr:from>
    <xdr:to>
      <xdr:col>14</xdr:col>
      <xdr:colOff>363855</xdr:colOff>
      <xdr:row>13</xdr:row>
      <xdr:rowOff>42699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1905000"/>
          <a:ext cx="1560195" cy="697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685800</xdr:colOff>
          <xdr:row>13</xdr:row>
          <xdr:rowOff>152400</xdr:rowOff>
        </xdr:from>
        <xdr:to>
          <xdr:col>6</xdr:col>
          <xdr:colOff>641350</xdr:colOff>
          <xdr:row>15</xdr:row>
          <xdr:rowOff>50800</xdr:rowOff>
        </xdr:to>
        <xdr:sp macro="" textlink="">
          <xdr:nvSpPr>
            <xdr:cNvPr id="1025" name="Object 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259080</xdr:colOff>
      <xdr:row>12</xdr:row>
      <xdr:rowOff>76200</xdr:rowOff>
    </xdr:from>
    <xdr:to>
      <xdr:col>4</xdr:col>
      <xdr:colOff>685800</xdr:colOff>
      <xdr:row>13</xdr:row>
      <xdr:rowOff>137160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 flipV="1">
          <a:off x="3398520" y="2385060"/>
          <a:ext cx="426720" cy="259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281940</xdr:colOff>
      <xdr:row>15</xdr:row>
      <xdr:rowOff>137160</xdr:rowOff>
    </xdr:from>
    <xdr:to>
      <xdr:col>4</xdr:col>
      <xdr:colOff>769620</xdr:colOff>
      <xdr:row>17</xdr:row>
      <xdr:rowOff>7620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421380" y="3009900"/>
          <a:ext cx="487680" cy="23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299357</xdr:colOff>
      <xdr:row>30</xdr:row>
      <xdr:rowOff>190500</xdr:rowOff>
    </xdr:from>
    <xdr:to>
      <xdr:col>7</xdr:col>
      <xdr:colOff>495934</xdr:colOff>
      <xdr:row>33</xdr:row>
      <xdr:rowOff>32656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09357" y="6232071"/>
          <a:ext cx="1720577" cy="478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15</xdr:row>
      <xdr:rowOff>114300</xdr:rowOff>
    </xdr:from>
    <xdr:to>
      <xdr:col>6</xdr:col>
      <xdr:colOff>171450</xdr:colOff>
      <xdr:row>27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417195</xdr:colOff>
      <xdr:row>44</xdr:row>
      <xdr:rowOff>121947</xdr:rowOff>
    </xdr:from>
    <xdr:to>
      <xdr:col>5</xdr:col>
      <xdr:colOff>571500</xdr:colOff>
      <xdr:row>49</xdr:row>
      <xdr:rowOff>106680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95" y="9113547"/>
          <a:ext cx="2440305" cy="937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65942</xdr:colOff>
      <xdr:row>54</xdr:row>
      <xdr:rowOff>175846</xdr:rowOff>
    </xdr:from>
    <xdr:to>
      <xdr:col>5</xdr:col>
      <xdr:colOff>1161317</xdr:colOff>
      <xdr:row>58</xdr:row>
      <xdr:rowOff>32971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807" y="11144250"/>
          <a:ext cx="185737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488950</xdr:colOff>
          <xdr:row>63</xdr:row>
          <xdr:rowOff>127000</xdr:rowOff>
        </xdr:from>
        <xdr:to>
          <xdr:col>3</xdr:col>
          <xdr:colOff>755650</xdr:colOff>
          <xdr:row>65</xdr:row>
          <xdr:rowOff>69850</xdr:rowOff>
        </xdr:to>
        <xdr:sp macro="" textlink="">
          <xdr:nvSpPr>
            <xdr:cNvPr id="2049" name="Objekt 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552450</xdr:colOff>
      <xdr:row>13</xdr:row>
      <xdr:rowOff>180975</xdr:rowOff>
    </xdr:from>
    <xdr:to>
      <xdr:col>12</xdr:col>
      <xdr:colOff>552450</xdr:colOff>
      <xdr:row>28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C86E80-42C4-4B42-B2FB-5695A381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189766</xdr:colOff>
      <xdr:row>30</xdr:row>
      <xdr:rowOff>195629</xdr:rowOff>
    </xdr:from>
    <xdr:to>
      <xdr:col>17</xdr:col>
      <xdr:colOff>629675</xdr:colOff>
      <xdr:row>47</xdr:row>
      <xdr:rowOff>40152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285016</xdr:colOff>
      <xdr:row>28</xdr:row>
      <xdr:rowOff>43962</xdr:rowOff>
    </xdr:from>
    <xdr:to>
      <xdr:col>14</xdr:col>
      <xdr:colOff>185664</xdr:colOff>
      <xdr:row>30</xdr:row>
      <xdr:rowOff>194535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67824" y="5766289"/>
          <a:ext cx="2706859" cy="560881"/>
        </a:xfrm>
        <a:prstGeom prst="rect">
          <a:avLst/>
        </a:prstGeom>
      </xdr:spPr>
    </xdr:pic>
    <xdr:clientData/>
  </xdr:twoCellAnchor>
  <xdr:twoCellAnchor editAs="oneCell">
    <xdr:from>
      <xdr:col>0</xdr:col>
      <xdr:colOff>48126</xdr:colOff>
      <xdr:row>51</xdr:row>
      <xdr:rowOff>95758</xdr:rowOff>
    </xdr:from>
    <xdr:to>
      <xdr:col>1</xdr:col>
      <xdr:colOff>743573</xdr:colOff>
      <xdr:row>53</xdr:row>
      <xdr:rowOff>165608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8126" y="10492662"/>
          <a:ext cx="1611312" cy="45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569482</xdr:colOff>
      <xdr:row>51</xdr:row>
      <xdr:rowOff>162790</xdr:rowOff>
    </xdr:from>
    <xdr:to>
      <xdr:col>5</xdr:col>
      <xdr:colOff>444655</xdr:colOff>
      <xdr:row>53</xdr:row>
      <xdr:rowOff>151122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5129F4CA-2847-3D41-A186-8DE7CE069301}"/>
                </a:ext>
              </a:extLst>
            </xdr:cNvPr>
            <xdr:cNvSpPr/>
          </xdr:nvSpPr>
          <xdr:spPr>
            <a:xfrm>
              <a:off x="1485347" y="10559694"/>
              <a:ext cx="2923173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>
                        <a:latin typeface="Cambria Math" panose="02040503050406030204" pitchFamily="18" charset="0"/>
                      </a:rPr>
                      <m:t>4668,1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n-US" i="1">
                        <a:latin typeface="Cambria Math" panose="02040503050406030204" pitchFamily="18" charset="0"/>
                      </a:rPr>
                      <m:t>−1195,53</m:t>
                    </m:r>
                    <m:sSub>
                      <m:sSubPr>
                        <m:ctrlPr>
                          <a:rPr lang="de-DE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de-DE">
                            <a:solidFill>
                              <a:srgbClr val="000000"/>
                            </a:solidFill>
                          </a:rPr>
                          <m:t>∙</m:t>
                        </m:r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de-DE"/>
            </a:p>
          </xdr:txBody>
        </xdr:sp>
      </mc:Choice>
      <mc:Fallback xmlns=""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5129F4CA-2847-3D41-A186-8DE7CE069301}"/>
                </a:ext>
              </a:extLst>
            </xdr:cNvPr>
            <xdr:cNvSpPr/>
          </xdr:nvSpPr>
          <xdr:spPr>
            <a:xfrm>
              <a:off x="1485347" y="10559694"/>
              <a:ext cx="2923173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=4668,1</a:t>
              </a:r>
              <a:r>
                <a:rPr lang="en-US" b="0" i="0">
                  <a:latin typeface="Cambria Math" panose="02040503050406030204" pitchFamily="18" charset="0"/>
                </a:rPr>
                <a:t>4</a:t>
              </a:r>
              <a:r>
                <a:rPr lang="en-US" i="0">
                  <a:latin typeface="Cambria Math" panose="02040503050406030204" pitchFamily="18" charset="0"/>
                </a:rPr>
                <a:t>−1195,53</a:t>
              </a:r>
              <a:r>
                <a:rPr lang="de-DE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i="0">
                  <a:solidFill>
                    <a:srgbClr val="000000"/>
                  </a:solidFill>
                  <a:latin typeface="Cambria Math" panose="02040503050406030204" pitchFamily="18" charset="0"/>
                </a:rPr>
                <a:t>"</a:t>
              </a:r>
              <a:r>
                <a:rPr lang="de-DE" i="0">
                  <a:solidFill>
                    <a:srgbClr val="000000"/>
                  </a:solidFill>
                </a:rPr>
                <a:t>∙</a:t>
              </a:r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" 𝑥</a:t>
              </a:r>
              <a:r>
                <a:rPr lang="de-DE" i="0">
                  <a:solidFill>
                    <a:schemeClr val="tx1"/>
                  </a:solidFill>
                  <a:latin typeface="Cambria Math" panose="02040503050406030204" pitchFamily="18" charset="0"/>
                </a:rPr>
                <a:t>〗_(</a:t>
              </a:r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𝑡</a:t>
              </a:r>
              <a:r>
                <a:rPr lang="en-US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+1</a:t>
              </a:r>
              <a:r>
                <a:rPr lang="de-DE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endParaRPr lang="de-DE"/>
            </a:p>
          </xdr:txBody>
        </xdr:sp>
      </mc:Fallback>
    </mc:AlternateContent>
    <xdr:clientData/>
  </xdr:twoCellAnchor>
  <xdr:twoCellAnchor>
    <xdr:from>
      <xdr:col>0</xdr:col>
      <xdr:colOff>0</xdr:colOff>
      <xdr:row>50</xdr:row>
      <xdr:rowOff>0</xdr:rowOff>
    </xdr:from>
    <xdr:to>
      <xdr:col>2</xdr:col>
      <xdr:colOff>101916</xdr:colOff>
      <xdr:row>51</xdr:row>
      <xdr:rowOff>178832</xdr:rowOff>
    </xdr:to>
    <xdr:sp macro="" textlink="">
      <xdr:nvSpPr>
        <xdr:cNvPr id="33" name="TextBox 23">
          <a:extLst>
            <a:ext uri="{FF2B5EF4-FFF2-40B4-BE49-F238E27FC236}">
              <a16:creationId xmlns:a16="http://schemas.microsoft.com/office/drawing/2014/main" id="{2151D50C-6576-194E-9D20-A21E0F3F5DB9}"/>
            </a:ext>
          </a:extLst>
        </xdr:cNvPr>
        <xdr:cNvSpPr txBox="1"/>
      </xdr:nvSpPr>
      <xdr:spPr>
        <a:xfrm>
          <a:off x="0" y="10206404"/>
          <a:ext cx="177978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Therefore,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588066</xdr:colOff>
      <xdr:row>0</xdr:row>
      <xdr:rowOff>1</xdr:rowOff>
    </xdr:from>
    <xdr:to>
      <xdr:col>14</xdr:col>
      <xdr:colOff>397566</xdr:colOff>
      <xdr:row>8</xdr:row>
      <xdr:rowOff>98792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FE5C3B47-BD0C-964C-8C78-99B4A335FF2D}"/>
            </a:ext>
          </a:extLst>
        </xdr:cNvPr>
        <xdr:cNvSpPr txBox="1"/>
      </xdr:nvSpPr>
      <xdr:spPr>
        <a:xfrm>
          <a:off x="5160066" y="1"/>
          <a:ext cx="5905500" cy="16890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DE" sz="1400" b="1"/>
            <a:t>Problem? </a:t>
          </a:r>
        </a:p>
        <a:p>
          <a:r>
            <a:rPr lang="de-DE" sz="1400"/>
            <a:t>Some periods with demand, the other without demand (Intermittent Demand)</a:t>
          </a:r>
        </a:p>
        <a:p>
          <a:endParaRPr lang="de-DE" sz="1400"/>
        </a:p>
        <a:p>
          <a:r>
            <a:rPr lang="de-DE" sz="1400" b="1"/>
            <a:t>Appropriate Method?</a:t>
          </a:r>
        </a:p>
        <a:p>
          <a:r>
            <a:rPr lang="de-DE" sz="1400"/>
            <a:t>Croston Method</a:t>
          </a:r>
          <a:endParaRPr lang="en-US" sz="2800">
            <a:cs typeface="TUM Neue Helvetica 55 Regular" pitchFamily="34" charset="0"/>
          </a:endParaRPr>
        </a:p>
        <a:p>
          <a:endParaRPr lang="de-DE" sz="1400"/>
        </a:p>
        <a:p>
          <a:r>
            <a:rPr lang="de-DE" sz="1400"/>
            <a:t> </a:t>
          </a:r>
        </a:p>
      </xdr:txBody>
    </xdr:sp>
    <xdr:clientData/>
  </xdr:twoCellAnchor>
  <xdr:twoCellAnchor editAs="oneCell">
    <xdr:from>
      <xdr:col>6</xdr:col>
      <xdr:colOff>255735</xdr:colOff>
      <xdr:row>6</xdr:row>
      <xdr:rowOff>158138</xdr:rowOff>
    </xdr:from>
    <xdr:to>
      <xdr:col>10</xdr:col>
      <xdr:colOff>212014</xdr:colOff>
      <xdr:row>13</xdr:row>
      <xdr:rowOff>156062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A77FE7-5964-074A-BADE-3B36ABCB9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7735" y="1351270"/>
          <a:ext cx="3004279" cy="14517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614796</xdr:colOff>
      <xdr:row>0</xdr:row>
      <xdr:rowOff>0</xdr:rowOff>
    </xdr:from>
    <xdr:to>
      <xdr:col>7</xdr:col>
      <xdr:colOff>632114</xdr:colOff>
      <xdr:row>11</xdr:row>
      <xdr:rowOff>144318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796" y="0"/>
          <a:ext cx="5152159" cy="2352386"/>
        </a:xfrm>
        <a:prstGeom prst="rect">
          <a:avLst/>
        </a:prstGeom>
      </xdr:spPr>
    </xdr:pic>
    <xdr:clientData/>
  </xdr:twoCellAnchor>
  <xdr:twoCellAnchor>
    <xdr:from>
      <xdr:col>9</xdr:col>
      <xdr:colOff>138546</xdr:colOff>
      <xdr:row>5</xdr:row>
      <xdr:rowOff>129887</xdr:rowOff>
    </xdr:from>
    <xdr:to>
      <xdr:col>10</xdr:col>
      <xdr:colOff>690996</xdr:colOff>
      <xdr:row>7</xdr:row>
      <xdr:rowOff>99580</xdr:rowOff>
    </xdr:to>
    <xdr:sp macro="" textlink="">
      <xdr:nvSpPr>
        <xdr:cNvPr id="24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97387" y="1099705"/>
          <a:ext cx="1314450" cy="3506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/>
            <a:t>Austrian factory</a:t>
          </a:r>
        </a:p>
      </xdr:txBody>
    </xdr:sp>
    <xdr:clientData/>
  </xdr:twoCellAnchor>
  <xdr:twoCellAnchor>
    <xdr:from>
      <xdr:col>11</xdr:col>
      <xdr:colOff>671945</xdr:colOff>
      <xdr:row>5</xdr:row>
      <xdr:rowOff>129887</xdr:rowOff>
    </xdr:from>
    <xdr:to>
      <xdr:col>13</xdr:col>
      <xdr:colOff>462395</xdr:colOff>
      <xdr:row>7</xdr:row>
      <xdr:rowOff>99580</xdr:rowOff>
    </xdr:to>
    <xdr:sp macro="" textlink="">
      <xdr:nvSpPr>
        <xdr:cNvPr id="25" name="Textfeld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8854786" y="1099705"/>
          <a:ext cx="1314450" cy="3506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/>
            <a:t>Assembly</a:t>
          </a:r>
        </a:p>
      </xdr:txBody>
    </xdr:sp>
    <xdr:clientData/>
  </xdr:twoCellAnchor>
  <xdr:twoCellAnchor>
    <xdr:from>
      <xdr:col>14</xdr:col>
      <xdr:colOff>519545</xdr:colOff>
      <xdr:row>5</xdr:row>
      <xdr:rowOff>129887</xdr:rowOff>
    </xdr:from>
    <xdr:to>
      <xdr:col>17</xdr:col>
      <xdr:colOff>253711</xdr:colOff>
      <xdr:row>7</xdr:row>
      <xdr:rowOff>99580</xdr:rowOff>
    </xdr:to>
    <xdr:sp macro="" textlink="">
      <xdr:nvSpPr>
        <xdr:cNvPr id="26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988386" y="1099705"/>
          <a:ext cx="2020166" cy="3506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/>
            <a:t>Stores</a:t>
          </a:r>
        </a:p>
      </xdr:txBody>
    </xdr:sp>
    <xdr:clientData/>
  </xdr:twoCellAnchor>
  <xdr:twoCellAnchor>
    <xdr:from>
      <xdr:col>10</xdr:col>
      <xdr:colOff>690996</xdr:colOff>
      <xdr:row>6</xdr:row>
      <xdr:rowOff>114734</xdr:rowOff>
    </xdr:from>
    <xdr:to>
      <xdr:col>11</xdr:col>
      <xdr:colOff>671945</xdr:colOff>
      <xdr:row>6</xdr:row>
      <xdr:rowOff>114734</xdr:rowOff>
    </xdr:to>
    <xdr:cxnSp macro="">
      <xdr:nvCxnSpPr>
        <xdr:cNvPr id="27" name="Gerade Verbindung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24" idx="3"/>
          <a:endCxn id="25" idx="1"/>
        </xdr:cNvCxnSpPr>
      </xdr:nvCxnSpPr>
      <xdr:spPr>
        <a:xfrm>
          <a:off x="8111837" y="1275052"/>
          <a:ext cx="742949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462395</xdr:colOff>
      <xdr:row>6</xdr:row>
      <xdr:rowOff>114734</xdr:rowOff>
    </xdr:from>
    <xdr:to>
      <xdr:col>14</xdr:col>
      <xdr:colOff>519545</xdr:colOff>
      <xdr:row>6</xdr:row>
      <xdr:rowOff>114734</xdr:rowOff>
    </xdr:to>
    <xdr:cxnSp macro="">
      <xdr:nvCxnSpPr>
        <xdr:cNvPr id="28" name="Gerade Verbindung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25" idx="3"/>
          <a:endCxn id="26" idx="1"/>
        </xdr:cNvCxnSpPr>
      </xdr:nvCxnSpPr>
      <xdr:spPr>
        <a:xfrm>
          <a:off x="10169236" y="1275052"/>
          <a:ext cx="81915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338801</xdr:colOff>
      <xdr:row>16</xdr:row>
      <xdr:rowOff>39412</xdr:rowOff>
    </xdr:from>
    <xdr:to>
      <xdr:col>12</xdr:col>
      <xdr:colOff>137217</xdr:colOff>
      <xdr:row>21</xdr:row>
      <xdr:rowOff>188699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0801" y="3199084"/>
          <a:ext cx="4173347" cy="11017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1878</xdr:colOff>
      <xdr:row>13</xdr:row>
      <xdr:rowOff>171450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878" y="2522499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100" b="0" i="1">
                            <a:latin typeface="Cambria Math"/>
                          </a:rPr>
                          <m:t>𝑎</m:t>
                        </m:r>
                      </m:e>
                    </m:acc>
                    <m:r>
                      <a:rPr lang="de-DE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878" y="2522499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de-DE" sz="1100" b="0" i="0">
                  <a:latin typeface="Cambria Math"/>
                </a:rPr>
                <a:t>𝑎</a:t>
              </a:r>
              <a:r>
                <a:rPr lang="en-US" sz="1100" b="0" i="0">
                  <a:latin typeface="Cambria Math"/>
                </a:rPr>
                <a:t> ̂</a:t>
              </a:r>
              <a:r>
                <a:rPr lang="de-DE" sz="1100" b="0" i="0">
                  <a:latin typeface="Cambria Math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171450</xdr:rowOff>
    </xdr:from>
    <xdr:ext cx="914400" cy="277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0" y="2714625"/>
              <a:ext cx="914400" cy="277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100" b="0" i="1">
                            <a:latin typeface="Cambria Math"/>
                          </a:rPr>
                          <m:t>𝑏</m:t>
                        </m:r>
                      </m:e>
                    </m:acc>
                    <m:r>
                      <a:rPr lang="de-DE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2714625"/>
              <a:ext cx="914400" cy="277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de-DE" sz="1100" b="0" i="0">
                  <a:latin typeface="Cambria Math"/>
                </a:rPr>
                <a:t>𝑏</a:t>
              </a:r>
              <a:r>
                <a:rPr lang="en-US" sz="1100" b="0" i="0">
                  <a:latin typeface="Cambria Math"/>
                </a:rPr>
                <a:t> ̂</a:t>
              </a:r>
              <a:r>
                <a:rPr lang="de-DE" sz="1100" b="0" i="0">
                  <a:latin typeface="Cambria Math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88868</xdr:colOff>
      <xdr:row>17</xdr:row>
      <xdr:rowOff>171450</xdr:rowOff>
    </xdr:from>
    <xdr:ext cx="533742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88868" y="3284499"/>
              <a:ext cx="53374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/>
                          </a:rPr>
                          <m:t>𝑅</m:t>
                        </m:r>
                      </m:e>
                      <m:sup>
                        <m:r>
                          <a:rPr lang="en-US" sz="110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8868" y="3284499"/>
              <a:ext cx="53374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e-DE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/>
                </a:rPr>
                <a:t>^</a:t>
              </a:r>
              <a:r>
                <a:rPr lang="en-US" sz="1100" i="0">
                  <a:latin typeface="Cambria Math"/>
                </a:rPr>
                <a:t>2</a:t>
              </a:r>
              <a:r>
                <a:rPr lang="de-DE" sz="1100" b="0" i="0">
                  <a:latin typeface="Cambria Math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76200</xdr:rowOff>
    </xdr:from>
    <xdr:to>
      <xdr:col>10</xdr:col>
      <xdr:colOff>685800</xdr:colOff>
      <xdr:row>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0DA49-7E6D-8B44-86F8-9BDC50D06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3</xdr:row>
      <xdr:rowOff>50800</xdr:rowOff>
    </xdr:from>
    <xdr:to>
      <xdr:col>16</xdr:col>
      <xdr:colOff>800100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86E80-42C4-4B42-B2FB-5695A381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zoomScale="82" zoomScaleNormal="175" workbookViewId="0">
      <selection activeCell="D16" sqref="D16"/>
    </sheetView>
  </sheetViews>
  <sheetFormatPr defaultColWidth="11.453125" defaultRowHeight="14.5"/>
  <sheetData>
    <row r="2" spans="1:13" ht="16" thickBot="1">
      <c r="A2" s="2" t="s">
        <v>0</v>
      </c>
      <c r="B2" s="3">
        <v>2007</v>
      </c>
      <c r="C2" s="3">
        <v>2008</v>
      </c>
      <c r="D2" s="3">
        <v>2009</v>
      </c>
      <c r="E2" s="3">
        <v>2010</v>
      </c>
      <c r="F2" s="4">
        <v>2011</v>
      </c>
    </row>
    <row r="3" spans="1:13" ht="15.5">
      <c r="A3" s="5" t="s">
        <v>1</v>
      </c>
      <c r="B3" s="6">
        <v>1200</v>
      </c>
      <c r="C3" s="6">
        <v>1100</v>
      </c>
      <c r="D3" s="6">
        <v>1000</v>
      </c>
      <c r="E3" s="6">
        <v>960</v>
      </c>
      <c r="F3" s="7">
        <v>850</v>
      </c>
    </row>
    <row r="4" spans="1:13">
      <c r="H4" t="s">
        <v>12</v>
      </c>
      <c r="I4" t="s">
        <v>91</v>
      </c>
    </row>
    <row r="5" spans="1:13">
      <c r="L5" s="21" t="s">
        <v>53</v>
      </c>
    </row>
    <row r="6" spans="1:13">
      <c r="A6" t="s">
        <v>2</v>
      </c>
      <c r="B6" s="27" t="s">
        <v>3</v>
      </c>
      <c r="C6" s="27"/>
      <c r="D6" t="s">
        <v>6</v>
      </c>
      <c r="J6" t="s">
        <v>13</v>
      </c>
      <c r="K6">
        <v>0.1</v>
      </c>
    </row>
    <row r="7" spans="1:13">
      <c r="J7" t="s">
        <v>18</v>
      </c>
      <c r="K7">
        <v>0</v>
      </c>
    </row>
    <row r="8" spans="1:13" ht="15.5">
      <c r="A8" s="1" t="s">
        <v>0</v>
      </c>
      <c r="B8" s="1" t="s">
        <v>1</v>
      </c>
      <c r="C8" t="s">
        <v>4</v>
      </c>
      <c r="D8" t="s">
        <v>90</v>
      </c>
      <c r="J8" t="s">
        <v>17</v>
      </c>
      <c r="K8">
        <v>0.1</v>
      </c>
    </row>
    <row r="9" spans="1:13" ht="16" thickBot="1">
      <c r="A9" s="3">
        <v>2007</v>
      </c>
      <c r="B9" s="1">
        <v>1200</v>
      </c>
    </row>
    <row r="10" spans="1:13" ht="16" thickBot="1">
      <c r="A10" s="3">
        <v>2008</v>
      </c>
      <c r="B10" s="1">
        <v>1100</v>
      </c>
      <c r="C10">
        <f>AVERAGE(B9:B10)</f>
        <v>1150</v>
      </c>
      <c r="I10" t="s">
        <v>14</v>
      </c>
      <c r="J10" t="s">
        <v>15</v>
      </c>
      <c r="K10" t="s">
        <v>16</v>
      </c>
      <c r="L10" t="s">
        <v>19</v>
      </c>
    </row>
    <row r="11" spans="1:13" ht="16" thickBot="1">
      <c r="A11" s="3">
        <v>2009</v>
      </c>
      <c r="B11" s="1">
        <v>1000</v>
      </c>
      <c r="C11">
        <f t="shared" ref="C11:C13" si="0">AVERAGE(B10:B11)</f>
        <v>1050</v>
      </c>
      <c r="D11">
        <f>C10</f>
        <v>1150</v>
      </c>
      <c r="I11">
        <f>B11-D11</f>
        <v>-150</v>
      </c>
      <c r="J11">
        <f>0.1*ABS(I11)+(1-0.1)*K7</f>
        <v>15</v>
      </c>
      <c r="K11">
        <f>0.1*I11+(1-0.1)*K7</f>
        <v>-15</v>
      </c>
      <c r="L11">
        <f>K11/J11</f>
        <v>-1</v>
      </c>
    </row>
    <row r="12" spans="1:13" ht="16" thickBot="1">
      <c r="A12" s="3">
        <v>2010</v>
      </c>
      <c r="B12" s="1">
        <v>960</v>
      </c>
      <c r="C12">
        <f t="shared" si="0"/>
        <v>980</v>
      </c>
      <c r="D12">
        <f t="shared" ref="D12:D13" si="1">C11</f>
        <v>1050</v>
      </c>
      <c r="I12">
        <f>B12-D12</f>
        <v>-90</v>
      </c>
      <c r="J12">
        <f>$K$6*ABS(I12)+(1-$K$6)*J11</f>
        <v>22.5</v>
      </c>
      <c r="K12">
        <f>$K$8*I12+(1-$K$8)*K11</f>
        <v>-22.5</v>
      </c>
      <c r="L12">
        <f t="shared" ref="L12:L13" si="2">K12/J12</f>
        <v>-1</v>
      </c>
    </row>
    <row r="13" spans="1:13" ht="16" thickBot="1">
      <c r="A13" s="4">
        <v>2011</v>
      </c>
      <c r="B13" s="1">
        <v>850</v>
      </c>
      <c r="C13">
        <f t="shared" si="0"/>
        <v>905</v>
      </c>
      <c r="D13">
        <f t="shared" si="1"/>
        <v>980</v>
      </c>
      <c r="I13">
        <f t="shared" ref="I13" si="3">B13-D13</f>
        <v>-130</v>
      </c>
      <c r="J13">
        <f>$K$6*ABS(I13)+(1-$K$6)*J12</f>
        <v>33.25</v>
      </c>
      <c r="K13">
        <f>$K$8*I13+(1-$K$8)*K12</f>
        <v>-33.25</v>
      </c>
      <c r="L13">
        <f t="shared" si="2"/>
        <v>-1</v>
      </c>
    </row>
    <row r="15" spans="1:13">
      <c r="M15" t="s">
        <v>92</v>
      </c>
    </row>
    <row r="16" spans="1:13">
      <c r="A16" t="s">
        <v>5</v>
      </c>
      <c r="B16" s="27" t="s">
        <v>7</v>
      </c>
      <c r="C16" s="27"/>
      <c r="D16" t="s">
        <v>20</v>
      </c>
    </row>
    <row r="17" spans="1:12">
      <c r="C17" t="s">
        <v>4</v>
      </c>
      <c r="D17" t="s">
        <v>90</v>
      </c>
    </row>
    <row r="18" spans="1:12" ht="15.5">
      <c r="A18" s="1" t="s">
        <v>0</v>
      </c>
      <c r="B18" s="1" t="s">
        <v>1</v>
      </c>
      <c r="C18">
        <v>1300</v>
      </c>
      <c r="I18" t="s">
        <v>14</v>
      </c>
      <c r="J18" t="s">
        <v>15</v>
      </c>
      <c r="K18" t="s">
        <v>16</v>
      </c>
    </row>
    <row r="19" spans="1:12" ht="16" thickBot="1">
      <c r="A19" s="3">
        <v>2007</v>
      </c>
      <c r="B19" s="1">
        <f>B9</f>
        <v>1200</v>
      </c>
      <c r="C19">
        <f>0.2*B19+(1-0.2)*C18</f>
        <v>1280</v>
      </c>
      <c r="D19">
        <f>C18</f>
        <v>1300</v>
      </c>
      <c r="I19">
        <f>B19-D19</f>
        <v>-100</v>
      </c>
      <c r="J19">
        <f>K6*ABS(I19)+(1-K6)*K7</f>
        <v>10</v>
      </c>
      <c r="K19">
        <f>$K$8*I19+(1-$K$8)*$K$7</f>
        <v>-10</v>
      </c>
      <c r="L19">
        <f>K19/J19</f>
        <v>-1</v>
      </c>
    </row>
    <row r="20" spans="1:12" ht="16" thickBot="1">
      <c r="A20" s="3">
        <v>2008</v>
      </c>
      <c r="B20" s="1">
        <f t="shared" ref="B20:B23" si="4">B10</f>
        <v>1100</v>
      </c>
      <c r="C20">
        <f t="shared" ref="C20:C23" si="5">0.2*B20+(1-0.2)*C19</f>
        <v>1244</v>
      </c>
      <c r="D20">
        <f t="shared" ref="D20:D23" si="6">C19</f>
        <v>1280</v>
      </c>
      <c r="I20">
        <f t="shared" ref="I20:I23" si="7">B20-D20</f>
        <v>-180</v>
      </c>
      <c r="J20">
        <f>$K$6*ABS(I20)+(1-$K$6)*J19</f>
        <v>27</v>
      </c>
      <c r="K20">
        <f>$K$8*I20+(1-$K$8)*K19</f>
        <v>-27</v>
      </c>
      <c r="L20">
        <f t="shared" ref="L20:L23" si="8">K20/J20</f>
        <v>-1</v>
      </c>
    </row>
    <row r="21" spans="1:12" ht="16" thickBot="1">
      <c r="A21" s="3">
        <v>2009</v>
      </c>
      <c r="B21" s="1">
        <f t="shared" si="4"/>
        <v>1000</v>
      </c>
      <c r="C21">
        <f t="shared" si="5"/>
        <v>1195.2</v>
      </c>
      <c r="D21">
        <f t="shared" si="6"/>
        <v>1244</v>
      </c>
      <c r="I21">
        <f t="shared" si="7"/>
        <v>-244</v>
      </c>
      <c r="J21">
        <f>$K$6*ABS(I21)+(1-$K$6)*J20</f>
        <v>48.7</v>
      </c>
      <c r="K21">
        <f t="shared" ref="K21:K23" si="9">$K$8*I21+(1-$K$8)*K20</f>
        <v>-48.7</v>
      </c>
      <c r="L21">
        <f t="shared" si="8"/>
        <v>-1</v>
      </c>
    </row>
    <row r="22" spans="1:12" ht="16" thickBot="1">
      <c r="A22" s="3">
        <v>2010</v>
      </c>
      <c r="B22" s="1">
        <f t="shared" si="4"/>
        <v>960</v>
      </c>
      <c r="C22">
        <f t="shared" si="5"/>
        <v>1148.1600000000001</v>
      </c>
      <c r="D22">
        <f t="shared" si="6"/>
        <v>1195.2</v>
      </c>
      <c r="I22">
        <f t="shared" si="7"/>
        <v>-235.20000000000005</v>
      </c>
      <c r="J22">
        <f t="shared" ref="J22:J23" si="10">$K$6*ABS(I22)+(1-$K$6)*J21</f>
        <v>67.350000000000009</v>
      </c>
      <c r="K22">
        <f t="shared" si="9"/>
        <v>-67.350000000000009</v>
      </c>
      <c r="L22">
        <f t="shared" si="8"/>
        <v>-1</v>
      </c>
    </row>
    <row r="23" spans="1:12" ht="16" thickBot="1">
      <c r="A23" s="4">
        <v>2011</v>
      </c>
      <c r="B23" s="1">
        <f t="shared" si="4"/>
        <v>850</v>
      </c>
      <c r="C23">
        <f t="shared" si="5"/>
        <v>1088.5280000000002</v>
      </c>
      <c r="D23">
        <f t="shared" si="6"/>
        <v>1148.1600000000001</v>
      </c>
      <c r="I23">
        <f t="shared" si="7"/>
        <v>-298.16000000000008</v>
      </c>
      <c r="J23">
        <f t="shared" si="10"/>
        <v>90.431000000000012</v>
      </c>
      <c r="K23">
        <f t="shared" si="9"/>
        <v>-90.431000000000012</v>
      </c>
      <c r="L23">
        <f t="shared" si="8"/>
        <v>-1</v>
      </c>
    </row>
    <row r="26" spans="1:12">
      <c r="A26" t="s">
        <v>8</v>
      </c>
      <c r="B26" s="27" t="s">
        <v>9</v>
      </c>
      <c r="C26" s="27"/>
      <c r="D26" t="s">
        <v>21</v>
      </c>
    </row>
    <row r="27" spans="1:12">
      <c r="C27" t="s">
        <v>4</v>
      </c>
      <c r="D27" t="s">
        <v>10</v>
      </c>
      <c r="E27" t="s">
        <v>90</v>
      </c>
    </row>
    <row r="28" spans="1:12" ht="15.5">
      <c r="A28" s="1" t="s">
        <v>0</v>
      </c>
      <c r="B28" s="1" t="s">
        <v>1</v>
      </c>
      <c r="C28">
        <v>1300</v>
      </c>
      <c r="D28">
        <v>20</v>
      </c>
      <c r="I28" t="s">
        <v>14</v>
      </c>
      <c r="J28" t="s">
        <v>15</v>
      </c>
      <c r="K28" t="s">
        <v>16</v>
      </c>
    </row>
    <row r="29" spans="1:12" ht="16" thickBot="1">
      <c r="A29" s="3">
        <v>2007</v>
      </c>
      <c r="B29" s="1">
        <f>B19</f>
        <v>1200</v>
      </c>
      <c r="C29">
        <f>0.2*B29+(1-0.2)*(C28+D28)</f>
        <v>1296</v>
      </c>
      <c r="D29">
        <f>0.1*(C29-C28)+(1-0.1)*D28</f>
        <v>17.600000000000001</v>
      </c>
      <c r="E29">
        <f>C28+D28</f>
        <v>1320</v>
      </c>
      <c r="I29">
        <f>B29-E29</f>
        <v>-120</v>
      </c>
      <c r="J29" s="37">
        <f>K6*ABS(I29)+(1-K6)*K7</f>
        <v>12</v>
      </c>
      <c r="K29">
        <f>$K$8*I29+(1-$K$8)*$K$7</f>
        <v>-12</v>
      </c>
      <c r="L29">
        <f>K29/J29</f>
        <v>-1</v>
      </c>
    </row>
    <row r="30" spans="1:12" ht="16" thickBot="1">
      <c r="A30" s="3">
        <v>2008</v>
      </c>
      <c r="B30" s="1">
        <f t="shared" ref="B30:B33" si="11">B20</f>
        <v>1100</v>
      </c>
      <c r="C30">
        <f t="shared" ref="C30:C33" si="12">0.2*B30+(1-0.2)*(C29+D29)</f>
        <v>1270.8799999999999</v>
      </c>
      <c r="D30">
        <f t="shared" ref="D30:D33" si="13">0.1*(C30-C29)+(1-0.1)*D29</f>
        <v>13.327999999999989</v>
      </c>
      <c r="E30">
        <f t="shared" ref="E30:E33" si="14">C29+D29</f>
        <v>1313.6</v>
      </c>
      <c r="I30">
        <f>B30-E30</f>
        <v>-213.59999999999991</v>
      </c>
      <c r="J30" s="37">
        <f>$K$6*ABS(I30)+(1-$K$6)*J29</f>
        <v>32.159999999999997</v>
      </c>
      <c r="K30">
        <f>$K$8*I30+(1-$K$8)*K29</f>
        <v>-32.159999999999997</v>
      </c>
      <c r="L30">
        <f>K30/J30</f>
        <v>-1</v>
      </c>
    </row>
    <row r="31" spans="1:12" ht="16" thickBot="1">
      <c r="A31" s="3">
        <v>2009</v>
      </c>
      <c r="B31" s="1">
        <f t="shared" si="11"/>
        <v>1000</v>
      </c>
      <c r="C31">
        <f t="shared" si="12"/>
        <v>1227.3663999999999</v>
      </c>
      <c r="D31">
        <f t="shared" si="13"/>
        <v>7.6438399999999902</v>
      </c>
      <c r="E31">
        <f t="shared" si="14"/>
        <v>1284.2079999999999</v>
      </c>
      <c r="I31">
        <f t="shared" ref="I31:I33" si="15">B31-E31</f>
        <v>-284.20799999999986</v>
      </c>
      <c r="J31" s="37">
        <f t="shared" ref="J31:J33" si="16">$K$6*ABS(I31)+(1-$K$6)*J30</f>
        <v>57.364799999999988</v>
      </c>
      <c r="K31">
        <f t="shared" ref="K31:K33" si="17">$K$8*I31+(1-$K$8)*K30</f>
        <v>-57.364799999999988</v>
      </c>
      <c r="L31">
        <f t="shared" ref="L31:L33" si="18">K31/J31</f>
        <v>-1</v>
      </c>
    </row>
    <row r="32" spans="1:12" ht="16" thickBot="1">
      <c r="A32" s="3">
        <v>2010</v>
      </c>
      <c r="B32" s="1">
        <f t="shared" si="11"/>
        <v>960</v>
      </c>
      <c r="C32">
        <f t="shared" si="12"/>
        <v>1180.0081919999998</v>
      </c>
      <c r="D32">
        <f t="shared" si="13"/>
        <v>2.1436351999999808</v>
      </c>
      <c r="E32">
        <f t="shared" si="14"/>
        <v>1235.0102399999998</v>
      </c>
      <c r="I32">
        <f t="shared" si="15"/>
        <v>-275.01023999999984</v>
      </c>
      <c r="J32" s="37">
        <f t="shared" si="16"/>
        <v>79.129343999999975</v>
      </c>
      <c r="K32">
        <f t="shared" si="17"/>
        <v>-79.129343999999975</v>
      </c>
      <c r="L32">
        <f t="shared" si="18"/>
        <v>-1</v>
      </c>
    </row>
    <row r="33" spans="1:12" ht="16" thickBot="1">
      <c r="A33" s="4">
        <v>2011</v>
      </c>
      <c r="B33" s="1">
        <f t="shared" si="11"/>
        <v>850</v>
      </c>
      <c r="C33">
        <f t="shared" si="12"/>
        <v>1115.7214617599998</v>
      </c>
      <c r="D33">
        <f t="shared" si="13"/>
        <v>-4.4994013440000176</v>
      </c>
      <c r="E33">
        <f t="shared" si="14"/>
        <v>1182.1518271999998</v>
      </c>
      <c r="I33">
        <f t="shared" si="15"/>
        <v>-332.15182719999984</v>
      </c>
      <c r="J33" s="37">
        <f t="shared" si="16"/>
        <v>104.43159231999996</v>
      </c>
      <c r="K33">
        <f t="shared" si="17"/>
        <v>-104.43159231999996</v>
      </c>
      <c r="L33">
        <f t="shared" si="18"/>
        <v>-1</v>
      </c>
    </row>
    <row r="37" spans="1:12" ht="15.5">
      <c r="A37" s="30" t="s">
        <v>0</v>
      </c>
      <c r="B37" s="30" t="s">
        <v>24</v>
      </c>
      <c r="C37" s="30" t="s">
        <v>5</v>
      </c>
      <c r="D37" s="30" t="s">
        <v>8</v>
      </c>
    </row>
    <row r="38" spans="1:12" ht="16" thickBot="1">
      <c r="A38" s="3">
        <v>2007</v>
      </c>
      <c r="B38" s="30"/>
      <c r="C38" s="30">
        <f>D19</f>
        <v>1300</v>
      </c>
      <c r="D38" s="30">
        <f>E29</f>
        <v>1320</v>
      </c>
    </row>
    <row r="39" spans="1:12" ht="16" thickBot="1">
      <c r="A39" s="3">
        <v>2008</v>
      </c>
      <c r="B39" s="30"/>
      <c r="C39" s="30">
        <f t="shared" ref="C39:C42" si="19">D20</f>
        <v>1280</v>
      </c>
      <c r="D39" s="30">
        <f t="shared" ref="D39:D42" si="20">E30</f>
        <v>1313.6</v>
      </c>
    </row>
    <row r="40" spans="1:12" ht="16" thickBot="1">
      <c r="A40" s="3">
        <v>2009</v>
      </c>
      <c r="B40" s="30">
        <f>D11</f>
        <v>1150</v>
      </c>
      <c r="C40" s="30">
        <f t="shared" si="19"/>
        <v>1244</v>
      </c>
      <c r="D40" s="31">
        <f t="shared" si="20"/>
        <v>1284.2079999999999</v>
      </c>
    </row>
    <row r="41" spans="1:12" ht="16" thickBot="1">
      <c r="A41" s="3">
        <v>2010</v>
      </c>
      <c r="B41" s="30">
        <f>D12</f>
        <v>1050</v>
      </c>
      <c r="C41" s="30">
        <f t="shared" si="19"/>
        <v>1195.2</v>
      </c>
      <c r="D41" s="31">
        <f t="shared" si="20"/>
        <v>1235.0102399999998</v>
      </c>
    </row>
    <row r="42" spans="1:12" ht="16" thickBot="1">
      <c r="A42" s="4">
        <v>2011</v>
      </c>
      <c r="B42" s="30">
        <f t="shared" ref="B42" si="21">D13</f>
        <v>980</v>
      </c>
      <c r="C42" s="30">
        <f t="shared" si="19"/>
        <v>1148.1600000000001</v>
      </c>
      <c r="D42" s="31">
        <f t="shared" si="20"/>
        <v>1182.1518271999998</v>
      </c>
    </row>
  </sheetData>
  <pageMargins left="0.7" right="0.7" top="0.78740157499999996" bottom="0.78740157499999996" header="0.3" footer="0.3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4</xdr:col>
                <xdr:colOff>685800</xdr:colOff>
                <xdr:row>13</xdr:row>
                <xdr:rowOff>152400</xdr:rowOff>
              </from>
              <to>
                <xdr:col>6</xdr:col>
                <xdr:colOff>641350</xdr:colOff>
                <xdr:row>15</xdr:row>
                <xdr:rowOff>50800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opLeftCell="A15" zoomScale="52" zoomScaleNormal="130" workbookViewId="0">
      <selection activeCell="C68" sqref="C68"/>
    </sheetView>
  </sheetViews>
  <sheetFormatPr defaultColWidth="11.453125" defaultRowHeight="14.5"/>
  <cols>
    <col min="1" max="1" width="13.7265625" bestFit="1" customWidth="1"/>
    <col min="6" max="6" width="18.1796875" bestFit="1" customWidth="1"/>
    <col min="12" max="12" width="18.1796875" bestFit="1" customWidth="1"/>
    <col min="14" max="14" width="12.54296875" bestFit="1" customWidth="1"/>
  </cols>
  <sheetData>
    <row r="1" spans="1:5" ht="15" thickBot="1"/>
    <row r="2" spans="1:5" ht="16" thickBot="1">
      <c r="A2" s="8" t="s">
        <v>22</v>
      </c>
      <c r="B2" s="8" t="s">
        <v>1</v>
      </c>
      <c r="C2" s="8" t="s">
        <v>23</v>
      </c>
    </row>
    <row r="3" spans="1:5" ht="24" thickBot="1">
      <c r="A3" s="9">
        <v>6</v>
      </c>
      <c r="B3" s="10">
        <v>3000</v>
      </c>
      <c r="C3" s="10">
        <v>1.49</v>
      </c>
      <c r="E3" s="22" t="s">
        <v>54</v>
      </c>
    </row>
    <row r="4" spans="1:5" ht="16" thickBot="1">
      <c r="A4" s="9">
        <v>7</v>
      </c>
      <c r="B4" s="10">
        <v>3100</v>
      </c>
      <c r="C4" s="10">
        <v>1.49</v>
      </c>
    </row>
    <row r="5" spans="1:5" ht="16" thickBot="1">
      <c r="A5" s="9">
        <v>2</v>
      </c>
      <c r="B5" s="10">
        <v>2000</v>
      </c>
      <c r="C5" s="10">
        <v>1.99</v>
      </c>
    </row>
    <row r="6" spans="1:5" ht="16" thickBot="1">
      <c r="A6" s="9">
        <v>1</v>
      </c>
      <c r="B6" s="10">
        <v>1500</v>
      </c>
      <c r="C6" s="10">
        <v>2.4900000000000002</v>
      </c>
    </row>
    <row r="7" spans="1:5" ht="16" thickBot="1">
      <c r="A7" s="9">
        <v>8</v>
      </c>
      <c r="B7" s="10">
        <v>1800</v>
      </c>
      <c r="C7" s="10">
        <v>2.4900000000000002</v>
      </c>
    </row>
    <row r="8" spans="1:5" ht="16" thickBot="1">
      <c r="A8" s="9">
        <v>11</v>
      </c>
      <c r="B8" s="10">
        <v>1600</v>
      </c>
      <c r="C8" s="10">
        <v>2.4900000000000002</v>
      </c>
    </row>
    <row r="9" spans="1:5" ht="16" thickBot="1">
      <c r="A9" s="9">
        <v>12</v>
      </c>
      <c r="B9" s="10">
        <v>800</v>
      </c>
      <c r="C9" s="10">
        <v>3.19</v>
      </c>
    </row>
    <row r="10" spans="1:5" ht="16" thickBot="1">
      <c r="A10" s="9">
        <v>9</v>
      </c>
      <c r="B10" s="10">
        <v>700</v>
      </c>
      <c r="C10" s="10">
        <v>3.29</v>
      </c>
    </row>
    <row r="11" spans="1:5" ht="16" thickBot="1">
      <c r="A11" s="9">
        <v>3</v>
      </c>
      <c r="B11" s="10">
        <v>500</v>
      </c>
      <c r="C11" s="10">
        <v>3.49</v>
      </c>
    </row>
    <row r="12" spans="1:5" ht="16" thickBot="1">
      <c r="A12" s="9">
        <v>4</v>
      </c>
      <c r="B12" s="10">
        <v>600</v>
      </c>
      <c r="C12" s="10">
        <v>3.59</v>
      </c>
    </row>
    <row r="13" spans="1:5" ht="16" thickBot="1">
      <c r="A13" s="9">
        <v>5</v>
      </c>
      <c r="B13" s="10">
        <v>550</v>
      </c>
      <c r="C13" s="10">
        <v>3.59</v>
      </c>
    </row>
    <row r="14" spans="1:5" ht="16" thickBot="1">
      <c r="A14" s="9">
        <v>10</v>
      </c>
      <c r="B14" s="10">
        <v>200</v>
      </c>
      <c r="C14" s="10">
        <v>3.59</v>
      </c>
    </row>
    <row r="16" spans="1:5">
      <c r="A16" t="s">
        <v>24</v>
      </c>
    </row>
    <row r="29" spans="1:14" ht="15" thickBot="1">
      <c r="A29" t="s">
        <v>93</v>
      </c>
    </row>
    <row r="30" spans="1:14" ht="16" thickBot="1">
      <c r="A30" s="8" t="s">
        <v>1</v>
      </c>
      <c r="B30" s="8" t="s">
        <v>23</v>
      </c>
      <c r="C30" s="24" t="s">
        <v>27</v>
      </c>
      <c r="D30" s="25" t="s">
        <v>29</v>
      </c>
      <c r="E30" s="26" t="s">
        <v>28</v>
      </c>
      <c r="F30" s="25" t="s">
        <v>31</v>
      </c>
      <c r="H30" t="s">
        <v>11</v>
      </c>
      <c r="I30" t="s">
        <v>94</v>
      </c>
      <c r="J30" t="s">
        <v>35</v>
      </c>
    </row>
    <row r="31" spans="1:14" ht="16" thickBot="1">
      <c r="A31" s="10">
        <v>3000</v>
      </c>
      <c r="B31" s="10">
        <v>1.49</v>
      </c>
      <c r="C31">
        <f>B31-$B$44</f>
        <v>-1.2749999999999992</v>
      </c>
      <c r="D31" s="23">
        <f>C31^2</f>
        <v>1.6256249999999981</v>
      </c>
      <c r="E31">
        <f>A31-$B$45</f>
        <v>1637.5</v>
      </c>
      <c r="F31" s="23">
        <f>C31*E31</f>
        <v>-2087.8124999999986</v>
      </c>
      <c r="H31" s="37">
        <f>$B$48+$B$47*B31</f>
        <v>2886.8004223864818</v>
      </c>
      <c r="I31" s="37">
        <f>(H31-$B$45)^2</f>
        <v>2323491.7776876069</v>
      </c>
      <c r="J31">
        <f>(A31-$B$45)^2</f>
        <v>2681406.25</v>
      </c>
      <c r="K31" s="37"/>
      <c r="L31" s="45"/>
      <c r="M31" s="37"/>
      <c r="N31" s="37"/>
    </row>
    <row r="32" spans="1:14" ht="16" thickBot="1">
      <c r="A32" s="10">
        <v>3100</v>
      </c>
      <c r="B32" s="10">
        <v>1.49</v>
      </c>
      <c r="C32">
        <f t="shared" ref="C32:C42" si="0">B32-$B$44</f>
        <v>-1.2749999999999992</v>
      </c>
      <c r="D32" s="23">
        <f t="shared" ref="D32:D42" si="1">C32^2</f>
        <v>1.6256249999999981</v>
      </c>
      <c r="E32">
        <f t="shared" ref="E32:E42" si="2">A32-$B$45</f>
        <v>1737.5</v>
      </c>
      <c r="F32" s="23">
        <f t="shared" ref="F32:F42" si="3">C32*E32</f>
        <v>-2215.3124999999986</v>
      </c>
      <c r="H32" s="37">
        <f t="shared" ref="H32:H42" si="4">$B$48+$B$47*B32</f>
        <v>2886.8004223864818</v>
      </c>
      <c r="I32">
        <f t="shared" ref="I32:I42" si="5">(H32-$B$45)^2</f>
        <v>2323491.7776876069</v>
      </c>
      <c r="J32">
        <f t="shared" ref="J32:J42" si="6">(A32-$B$45)^2</f>
        <v>3018906.25</v>
      </c>
      <c r="K32" s="37"/>
      <c r="L32" s="37"/>
      <c r="M32" s="37"/>
      <c r="N32" s="37"/>
    </row>
    <row r="33" spans="1:14" ht="16" thickBot="1">
      <c r="A33" s="10">
        <v>2000</v>
      </c>
      <c r="B33" s="10">
        <v>1.99</v>
      </c>
      <c r="C33">
        <f t="shared" si="0"/>
        <v>-0.77499999999999925</v>
      </c>
      <c r="D33" s="23">
        <f t="shared" si="1"/>
        <v>0.60062499999999885</v>
      </c>
      <c r="E33">
        <f t="shared" si="2"/>
        <v>637.5</v>
      </c>
      <c r="F33" s="23">
        <f t="shared" si="3"/>
        <v>-494.06249999999955</v>
      </c>
      <c r="H33" s="37">
        <f t="shared" si="4"/>
        <v>2289.0355508623707</v>
      </c>
      <c r="I33">
        <f t="shared" si="5"/>
        <v>858468.12701183662</v>
      </c>
      <c r="J33">
        <f t="shared" si="6"/>
        <v>406406.25</v>
      </c>
      <c r="K33" s="37"/>
      <c r="L33" s="37"/>
      <c r="M33" s="37"/>
      <c r="N33" s="37"/>
    </row>
    <row r="34" spans="1:14" ht="16" thickBot="1">
      <c r="A34" s="10">
        <v>1500</v>
      </c>
      <c r="B34" s="10">
        <v>2.4900000000000002</v>
      </c>
      <c r="C34">
        <f t="shared" si="0"/>
        <v>-0.27499999999999902</v>
      </c>
      <c r="D34" s="23">
        <f t="shared" si="1"/>
        <v>7.5624999999999457E-2</v>
      </c>
      <c r="E34">
        <f t="shared" si="2"/>
        <v>137.5</v>
      </c>
      <c r="F34" s="23">
        <f t="shared" si="3"/>
        <v>-37.812499999999865</v>
      </c>
      <c r="H34" s="37">
        <f t="shared" si="4"/>
        <v>1691.2706793382595</v>
      </c>
      <c r="I34">
        <f t="shared" si="5"/>
        <v>108090.15959254063</v>
      </c>
      <c r="J34">
        <f t="shared" si="6"/>
        <v>18906.25</v>
      </c>
      <c r="K34" s="37"/>
      <c r="L34" s="37"/>
      <c r="M34" s="37"/>
      <c r="N34" s="37"/>
    </row>
    <row r="35" spans="1:14" ht="16" thickBot="1">
      <c r="A35" s="10">
        <v>1800</v>
      </c>
      <c r="B35" s="10">
        <v>2.4900000000000002</v>
      </c>
      <c r="C35">
        <f t="shared" si="0"/>
        <v>-0.27499999999999902</v>
      </c>
      <c r="D35" s="23">
        <f t="shared" si="1"/>
        <v>7.5624999999999457E-2</v>
      </c>
      <c r="E35">
        <f t="shared" si="2"/>
        <v>437.5</v>
      </c>
      <c r="F35" s="23">
        <f t="shared" si="3"/>
        <v>-120.31249999999957</v>
      </c>
      <c r="H35" s="37">
        <f t="shared" si="4"/>
        <v>1691.2706793382595</v>
      </c>
      <c r="I35">
        <f t="shared" si="5"/>
        <v>108090.15959254063</v>
      </c>
      <c r="J35">
        <f t="shared" si="6"/>
        <v>191406.25</v>
      </c>
      <c r="K35" s="37"/>
      <c r="L35" s="37"/>
      <c r="M35" s="37"/>
      <c r="N35" s="37"/>
    </row>
    <row r="36" spans="1:14" ht="16" thickBot="1">
      <c r="A36" s="10">
        <v>1600</v>
      </c>
      <c r="B36" s="10">
        <v>2.4900000000000002</v>
      </c>
      <c r="C36">
        <f t="shared" si="0"/>
        <v>-0.27499999999999902</v>
      </c>
      <c r="D36" s="23">
        <f t="shared" si="1"/>
        <v>7.5624999999999457E-2</v>
      </c>
      <c r="E36">
        <f t="shared" si="2"/>
        <v>237.5</v>
      </c>
      <c r="F36" s="23">
        <f t="shared" si="3"/>
        <v>-65.312499999999773</v>
      </c>
      <c r="H36" s="37">
        <f t="shared" si="4"/>
        <v>1691.2706793382595</v>
      </c>
      <c r="I36">
        <f t="shared" si="5"/>
        <v>108090.15959254063</v>
      </c>
      <c r="J36">
        <f t="shared" si="6"/>
        <v>56406.25</v>
      </c>
      <c r="K36" s="37"/>
      <c r="L36" s="37"/>
      <c r="M36" s="37"/>
      <c r="N36" s="37"/>
    </row>
    <row r="37" spans="1:14" ht="16" thickBot="1">
      <c r="A37" s="10">
        <v>800</v>
      </c>
      <c r="B37" s="10">
        <v>3.19</v>
      </c>
      <c r="C37">
        <f t="shared" si="0"/>
        <v>0.42500000000000071</v>
      </c>
      <c r="D37" s="23">
        <f t="shared" si="1"/>
        <v>0.18062500000000059</v>
      </c>
      <c r="E37">
        <f t="shared" si="2"/>
        <v>-562.5</v>
      </c>
      <c r="F37" s="23">
        <f t="shared" si="3"/>
        <v>-239.0625000000004</v>
      </c>
      <c r="H37" s="37">
        <f t="shared" si="4"/>
        <v>854.39985920450454</v>
      </c>
      <c r="I37">
        <f t="shared" si="5"/>
        <v>258165.75307640232</v>
      </c>
      <c r="J37">
        <f t="shared" si="6"/>
        <v>316406.25</v>
      </c>
      <c r="K37" s="37"/>
      <c r="L37" s="37"/>
      <c r="M37" s="37"/>
      <c r="N37" s="37"/>
    </row>
    <row r="38" spans="1:14" ht="16" thickBot="1">
      <c r="A38" s="10">
        <v>700</v>
      </c>
      <c r="B38" s="10">
        <v>3.29</v>
      </c>
      <c r="C38">
        <f t="shared" si="0"/>
        <v>0.5250000000000008</v>
      </c>
      <c r="D38" s="23">
        <f t="shared" si="1"/>
        <v>0.27562500000000084</v>
      </c>
      <c r="E38">
        <f t="shared" si="2"/>
        <v>-662.5</v>
      </c>
      <c r="F38" s="23">
        <f t="shared" si="3"/>
        <v>-347.81250000000051</v>
      </c>
      <c r="H38" s="37">
        <f t="shared" si="4"/>
        <v>734.84688489968221</v>
      </c>
      <c r="I38">
        <f t="shared" si="5"/>
        <v>393948.43289513275</v>
      </c>
      <c r="J38">
        <f t="shared" si="6"/>
        <v>438906.25</v>
      </c>
      <c r="K38" s="37"/>
      <c r="L38" s="37"/>
      <c r="M38" s="37"/>
      <c r="N38" s="37"/>
    </row>
    <row r="39" spans="1:14" ht="16" thickBot="1">
      <c r="A39" s="10">
        <v>500</v>
      </c>
      <c r="B39" s="10">
        <v>3.49</v>
      </c>
      <c r="C39">
        <f t="shared" si="0"/>
        <v>0.72500000000000098</v>
      </c>
      <c r="D39" s="23">
        <f t="shared" si="1"/>
        <v>0.52562500000000145</v>
      </c>
      <c r="E39">
        <f t="shared" si="2"/>
        <v>-862.5</v>
      </c>
      <c r="F39" s="23">
        <f t="shared" si="3"/>
        <v>-625.3125000000008</v>
      </c>
      <c r="H39" s="37">
        <f t="shared" si="4"/>
        <v>495.7409362900371</v>
      </c>
      <c r="I39">
        <f t="shared" si="5"/>
        <v>751271.27452337148</v>
      </c>
      <c r="J39">
        <f t="shared" si="6"/>
        <v>743906.25</v>
      </c>
      <c r="K39" s="37"/>
      <c r="L39" s="37"/>
      <c r="M39" s="37"/>
      <c r="N39" s="37"/>
    </row>
    <row r="40" spans="1:14" ht="16" thickBot="1">
      <c r="A40" s="10">
        <v>600</v>
      </c>
      <c r="B40" s="10">
        <v>3.59</v>
      </c>
      <c r="C40">
        <f t="shared" si="0"/>
        <v>0.82500000000000062</v>
      </c>
      <c r="D40" s="23">
        <f t="shared" si="1"/>
        <v>0.68062500000000103</v>
      </c>
      <c r="E40">
        <f t="shared" si="2"/>
        <v>-762.5</v>
      </c>
      <c r="F40" s="23">
        <f t="shared" si="3"/>
        <v>-629.06250000000045</v>
      </c>
      <c r="H40" s="37">
        <f t="shared" si="4"/>
        <v>376.18796198521522</v>
      </c>
      <c r="I40">
        <f t="shared" si="5"/>
        <v>972811.43633287819</v>
      </c>
      <c r="J40">
        <f t="shared" si="6"/>
        <v>581406.25</v>
      </c>
      <c r="K40" s="37"/>
      <c r="L40" s="37"/>
      <c r="M40" s="37"/>
      <c r="N40" s="37"/>
    </row>
    <row r="41" spans="1:14" ht="16" thickBot="1">
      <c r="A41" s="10">
        <v>550</v>
      </c>
      <c r="B41" s="10">
        <v>3.59</v>
      </c>
      <c r="C41">
        <f t="shared" si="0"/>
        <v>0.82500000000000062</v>
      </c>
      <c r="D41" s="23">
        <f t="shared" si="1"/>
        <v>0.68062500000000103</v>
      </c>
      <c r="E41">
        <f t="shared" si="2"/>
        <v>-812.5</v>
      </c>
      <c r="F41" s="23">
        <f t="shared" si="3"/>
        <v>-670.31250000000045</v>
      </c>
      <c r="H41" s="37">
        <f t="shared" si="4"/>
        <v>376.18796198521522</v>
      </c>
      <c r="I41">
        <f t="shared" si="5"/>
        <v>972811.43633287819</v>
      </c>
      <c r="J41">
        <f t="shared" si="6"/>
        <v>660156.25</v>
      </c>
      <c r="K41" s="37"/>
      <c r="L41" s="37"/>
      <c r="M41" s="37"/>
      <c r="N41" s="37"/>
    </row>
    <row r="42" spans="1:14" ht="16" thickBot="1">
      <c r="A42" s="10">
        <v>200</v>
      </c>
      <c r="B42" s="10">
        <v>3.59</v>
      </c>
      <c r="C42">
        <f t="shared" si="0"/>
        <v>0.82500000000000062</v>
      </c>
      <c r="D42" s="23">
        <f t="shared" si="1"/>
        <v>0.68062500000000103</v>
      </c>
      <c r="E42">
        <f t="shared" si="2"/>
        <v>-1162.5</v>
      </c>
      <c r="F42" s="23">
        <f t="shared" si="3"/>
        <v>-959.06250000000068</v>
      </c>
      <c r="H42" s="37">
        <f t="shared" si="4"/>
        <v>376.18796198521522</v>
      </c>
      <c r="I42">
        <f t="shared" si="5"/>
        <v>972811.43633287819</v>
      </c>
      <c r="J42">
        <f t="shared" si="6"/>
        <v>1351406.25</v>
      </c>
      <c r="K42" s="37"/>
      <c r="L42" s="37"/>
      <c r="M42" s="37"/>
      <c r="N42" s="37"/>
    </row>
    <row r="43" spans="1:14">
      <c r="A43" t="s">
        <v>30</v>
      </c>
      <c r="D43">
        <f>SUM(D31:D42)</f>
        <v>7.1025</v>
      </c>
      <c r="F43">
        <f>SUM(F31:F42)</f>
        <v>-8491.2499999999982</v>
      </c>
      <c r="I43" s="16">
        <f>SUM(I31:I42)</f>
        <v>10151541.930658214</v>
      </c>
      <c r="J43" s="29">
        <f>SUM(J31:J42)</f>
        <v>10465625</v>
      </c>
      <c r="L43" s="37"/>
      <c r="M43" s="37"/>
      <c r="N43" s="37"/>
    </row>
    <row r="44" spans="1:14">
      <c r="A44" s="17" t="s">
        <v>25</v>
      </c>
      <c r="B44" s="17">
        <f>AVERAGE(B31:B42)</f>
        <v>2.7649999999999992</v>
      </c>
      <c r="L44" s="44"/>
      <c r="N44" s="44"/>
    </row>
    <row r="45" spans="1:14">
      <c r="A45" s="17" t="s">
        <v>26</v>
      </c>
      <c r="B45" s="17">
        <f>AVERAGE(A31:A42)</f>
        <v>1362.5</v>
      </c>
    </row>
    <row r="47" spans="1:14">
      <c r="A47" s="28" t="s">
        <v>32</v>
      </c>
      <c r="B47" s="28">
        <f>F43/D43</f>
        <v>-1195.5297430482221</v>
      </c>
    </row>
    <row r="48" spans="1:14">
      <c r="A48" s="28" t="s">
        <v>33</v>
      </c>
      <c r="B48" s="28">
        <f>B45-B44*B47</f>
        <v>4668.1397395283329</v>
      </c>
    </row>
    <row r="51" spans="1:4">
      <c r="A51" s="46"/>
    </row>
    <row r="57" spans="1:4">
      <c r="A57" t="s">
        <v>96</v>
      </c>
    </row>
    <row r="60" spans="1:4">
      <c r="A60" t="s">
        <v>34</v>
      </c>
      <c r="B60">
        <f>I43/J43</f>
        <v>0.96998907668277945</v>
      </c>
      <c r="D60" t="s">
        <v>52</v>
      </c>
    </row>
    <row r="64" spans="1:4">
      <c r="A64" t="s">
        <v>95</v>
      </c>
    </row>
    <row r="65" spans="1:2">
      <c r="A65" t="s">
        <v>62</v>
      </c>
      <c r="B65">
        <f>B48+B47*1.49</f>
        <v>2886.8004223864818</v>
      </c>
    </row>
  </sheetData>
  <sortState ref="A3:C17">
    <sortCondition ref="C1"/>
  </sortState>
  <pageMargins left="0.7" right="0.7" top="0.78740157499999996" bottom="0.78740157499999996" header="0.3" footer="0.3"/>
  <pageSetup paperSize="9" scale="56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2</xdr:col>
                <xdr:colOff>488950</xdr:colOff>
                <xdr:row>63</xdr:row>
                <xdr:rowOff>127000</xdr:rowOff>
              </from>
              <to>
                <xdr:col>3</xdr:col>
                <xdr:colOff>755650</xdr:colOff>
                <xdr:row>65</xdr:row>
                <xdr:rowOff>69850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zoomScaleNormal="190" workbookViewId="0">
      <selection activeCell="F10" sqref="F10"/>
    </sheetView>
  </sheetViews>
  <sheetFormatPr defaultColWidth="11.453125" defaultRowHeight="14.5"/>
  <sheetData>
    <row r="1" spans="1:6" ht="15" thickBot="1"/>
    <row r="2" spans="1:6" ht="16" thickBot="1">
      <c r="A2" s="11" t="s">
        <v>36</v>
      </c>
      <c r="B2" s="12">
        <v>12</v>
      </c>
      <c r="C2" s="12">
        <v>18</v>
      </c>
      <c r="D2" s="12">
        <v>35</v>
      </c>
      <c r="E2" s="12">
        <v>47</v>
      </c>
      <c r="F2" s="12">
        <v>61</v>
      </c>
    </row>
    <row r="3" spans="1:6" ht="16" thickBot="1">
      <c r="A3" s="13" t="s">
        <v>1</v>
      </c>
      <c r="B3" s="14">
        <v>7</v>
      </c>
      <c r="C3" s="14">
        <v>8</v>
      </c>
      <c r="D3" s="14">
        <v>5</v>
      </c>
      <c r="E3" s="14">
        <v>3</v>
      </c>
      <c r="F3" s="14">
        <v>5</v>
      </c>
    </row>
    <row r="5" spans="1:6">
      <c r="A5" t="s">
        <v>97</v>
      </c>
      <c r="B5">
        <v>0.2</v>
      </c>
    </row>
    <row r="6" spans="1:6" ht="17.25" customHeight="1">
      <c r="A6" t="s">
        <v>99</v>
      </c>
      <c r="B6" s="51" t="s">
        <v>98</v>
      </c>
    </row>
    <row r="7" spans="1:6" ht="15" thickBot="1">
      <c r="E7" t="s">
        <v>38</v>
      </c>
      <c r="F7" t="s">
        <v>37</v>
      </c>
    </row>
    <row r="8" spans="1:6" ht="16" thickBot="1">
      <c r="A8" s="47" t="s">
        <v>36</v>
      </c>
      <c r="B8" s="48" t="s">
        <v>1</v>
      </c>
      <c r="C8" t="s">
        <v>33</v>
      </c>
      <c r="D8" t="s">
        <v>40</v>
      </c>
      <c r="E8" s="15" t="s">
        <v>39</v>
      </c>
      <c r="F8" s="15" t="s">
        <v>36</v>
      </c>
    </row>
    <row r="9" spans="1:6" ht="15" thickBot="1">
      <c r="A9" s="49">
        <v>0</v>
      </c>
      <c r="B9" s="50">
        <v>0</v>
      </c>
      <c r="C9">
        <v>5</v>
      </c>
      <c r="D9">
        <v>14</v>
      </c>
      <c r="E9">
        <f>C9</f>
        <v>5</v>
      </c>
      <c r="F9">
        <f>D9</f>
        <v>14</v>
      </c>
    </row>
    <row r="10" spans="1:6" ht="16" thickBot="1">
      <c r="A10" s="14">
        <v>12</v>
      </c>
      <c r="B10" s="14">
        <v>7</v>
      </c>
      <c r="C10">
        <f>$B$5*B10+(1-$B$5)*C9</f>
        <v>5.4</v>
      </c>
      <c r="D10">
        <f>$B$5*(A10-A9)+(1-$B$5)*D9</f>
        <v>13.600000000000001</v>
      </c>
      <c r="E10">
        <f>ROUND(C10+0.5,0)</f>
        <v>6</v>
      </c>
      <c r="F10">
        <f>A10+ROUND(D10-0.5,0)</f>
        <v>25</v>
      </c>
    </row>
    <row r="11" spans="1:6" ht="16" thickBot="1">
      <c r="A11" s="12">
        <v>18</v>
      </c>
      <c r="B11" s="14">
        <v>8</v>
      </c>
      <c r="C11">
        <f>$B$5*B11+(1-$B$5)*C10</f>
        <v>5.92</v>
      </c>
      <c r="D11">
        <f>$B$5*(A11-A10)+(1-$B$5)*D10</f>
        <v>12.080000000000002</v>
      </c>
      <c r="E11">
        <f>ROUND(C11+0.5,0)</f>
        <v>6</v>
      </c>
      <c r="F11">
        <f>A11+ROUND(D11-0.5,0)</f>
        <v>30</v>
      </c>
    </row>
    <row r="12" spans="1:6" ht="16" thickBot="1">
      <c r="A12" s="12">
        <v>35</v>
      </c>
      <c r="B12" s="14">
        <v>5</v>
      </c>
      <c r="C12">
        <f>$B$5*B12+(1-$B$5)*C11</f>
        <v>5.7359999999999998</v>
      </c>
      <c r="D12">
        <f t="shared" ref="D12:D14" si="0">$B$5*(A12-A11)+(1-$B$5)*D11</f>
        <v>13.064000000000002</v>
      </c>
      <c r="E12">
        <f>ROUND(C12+0.5,0)</f>
        <v>6</v>
      </c>
      <c r="F12">
        <f t="shared" ref="F12:F14" si="1">A12+ROUND(D12-0.5,0)</f>
        <v>48</v>
      </c>
    </row>
    <row r="13" spans="1:6" ht="16" thickBot="1">
      <c r="A13" s="12">
        <v>47</v>
      </c>
      <c r="B13" s="14">
        <v>3</v>
      </c>
      <c r="C13">
        <f t="shared" ref="C13:C14" si="2">$B$5*B13+(1-$B$5)*C12</f>
        <v>5.1888000000000005</v>
      </c>
      <c r="D13">
        <f t="shared" si="0"/>
        <v>12.851200000000002</v>
      </c>
      <c r="E13">
        <f t="shared" ref="E13" si="3">ROUND(C13+0.5,0)</f>
        <v>6</v>
      </c>
      <c r="F13">
        <f t="shared" si="1"/>
        <v>59</v>
      </c>
    </row>
    <row r="14" spans="1:6" ht="16" thickBot="1">
      <c r="A14" s="12">
        <v>61</v>
      </c>
      <c r="B14" s="14">
        <v>5</v>
      </c>
      <c r="C14">
        <f t="shared" si="2"/>
        <v>5.151040000000001</v>
      </c>
      <c r="D14">
        <f t="shared" si="0"/>
        <v>13.080960000000003</v>
      </c>
      <c r="E14">
        <f t="shared" ref="E14" si="4">ROUND(C14+0.5,0)</f>
        <v>6</v>
      </c>
      <c r="F14">
        <f t="shared" si="1"/>
        <v>74</v>
      </c>
    </row>
  </sheetData>
  <pageMargins left="0.7" right="0.7" top="0.78740157499999996" bottom="0.78740157499999996" header="0.3" footer="0.3"/>
  <pageSetup paperSize="9" scale="8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showGridLines="0" tabSelected="1" topLeftCell="A21" zoomScale="143" zoomScaleNormal="145" workbookViewId="0">
      <selection activeCell="C28" sqref="C28"/>
    </sheetView>
  </sheetViews>
  <sheetFormatPr defaultColWidth="11.453125" defaultRowHeight="14.5"/>
  <cols>
    <col min="1" max="4" width="11.453125" style="51"/>
    <col min="7" max="7" width="8.453125" style="33" customWidth="1"/>
  </cols>
  <sheetData>
    <row r="1" spans="1:5" ht="23.25" customHeight="1">
      <c r="A1" s="52" t="s">
        <v>100</v>
      </c>
      <c r="B1" s="52"/>
      <c r="C1" s="52"/>
      <c r="D1" s="52"/>
      <c r="E1" s="19"/>
    </row>
    <row r="2" spans="1:5" ht="15.5">
      <c r="A2" s="52"/>
      <c r="B2" s="52"/>
      <c r="C2" s="52"/>
      <c r="D2" s="52"/>
      <c r="E2" s="19"/>
    </row>
    <row r="17" spans="1:10">
      <c r="A17" s="51" t="s">
        <v>5</v>
      </c>
      <c r="B17" s="64" t="s">
        <v>101</v>
      </c>
      <c r="C17" s="64">
        <v>0.8</v>
      </c>
    </row>
    <row r="18" spans="1:10">
      <c r="B18" s="63" t="s">
        <v>102</v>
      </c>
      <c r="C18" s="64"/>
    </row>
    <row r="19" spans="1:10">
      <c r="B19" s="51" t="s">
        <v>64</v>
      </c>
      <c r="C19" s="51">
        <f>_xlfn.NORM.INV(C17,0,1)</f>
        <v>0.84162123357291474</v>
      </c>
    </row>
    <row r="21" spans="1:10">
      <c r="A21" s="53" t="s">
        <v>46</v>
      </c>
    </row>
    <row r="22" spans="1:10" ht="31">
      <c r="A22" s="58" t="s">
        <v>41</v>
      </c>
      <c r="B22" s="59" t="s">
        <v>43</v>
      </c>
      <c r="C22" s="58">
        <v>40</v>
      </c>
      <c r="D22" s="58">
        <v>41</v>
      </c>
      <c r="E22" s="60">
        <v>42</v>
      </c>
      <c r="F22" s="60">
        <v>43</v>
      </c>
    </row>
    <row r="23" spans="1:10" ht="15.5">
      <c r="A23" s="58" t="s">
        <v>1</v>
      </c>
      <c r="B23" s="59"/>
      <c r="C23" s="58">
        <v>55</v>
      </c>
      <c r="D23" s="58">
        <v>48</v>
      </c>
      <c r="E23" s="60">
        <v>57</v>
      </c>
      <c r="F23" s="60">
        <v>58</v>
      </c>
      <c r="G23" s="35">
        <f>_xlfn.STDEV.S(C23:F23)</f>
        <v>4.5092497528228943</v>
      </c>
      <c r="I23" s="63" t="s">
        <v>49</v>
      </c>
      <c r="J23" s="63">
        <v>1</v>
      </c>
    </row>
    <row r="24" spans="1:10">
      <c r="A24" s="54" t="s">
        <v>42</v>
      </c>
      <c r="B24" s="61">
        <v>50</v>
      </c>
      <c r="C24" s="55">
        <f>(1-$J$25)*B24+$J$25*C23</f>
        <v>50.5</v>
      </c>
      <c r="D24" s="55">
        <f>(1-$J$25)*C24+$J$25*D23</f>
        <v>50.25</v>
      </c>
      <c r="E24" s="34">
        <f t="shared" ref="E24:F24" si="0">(1-$J$25)*D24+$J$25*E23</f>
        <v>50.925000000000004</v>
      </c>
      <c r="F24" s="34">
        <f t="shared" si="0"/>
        <v>51.632500000000007</v>
      </c>
      <c r="G24" s="36"/>
      <c r="H24" s="18"/>
      <c r="I24" s="63" t="s">
        <v>50</v>
      </c>
      <c r="J24" s="63">
        <v>0</v>
      </c>
    </row>
    <row r="25" spans="1:10">
      <c r="A25" s="59" t="s">
        <v>44</v>
      </c>
      <c r="B25" s="59">
        <v>15</v>
      </c>
      <c r="C25" s="59">
        <v>15</v>
      </c>
      <c r="D25" s="59">
        <v>15</v>
      </c>
      <c r="E25" s="62">
        <v>15</v>
      </c>
      <c r="F25" s="62">
        <v>15</v>
      </c>
      <c r="G25" s="36"/>
      <c r="I25" s="63" t="s">
        <v>51</v>
      </c>
      <c r="J25" s="63">
        <v>0.1</v>
      </c>
    </row>
    <row r="26" spans="1:10">
      <c r="A26" s="54" t="s">
        <v>45</v>
      </c>
      <c r="B26" s="54">
        <f>ROUND(($J$23+$J$24)*B24+$C$19*B25*SQRT($J$23+$J$24)+0.5,0)</f>
        <v>63</v>
      </c>
      <c r="C26" s="54">
        <f>ROUND(($J$23+$J$24)*C24+$C$19*C25*SQRT($J$23+$J$24)+0.5,0)</f>
        <v>64</v>
      </c>
      <c r="D26" s="54">
        <f>ROUND(($J$23+$J$24)*D24+$C$19*D25*SQRT($J$23+$J$24)+0.5,0)</f>
        <v>63</v>
      </c>
      <c r="E26" s="16">
        <f>ROUND(($J$23+$J$24)*E24+$C$19*E25*SQRT($J$23+$J$24)+0.5,0)</f>
        <v>64</v>
      </c>
      <c r="F26" s="16">
        <f>ROUND(($J$23+$J$24)*F24+$C$19*F25*SQRT($J$23+$J$24)+0.5,0)</f>
        <v>65</v>
      </c>
      <c r="G26" s="36"/>
    </row>
    <row r="27" spans="1:10">
      <c r="A27" s="54" t="s">
        <v>48</v>
      </c>
      <c r="B27" s="54"/>
      <c r="C27" s="56">
        <f>C23-B26+C26</f>
        <v>56</v>
      </c>
      <c r="D27" s="56">
        <f>D23-C26+D26</f>
        <v>47</v>
      </c>
      <c r="E27" s="20">
        <f>E23-D26+E26</f>
        <v>58</v>
      </c>
      <c r="F27" s="20">
        <f>F23-E26+F26</f>
        <v>59</v>
      </c>
      <c r="G27" s="35">
        <f>_xlfn.STDEV.S(C27:F27)</f>
        <v>5.4772255750516612</v>
      </c>
    </row>
    <row r="28" spans="1:10">
      <c r="A28" s="57"/>
      <c r="B28" s="57"/>
      <c r="C28" s="40"/>
      <c r="D28" s="40"/>
      <c r="E28" s="18"/>
      <c r="F28" s="18"/>
      <c r="G28" s="35"/>
    </row>
    <row r="29" spans="1:10">
      <c r="A29" s="57"/>
      <c r="B29" s="57"/>
      <c r="C29" s="40"/>
      <c r="D29" s="40"/>
      <c r="E29" s="18"/>
      <c r="F29" s="18"/>
      <c r="G29" s="35"/>
    </row>
    <row r="30" spans="1:10">
      <c r="A30" s="40" t="s">
        <v>8</v>
      </c>
      <c r="G30" s="36"/>
    </row>
    <row r="31" spans="1:10">
      <c r="A31" s="53" t="s">
        <v>47</v>
      </c>
      <c r="G31" s="36"/>
    </row>
    <row r="32" spans="1:10">
      <c r="A32" s="53" t="s">
        <v>1</v>
      </c>
      <c r="C32" s="51">
        <v>56</v>
      </c>
      <c r="D32" s="51">
        <v>47</v>
      </c>
      <c r="E32">
        <v>58</v>
      </c>
      <c r="F32">
        <v>59</v>
      </c>
      <c r="G32" s="36"/>
    </row>
    <row r="33" spans="1:10">
      <c r="A33" s="54" t="s">
        <v>42</v>
      </c>
      <c r="B33" s="54">
        <v>50</v>
      </c>
      <c r="C33" s="54">
        <f>(1-$J$35)*B33+$J$35*C27</f>
        <v>51.8</v>
      </c>
      <c r="D33" s="54">
        <f>(1-$J$35)*C33+$J$35*D27</f>
        <v>50.36</v>
      </c>
      <c r="E33" s="16">
        <f>(1-$J$35)*D33+$J$35*E27</f>
        <v>52.651999999999994</v>
      </c>
      <c r="F33" s="16">
        <f>(1-$J$35)*E33+$J$35*F27</f>
        <v>54.556399999999996</v>
      </c>
      <c r="G33" s="35"/>
      <c r="I33" s="63" t="s">
        <v>49</v>
      </c>
      <c r="J33" s="63">
        <v>0</v>
      </c>
    </row>
    <row r="34" spans="1:10">
      <c r="A34" s="54" t="s">
        <v>44</v>
      </c>
      <c r="B34" s="54">
        <v>15</v>
      </c>
      <c r="C34" s="54">
        <v>15</v>
      </c>
      <c r="D34" s="54">
        <v>15</v>
      </c>
      <c r="E34" s="16">
        <v>15</v>
      </c>
      <c r="F34" s="16">
        <v>15</v>
      </c>
      <c r="G34" s="36"/>
      <c r="I34" s="63" t="s">
        <v>50</v>
      </c>
      <c r="J34" s="63">
        <v>1</v>
      </c>
    </row>
    <row r="35" spans="1:10">
      <c r="A35" s="54" t="s">
        <v>45</v>
      </c>
      <c r="B35" s="54">
        <f>ROUND(($J$33+$J$34)*B33+$C$19*B34*SQRT($J$33+$J$34)+0.5,0)</f>
        <v>63</v>
      </c>
      <c r="C35" s="54">
        <f>ROUND(($J$33+$J$34)*C33+$C$19*C34*SQRT($J$33+$J$34)+0.5,0)</f>
        <v>65</v>
      </c>
      <c r="D35" s="54">
        <f>ROUND(($J$33+$J$34)*D33+$C$19*D34*SQRT($J$33+$J$34)+0.5,0)</f>
        <v>63</v>
      </c>
      <c r="E35" s="16">
        <f>ROUND(($J$33+$J$34)*E33+$C$19*E34*SQRT($J$33+$J$34)+0.5,0)</f>
        <v>66</v>
      </c>
      <c r="F35" s="16">
        <f>ROUND(($J$33+$J$34)*F33+$C$19*F34*SQRT($J$33+$J$34)+0.5,0)</f>
        <v>68</v>
      </c>
      <c r="G35" s="36"/>
      <c r="I35" s="63" t="s">
        <v>51</v>
      </c>
      <c r="J35" s="63">
        <v>0.3</v>
      </c>
    </row>
    <row r="36" spans="1:10">
      <c r="A36" s="54" t="s">
        <v>48</v>
      </c>
      <c r="B36" s="54"/>
      <c r="C36" s="56">
        <f>C27-B35+C35</f>
        <v>58</v>
      </c>
      <c r="D36" s="56">
        <f>D27-C35+D35</f>
        <v>45</v>
      </c>
      <c r="E36" s="20">
        <f>E27-D35+E35</f>
        <v>61</v>
      </c>
      <c r="F36" s="20">
        <f>F27-E35+F35</f>
        <v>61</v>
      </c>
      <c r="G36" s="35">
        <f>_xlfn.STDEV.S(C36:F36)</f>
        <v>7.6321687612368736</v>
      </c>
    </row>
  </sheetData>
  <pageMargins left="0.7" right="0.7" top="0.78740157499999996" bottom="0.78740157499999996" header="0.3" footer="0.3"/>
  <pageSetup paperSize="9" scale="8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115" zoomScaleNormal="115" workbookViewId="0">
      <selection activeCell="K26" sqref="K26"/>
    </sheetView>
  </sheetViews>
  <sheetFormatPr defaultColWidth="8.81640625" defaultRowHeight="14.5"/>
  <cols>
    <col min="1" max="10" width="8.26953125" customWidth="1"/>
  </cols>
  <sheetData>
    <row r="1" spans="1:10" ht="15.5">
      <c r="E1" s="32" t="s">
        <v>63</v>
      </c>
      <c r="G1" s="32"/>
      <c r="H1" s="32"/>
    </row>
    <row r="3" spans="1:10">
      <c r="A3" t="s">
        <v>60</v>
      </c>
    </row>
    <row r="4" spans="1:10" ht="15.5">
      <c r="B4" s="65" t="s">
        <v>11</v>
      </c>
      <c r="C4" s="66"/>
      <c r="D4" s="67"/>
      <c r="E4" s="65" t="s">
        <v>55</v>
      </c>
      <c r="F4" s="66"/>
      <c r="G4" s="67"/>
      <c r="H4" s="65" t="s">
        <v>56</v>
      </c>
      <c r="I4" s="66"/>
      <c r="J4" s="67"/>
    </row>
    <row r="5" spans="1:10" ht="15.5">
      <c r="A5" s="30" t="str">
        <f>'Ex. 1'!A37</f>
        <v>Year</v>
      </c>
      <c r="B5" s="30" t="str">
        <f>'Ex. 1'!B37</f>
        <v>a)</v>
      </c>
      <c r="C5" s="30" t="str">
        <f>'Ex. 1'!C37</f>
        <v>b)</v>
      </c>
      <c r="D5" s="30" t="str">
        <f>'Ex. 1'!D37</f>
        <v>c)</v>
      </c>
      <c r="E5" s="30" t="s">
        <v>24</v>
      </c>
      <c r="F5" s="30" t="s">
        <v>5</v>
      </c>
      <c r="G5" s="31" t="s">
        <v>8</v>
      </c>
      <c r="H5" s="31" t="s">
        <v>24</v>
      </c>
      <c r="I5" s="31" t="s">
        <v>5</v>
      </c>
      <c r="J5" s="31" t="s">
        <v>8</v>
      </c>
    </row>
    <row r="6" spans="1:10" ht="15.5">
      <c r="A6" s="30">
        <f>'Ex. 1'!A38</f>
        <v>2007</v>
      </c>
      <c r="B6" s="30"/>
      <c r="C6" s="30">
        <f>'Ex. 1'!C38</f>
        <v>1300</v>
      </c>
      <c r="D6" s="30">
        <f>'Ex. 1'!D38</f>
        <v>1320</v>
      </c>
      <c r="E6" s="30"/>
      <c r="F6" s="30">
        <f>'Ex. 1'!J19</f>
        <v>10</v>
      </c>
      <c r="G6" s="31">
        <f>'Ex. 1'!J29</f>
        <v>12</v>
      </c>
      <c r="H6" s="31"/>
      <c r="I6" s="31">
        <f>'Ex. 1'!L19</f>
        <v>-1</v>
      </c>
      <c r="J6" s="31">
        <f>'Ex. 1'!L29</f>
        <v>-1</v>
      </c>
    </row>
    <row r="7" spans="1:10" ht="15.5">
      <c r="A7" s="30">
        <f>'Ex. 1'!A39</f>
        <v>2008</v>
      </c>
      <c r="B7" s="30"/>
      <c r="C7" s="30">
        <f>'Ex. 1'!C39</f>
        <v>1280</v>
      </c>
      <c r="D7" s="30">
        <f>'Ex. 1'!D39</f>
        <v>1313.6</v>
      </c>
      <c r="E7" s="30"/>
      <c r="F7" s="30">
        <f>'Ex. 1'!J20</f>
        <v>27</v>
      </c>
      <c r="G7" s="31">
        <f>'Ex. 1'!J30</f>
        <v>32.159999999999997</v>
      </c>
      <c r="H7" s="31"/>
      <c r="I7" s="31">
        <f>'Ex. 1'!L20</f>
        <v>-1</v>
      </c>
      <c r="J7" s="31">
        <f>'Ex. 1'!L30</f>
        <v>-1</v>
      </c>
    </row>
    <row r="8" spans="1:10" ht="15.5">
      <c r="A8" s="30">
        <f>'Ex. 1'!A40</f>
        <v>2009</v>
      </c>
      <c r="B8" s="30">
        <f>'Ex. 1'!B40</f>
        <v>1150</v>
      </c>
      <c r="C8" s="30">
        <f>'Ex. 1'!C40</f>
        <v>1244</v>
      </c>
      <c r="D8" s="30">
        <f>'Ex. 1'!D40</f>
        <v>1284.2079999999999</v>
      </c>
      <c r="E8" s="30">
        <f>'Ex. 1'!J11</f>
        <v>15</v>
      </c>
      <c r="F8" s="31">
        <f>'Ex. 1'!J21</f>
        <v>48.7</v>
      </c>
      <c r="G8" s="31">
        <f>'Ex. 1'!J31</f>
        <v>57.364799999999988</v>
      </c>
      <c r="H8" s="31">
        <f>'Ex. 1'!L11</f>
        <v>-1</v>
      </c>
      <c r="I8" s="31">
        <f>'Ex. 1'!L21</f>
        <v>-1</v>
      </c>
      <c r="J8" s="31">
        <f>'Ex. 1'!L31</f>
        <v>-1</v>
      </c>
    </row>
    <row r="9" spans="1:10" ht="15.5">
      <c r="A9" s="30">
        <f>'Ex. 1'!A41</f>
        <v>2010</v>
      </c>
      <c r="B9" s="30">
        <f>'Ex. 1'!B41</f>
        <v>1050</v>
      </c>
      <c r="C9" s="30">
        <f>'Ex. 1'!C41</f>
        <v>1195.2</v>
      </c>
      <c r="D9" s="30">
        <f>'Ex. 1'!D41</f>
        <v>1235.0102399999998</v>
      </c>
      <c r="E9" s="30">
        <f>'Ex. 1'!J12</f>
        <v>22.5</v>
      </c>
      <c r="F9" s="31">
        <f>'Ex. 1'!J22</f>
        <v>67.350000000000009</v>
      </c>
      <c r="G9" s="31">
        <f>'Ex. 1'!J32</f>
        <v>79.129343999999975</v>
      </c>
      <c r="H9" s="31">
        <f>'Ex. 1'!L12</f>
        <v>-1</v>
      </c>
      <c r="I9" s="31">
        <f>'Ex. 1'!L22</f>
        <v>-1</v>
      </c>
      <c r="J9" s="31">
        <f>'Ex. 1'!L32</f>
        <v>-1</v>
      </c>
    </row>
    <row r="10" spans="1:10" ht="15.5">
      <c r="A10" s="30">
        <f>'Ex. 1'!A42</f>
        <v>2011</v>
      </c>
      <c r="B10" s="30">
        <f>'Ex. 1'!B42</f>
        <v>980</v>
      </c>
      <c r="C10" s="30">
        <f>'Ex. 1'!C42</f>
        <v>1148.1600000000001</v>
      </c>
      <c r="D10" s="30">
        <f>'Ex. 1'!D42</f>
        <v>1182.1518271999998</v>
      </c>
      <c r="E10" s="30">
        <f>'Ex. 1'!J13</f>
        <v>33.25</v>
      </c>
      <c r="F10" s="31">
        <f>'Ex. 1'!J23</f>
        <v>90.431000000000012</v>
      </c>
      <c r="G10" s="31">
        <f>'Ex. 1'!J33</f>
        <v>104.43159231999996</v>
      </c>
      <c r="H10" s="31">
        <f>'Ex. 1'!L13</f>
        <v>-1</v>
      </c>
      <c r="I10" s="31">
        <f>'Ex. 1'!L23</f>
        <v>-1</v>
      </c>
      <c r="J10" s="31">
        <f>'Ex. 1'!L33</f>
        <v>-1</v>
      </c>
    </row>
    <row r="12" spans="1:10">
      <c r="A12" t="s">
        <v>59</v>
      </c>
    </row>
    <row r="14" spans="1:10">
      <c r="A14" t="s">
        <v>5</v>
      </c>
    </row>
    <row r="15" spans="1:10">
      <c r="B15">
        <f>'Ex. 2'!B48</f>
        <v>4668.1397395283329</v>
      </c>
    </row>
    <row r="16" spans="1:10">
      <c r="B16">
        <f>'Ex. 2'!B47</f>
        <v>-1195.5297430482221</v>
      </c>
    </row>
    <row r="18" spans="1:4">
      <c r="A18" t="s">
        <v>8</v>
      </c>
    </row>
    <row r="19" spans="1:4">
      <c r="B19">
        <f>'Ex. 2'!B60</f>
        <v>0.96998907668277945</v>
      </c>
    </row>
    <row r="21" spans="1:4">
      <c r="A21" t="s">
        <v>12</v>
      </c>
    </row>
    <row r="22" spans="1:4">
      <c r="A22" t="str">
        <f>'Ex. 2'!A65</f>
        <v>y(1.49)=</v>
      </c>
      <c r="B22">
        <f>'Ex. 2'!B65</f>
        <v>2886.8004223864818</v>
      </c>
    </row>
    <row r="25" spans="1:4">
      <c r="A25" t="s">
        <v>58</v>
      </c>
    </row>
    <row r="27" spans="1:4" ht="31">
      <c r="A27" s="30" t="str">
        <f>'Ex. 3'!A8</f>
        <v>Day</v>
      </c>
      <c r="B27" s="30" t="str">
        <f>'Ex. 3'!B8</f>
        <v>Demand</v>
      </c>
      <c r="C27" s="30" t="str">
        <f>'Ex. 3'!E8</f>
        <v>Quantity</v>
      </c>
      <c r="D27" s="30" t="str">
        <f>'Ex. 3'!F8</f>
        <v>Day</v>
      </c>
    </row>
    <row r="28" spans="1:4" ht="15.5">
      <c r="A28" s="30">
        <f>'Ex. 3'!A9</f>
        <v>0</v>
      </c>
      <c r="B28" s="30">
        <f>'Ex. 3'!B9</f>
        <v>0</v>
      </c>
      <c r="C28" s="30">
        <f>'Ex. 3'!E9</f>
        <v>5</v>
      </c>
      <c r="D28" s="30">
        <f>'Ex. 3'!F9</f>
        <v>14</v>
      </c>
    </row>
    <row r="29" spans="1:4" ht="15.5">
      <c r="A29" s="30">
        <f>'Ex. 3'!A10</f>
        <v>12</v>
      </c>
      <c r="B29" s="30">
        <f>'Ex. 3'!B10</f>
        <v>7</v>
      </c>
      <c r="C29" s="30">
        <f>'Ex. 3'!E10</f>
        <v>6</v>
      </c>
      <c r="D29" s="30">
        <f>'Ex. 3'!F10</f>
        <v>25</v>
      </c>
    </row>
    <row r="30" spans="1:4" ht="15.5">
      <c r="A30" s="30">
        <f>'Ex. 3'!A11</f>
        <v>18</v>
      </c>
      <c r="B30" s="30">
        <f>'Ex. 3'!B11</f>
        <v>8</v>
      </c>
      <c r="C30" s="30">
        <f>'Ex. 3'!E11</f>
        <v>6</v>
      </c>
      <c r="D30" s="30">
        <f>'Ex. 3'!F11</f>
        <v>30</v>
      </c>
    </row>
    <row r="31" spans="1:4" ht="15.5">
      <c r="A31" s="30">
        <f>'Ex. 3'!A12</f>
        <v>35</v>
      </c>
      <c r="B31" s="30">
        <f>'Ex. 3'!B12</f>
        <v>5</v>
      </c>
      <c r="C31" s="30">
        <f>'Ex. 3'!E12</f>
        <v>6</v>
      </c>
      <c r="D31" s="30">
        <f>'Ex. 3'!F12</f>
        <v>48</v>
      </c>
    </row>
    <row r="32" spans="1:4" ht="15.5">
      <c r="A32" s="30">
        <f>'Ex. 3'!A13</f>
        <v>47</v>
      </c>
      <c r="B32" s="30">
        <f>'Ex. 3'!B13</f>
        <v>3</v>
      </c>
      <c r="C32" s="30">
        <f>'Ex. 3'!E13</f>
        <v>6</v>
      </c>
      <c r="D32" s="30">
        <f>'Ex. 3'!F13</f>
        <v>59</v>
      </c>
    </row>
    <row r="33" spans="1:6" ht="15.5">
      <c r="A33" s="30">
        <f>'Ex. 3'!A14</f>
        <v>61</v>
      </c>
      <c r="B33" s="30">
        <f>'Ex. 3'!B14</f>
        <v>5</v>
      </c>
      <c r="C33" s="30">
        <f>'Ex. 3'!E14</f>
        <v>6</v>
      </c>
      <c r="D33" s="30">
        <f>'Ex. 3'!F14</f>
        <v>74</v>
      </c>
    </row>
    <row r="35" spans="1:6">
      <c r="A35" t="s">
        <v>57</v>
      </c>
    </row>
    <row r="37" spans="1:6" ht="31">
      <c r="A37" t="s">
        <v>5</v>
      </c>
      <c r="B37" s="30" t="str">
        <f>'Ex. 4'!A22</f>
        <v>Week Number</v>
      </c>
      <c r="C37" s="30">
        <f>'Ex. 4'!C22</f>
        <v>40</v>
      </c>
      <c r="D37" s="30">
        <f>'Ex. 4'!D22</f>
        <v>41</v>
      </c>
      <c r="E37" s="30">
        <f>'Ex. 4'!E22</f>
        <v>42</v>
      </c>
      <c r="F37" s="30">
        <f>'Ex. 4'!F22</f>
        <v>43</v>
      </c>
    </row>
    <row r="38" spans="1:6" ht="15.5">
      <c r="B38" s="30" t="str">
        <f>'Ex. 4'!A23</f>
        <v>Demand</v>
      </c>
      <c r="C38" s="30">
        <f>'Ex. 4'!C23</f>
        <v>55</v>
      </c>
      <c r="D38" s="30">
        <f>'Ex. 4'!D23</f>
        <v>48</v>
      </c>
      <c r="E38" s="30">
        <f>'Ex. 4'!E23</f>
        <v>57</v>
      </c>
      <c r="F38" s="30">
        <f>'Ex. 4'!F23</f>
        <v>58</v>
      </c>
    </row>
    <row r="39" spans="1:6" ht="15.5">
      <c r="B39" s="30" t="s">
        <v>45</v>
      </c>
      <c r="C39" s="30">
        <f>'Ex. 4'!C26</f>
        <v>64</v>
      </c>
      <c r="D39" s="30">
        <f>'Ex. 4'!D26</f>
        <v>63</v>
      </c>
      <c r="E39" s="30">
        <f>'Ex. 4'!E26</f>
        <v>64</v>
      </c>
      <c r="F39" s="30">
        <f>'Ex. 4'!F26</f>
        <v>65</v>
      </c>
    </row>
    <row r="40" spans="1:6" ht="15.5">
      <c r="B40" s="30" t="s">
        <v>61</v>
      </c>
      <c r="C40" s="30">
        <f>'Ex. 4'!C27</f>
        <v>56</v>
      </c>
      <c r="D40" s="30">
        <f>'Ex. 4'!D27</f>
        <v>47</v>
      </c>
      <c r="E40" s="30">
        <f>'Ex. 4'!E27</f>
        <v>58</v>
      </c>
      <c r="F40" s="30">
        <f>'Ex. 4'!F27</f>
        <v>59</v>
      </c>
    </row>
    <row r="41" spans="1:6" ht="15.5">
      <c r="A41" t="s">
        <v>8</v>
      </c>
      <c r="B41" s="30" t="s">
        <v>45</v>
      </c>
      <c r="C41" s="30">
        <f>'Ex. 4'!C35</f>
        <v>65</v>
      </c>
      <c r="D41" s="30">
        <f>'Ex. 4'!D35</f>
        <v>63</v>
      </c>
      <c r="E41" s="30">
        <f>'Ex. 4'!E35</f>
        <v>66</v>
      </c>
      <c r="F41" s="30">
        <f>'Ex. 4'!F35</f>
        <v>68</v>
      </c>
    </row>
    <row r="42" spans="1:6" ht="15.5">
      <c r="B42" s="30" t="s">
        <v>61</v>
      </c>
      <c r="C42" s="30">
        <f>'Ex. 4'!C36</f>
        <v>58</v>
      </c>
      <c r="D42" s="30">
        <f>'Ex. 4'!D36</f>
        <v>45</v>
      </c>
      <c r="E42" s="30">
        <f>'Ex. 4'!E36</f>
        <v>61</v>
      </c>
      <c r="F42" s="30">
        <f>'Ex. 4'!F36</f>
        <v>61</v>
      </c>
    </row>
  </sheetData>
  <mergeCells count="3">
    <mergeCell ref="H4:J4"/>
    <mergeCell ref="E4:G4"/>
    <mergeCell ref="B4:D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showGridLines="0" topLeftCell="A7" workbookViewId="0">
      <selection activeCell="R20" sqref="R20"/>
    </sheetView>
  </sheetViews>
  <sheetFormatPr defaultColWidth="11.453125" defaultRowHeight="14.5"/>
  <cols>
    <col min="5" max="5" width="15.453125" customWidth="1"/>
    <col min="7" max="7" width="13.1796875" bestFit="1" customWidth="1"/>
  </cols>
  <sheetData>
    <row r="1" spans="1:17" ht="21.5" thickBot="1">
      <c r="A1" s="38" t="s">
        <v>22</v>
      </c>
      <c r="B1" s="38" t="s">
        <v>1</v>
      </c>
      <c r="C1" s="38" t="s">
        <v>23</v>
      </c>
      <c r="E1" s="38" t="s">
        <v>22</v>
      </c>
      <c r="F1" s="39">
        <v>1</v>
      </c>
      <c r="G1" s="39">
        <v>2</v>
      </c>
      <c r="H1" s="39">
        <v>3</v>
      </c>
      <c r="I1" s="39">
        <v>4</v>
      </c>
      <c r="J1" s="39">
        <v>5</v>
      </c>
      <c r="K1" s="39">
        <v>6</v>
      </c>
      <c r="L1" s="39">
        <v>7</v>
      </c>
      <c r="M1" s="39">
        <v>8</v>
      </c>
      <c r="N1" s="39">
        <v>9</v>
      </c>
      <c r="O1" s="39">
        <v>10</v>
      </c>
      <c r="P1" s="39">
        <v>11</v>
      </c>
      <c r="Q1" s="39">
        <v>12</v>
      </c>
    </row>
    <row r="2" spans="1:17" ht="21.5" thickBot="1">
      <c r="A2" s="39">
        <v>6</v>
      </c>
      <c r="B2" s="39">
        <v>3000</v>
      </c>
      <c r="C2" s="39">
        <v>1.49</v>
      </c>
      <c r="E2" s="38" t="s">
        <v>1</v>
      </c>
      <c r="F2" s="39">
        <v>1500</v>
      </c>
      <c r="G2" s="39">
        <v>2000</v>
      </c>
      <c r="H2" s="39">
        <v>500</v>
      </c>
      <c r="I2" s="39">
        <v>600</v>
      </c>
      <c r="J2" s="39">
        <v>550</v>
      </c>
      <c r="K2" s="39">
        <v>3000</v>
      </c>
      <c r="L2" s="39">
        <v>3100</v>
      </c>
      <c r="M2" s="39">
        <v>1800</v>
      </c>
      <c r="N2" s="39">
        <v>700</v>
      </c>
      <c r="O2" s="39">
        <v>200</v>
      </c>
      <c r="P2" s="39">
        <v>1600</v>
      </c>
      <c r="Q2" s="39">
        <v>800</v>
      </c>
    </row>
    <row r="3" spans="1:17" ht="21.5" thickBot="1">
      <c r="A3" s="39">
        <v>7</v>
      </c>
      <c r="B3" s="39">
        <v>3100</v>
      </c>
      <c r="C3" s="39">
        <v>1.49</v>
      </c>
      <c r="E3" s="38" t="s">
        <v>23</v>
      </c>
      <c r="F3" s="39">
        <v>2.4900000000000002</v>
      </c>
      <c r="G3" s="39">
        <v>1.99</v>
      </c>
      <c r="H3" s="39">
        <v>3.49</v>
      </c>
      <c r="I3" s="39">
        <v>3.59</v>
      </c>
      <c r="J3" s="39">
        <v>3.59</v>
      </c>
      <c r="K3" s="39">
        <v>1.49</v>
      </c>
      <c r="L3" s="39">
        <v>1.49</v>
      </c>
      <c r="M3" s="39">
        <v>2.4900000000000002</v>
      </c>
      <c r="N3" s="39">
        <v>3.29</v>
      </c>
      <c r="O3" s="39">
        <v>3.59</v>
      </c>
      <c r="P3" s="39">
        <v>2.4900000000000002</v>
      </c>
      <c r="Q3" s="39">
        <v>3.19</v>
      </c>
    </row>
    <row r="4" spans="1:17" ht="21.5" thickBot="1">
      <c r="A4" s="39">
        <v>2</v>
      </c>
      <c r="B4" s="39">
        <v>2000</v>
      </c>
      <c r="C4" s="39">
        <v>1.99</v>
      </c>
    </row>
    <row r="5" spans="1:17" ht="21.5" thickBot="1">
      <c r="A5" s="39">
        <v>1</v>
      </c>
      <c r="B5" s="39">
        <v>1500</v>
      </c>
      <c r="C5" s="39">
        <v>2.4900000000000002</v>
      </c>
    </row>
    <row r="6" spans="1:17" ht="21.5" thickBot="1">
      <c r="A6" s="39">
        <v>8</v>
      </c>
      <c r="B6" s="39">
        <v>1800</v>
      </c>
      <c r="C6" s="39">
        <v>2.4900000000000002</v>
      </c>
    </row>
    <row r="7" spans="1:17" ht="21.5" thickBot="1">
      <c r="A7" s="39">
        <v>11</v>
      </c>
      <c r="B7" s="39">
        <v>1600</v>
      </c>
      <c r="C7" s="39">
        <v>2.4900000000000002</v>
      </c>
    </row>
    <row r="8" spans="1:17" ht="21.5" thickBot="1">
      <c r="A8" s="39">
        <v>12</v>
      </c>
      <c r="B8" s="39">
        <v>800</v>
      </c>
      <c r="C8" s="39">
        <v>3.19</v>
      </c>
    </row>
    <row r="9" spans="1:17" ht="21.5" thickBot="1">
      <c r="A9" s="39">
        <v>9</v>
      </c>
      <c r="B9" s="39">
        <v>700</v>
      </c>
      <c r="C9" s="39">
        <v>3.29</v>
      </c>
    </row>
    <row r="10" spans="1:17" ht="21.5" thickBot="1">
      <c r="A10" s="39">
        <v>3</v>
      </c>
      <c r="B10" s="39">
        <v>500</v>
      </c>
      <c r="C10" s="39">
        <v>3.49</v>
      </c>
    </row>
    <row r="11" spans="1:17" ht="21.5" thickBot="1">
      <c r="A11" s="39">
        <v>4</v>
      </c>
      <c r="B11" s="39">
        <v>600</v>
      </c>
      <c r="C11" s="39">
        <v>3.59</v>
      </c>
    </row>
    <row r="12" spans="1:17" ht="21.5" thickBot="1">
      <c r="A12" s="39">
        <v>5</v>
      </c>
      <c r="B12" s="39">
        <v>550</v>
      </c>
      <c r="C12" s="39">
        <v>3.59</v>
      </c>
    </row>
    <row r="13" spans="1:17" ht="21.5" thickBot="1">
      <c r="A13" s="39">
        <v>10</v>
      </c>
      <c r="B13" s="39">
        <v>200</v>
      </c>
      <c r="C13" s="39">
        <v>3.59</v>
      </c>
    </row>
    <row r="15" spans="1:17" ht="15" thickBot="1"/>
    <row r="16" spans="1:17" ht="21.5" thickBot="1">
      <c r="A16" s="38" t="s">
        <v>23</v>
      </c>
      <c r="B16" s="38" t="s">
        <v>1</v>
      </c>
    </row>
    <row r="17" spans="1:10" ht="21.5" thickBot="1">
      <c r="A17" s="39">
        <v>1.49</v>
      </c>
      <c r="B17" s="39">
        <v>3000</v>
      </c>
    </row>
    <row r="18" spans="1:10" ht="21.5" thickBot="1">
      <c r="A18" s="39">
        <v>1.49</v>
      </c>
      <c r="B18" s="39">
        <v>3100</v>
      </c>
      <c r="E18" t="s">
        <v>65</v>
      </c>
    </row>
    <row r="19" spans="1:10" ht="21.5" thickBot="1">
      <c r="A19" s="39">
        <v>1.99</v>
      </c>
      <c r="B19" s="39">
        <v>2000</v>
      </c>
    </row>
    <row r="20" spans="1:10" ht="21.5" thickBot="1">
      <c r="A20" s="39">
        <v>2.4900000000000002</v>
      </c>
      <c r="B20" s="39">
        <v>1500</v>
      </c>
      <c r="E20" s="43" t="s">
        <v>66</v>
      </c>
      <c r="F20" s="43"/>
    </row>
    <row r="21" spans="1:10" ht="21.5" thickBot="1">
      <c r="A21" s="39">
        <v>2.4900000000000002</v>
      </c>
      <c r="B21" s="39">
        <v>1800</v>
      </c>
      <c r="E21" s="40" t="s">
        <v>67</v>
      </c>
      <c r="F21" s="40">
        <v>0.9848802346898734</v>
      </c>
    </row>
    <row r="22" spans="1:10" ht="21.5" thickBot="1">
      <c r="A22" s="39">
        <v>2.4900000000000002</v>
      </c>
      <c r="B22" s="39">
        <v>1600</v>
      </c>
      <c r="E22" s="40" t="s">
        <v>68</v>
      </c>
      <c r="F22" s="40">
        <v>0.96998907668278</v>
      </c>
    </row>
    <row r="23" spans="1:10" ht="21.5" thickBot="1">
      <c r="A23" s="39">
        <v>3.19</v>
      </c>
      <c r="B23" s="39">
        <v>800</v>
      </c>
      <c r="E23" s="40" t="s">
        <v>69</v>
      </c>
      <c r="F23" s="40">
        <v>0.96698798435105804</v>
      </c>
    </row>
    <row r="24" spans="1:10" ht="21.5" thickBot="1">
      <c r="A24" s="39">
        <v>3.29</v>
      </c>
      <c r="B24" s="39">
        <v>700</v>
      </c>
      <c r="E24" s="40" t="s">
        <v>70</v>
      </c>
      <c r="F24" s="40">
        <v>177.22388928747188</v>
      </c>
    </row>
    <row r="25" spans="1:10" ht="21.5" thickBot="1">
      <c r="A25" s="39">
        <v>3.49</v>
      </c>
      <c r="B25" s="39">
        <v>500</v>
      </c>
      <c r="E25" s="41" t="s">
        <v>71</v>
      </c>
      <c r="F25" s="41">
        <v>12</v>
      </c>
    </row>
    <row r="26" spans="1:10" ht="21.5" thickBot="1">
      <c r="A26" s="39">
        <v>3.59</v>
      </c>
      <c r="B26" s="39">
        <v>600</v>
      </c>
    </row>
    <row r="27" spans="1:10" ht="21.5" thickBot="1">
      <c r="A27" s="39">
        <v>3.59</v>
      </c>
      <c r="B27" s="39">
        <v>550</v>
      </c>
      <c r="E27" t="s">
        <v>72</v>
      </c>
    </row>
    <row r="28" spans="1:10" ht="21.5" thickBot="1">
      <c r="A28" s="39">
        <v>3.59</v>
      </c>
      <c r="B28" s="39">
        <v>200</v>
      </c>
      <c r="E28" s="42"/>
      <c r="F28" s="42" t="s">
        <v>77</v>
      </c>
      <c r="G28" s="42" t="s">
        <v>78</v>
      </c>
      <c r="H28" s="42" t="s">
        <v>79</v>
      </c>
      <c r="I28" s="42" t="s">
        <v>80</v>
      </c>
      <c r="J28" s="42" t="s">
        <v>81</v>
      </c>
    </row>
    <row r="29" spans="1:10">
      <c r="E29" s="40" t="s">
        <v>73</v>
      </c>
      <c r="F29" s="40">
        <v>1</v>
      </c>
      <c r="G29" s="40">
        <v>10151541.930658219</v>
      </c>
      <c r="H29" s="40">
        <v>10151541.930658219</v>
      </c>
      <c r="I29" s="40">
        <v>323.21200731808472</v>
      </c>
      <c r="J29" s="40">
        <v>6.0673652240409462E-9</v>
      </c>
    </row>
    <row r="30" spans="1:10">
      <c r="E30" s="40" t="s">
        <v>74</v>
      </c>
      <c r="F30" s="40">
        <v>10</v>
      </c>
      <c r="G30" s="40">
        <v>314083.06934178091</v>
      </c>
      <c r="H30" s="40">
        <v>31408.30693417809</v>
      </c>
      <c r="I30" s="40"/>
      <c r="J30" s="40"/>
    </row>
    <row r="31" spans="1:10" ht="15" thickBot="1">
      <c r="E31" s="41" t="s">
        <v>75</v>
      </c>
      <c r="F31" s="41">
        <v>11</v>
      </c>
      <c r="G31" s="41">
        <v>10465625</v>
      </c>
      <c r="H31" s="41"/>
      <c r="I31" s="41"/>
      <c r="J31" s="41"/>
    </row>
    <row r="32" spans="1:10" ht="15" thickBot="1"/>
    <row r="33" spans="5:13">
      <c r="E33" s="42"/>
      <c r="F33" s="42" t="s">
        <v>82</v>
      </c>
      <c r="G33" s="42" t="s">
        <v>70</v>
      </c>
      <c r="H33" s="42" t="s">
        <v>83</v>
      </c>
      <c r="I33" s="42" t="s">
        <v>84</v>
      </c>
      <c r="J33" s="42" t="s">
        <v>85</v>
      </c>
      <c r="K33" s="42" t="s">
        <v>86</v>
      </c>
      <c r="L33" s="42" t="s">
        <v>87</v>
      </c>
      <c r="M33" s="42" t="s">
        <v>88</v>
      </c>
    </row>
    <row r="34" spans="5:13">
      <c r="E34" s="40" t="s">
        <v>76</v>
      </c>
      <c r="F34" s="40">
        <v>4668.1397395283302</v>
      </c>
      <c r="G34" s="40">
        <v>190.85511828885524</v>
      </c>
      <c r="H34" s="40">
        <v>24.459075456720019</v>
      </c>
      <c r="I34" s="40">
        <v>2.9764559278337291E-10</v>
      </c>
      <c r="J34" s="40">
        <v>4242.8880353684999</v>
      </c>
      <c r="K34" s="40">
        <v>5093.3914436881696</v>
      </c>
      <c r="L34" s="40">
        <v>4242.8880353684999</v>
      </c>
      <c r="M34" s="40">
        <v>5093.3914436881696</v>
      </c>
    </row>
    <row r="35" spans="5:13" ht="15" thickBot="1">
      <c r="E35" s="41" t="s">
        <v>89</v>
      </c>
      <c r="F35" s="41">
        <v>-1195.5297430482226</v>
      </c>
      <c r="G35" s="41">
        <v>66.499233887262434</v>
      </c>
      <c r="H35" s="41">
        <v>-17.978097989444954</v>
      </c>
      <c r="I35" s="41">
        <v>6.0673652240409462E-9</v>
      </c>
      <c r="J35" s="41">
        <v>-1343.6992696997543</v>
      </c>
      <c r="K35" s="41">
        <v>-1047.3602163966909</v>
      </c>
      <c r="L35" s="41">
        <v>-1343.6992696997543</v>
      </c>
      <c r="M35" s="41">
        <v>-1047.3602163966909</v>
      </c>
    </row>
  </sheetData>
  <autoFilter ref="A1:C1">
    <sortState ref="A2:C13">
      <sortCondition ref="C1:C1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Ex. 1</vt:lpstr>
      <vt:lpstr>Ex. 2</vt:lpstr>
      <vt:lpstr>Ex. 3</vt:lpstr>
      <vt:lpstr>Ex. 4</vt:lpstr>
      <vt:lpstr>Results</vt:lpstr>
      <vt:lpstr>Ex.2 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Anna-Lena</dc:creator>
  <cp:lastModifiedBy>pradmin</cp:lastModifiedBy>
  <cp:lastPrinted>2015-06-15T14:45:27Z</cp:lastPrinted>
  <dcterms:created xsi:type="dcterms:W3CDTF">2011-11-03T18:38:57Z</dcterms:created>
  <dcterms:modified xsi:type="dcterms:W3CDTF">2025-05-21T10:05:41Z</dcterms:modified>
</cp:coreProperties>
</file>