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min\OneDrive - TUM\Teaching\InvMan 2024\Exercises\Assignment 3\Exercise 3 Solution\"/>
    </mc:Choice>
  </mc:AlternateContent>
  <bookViews>
    <workbookView xWindow="600" yWindow="230" windowWidth="18360" windowHeight="7380" activeTab="1"/>
  </bookViews>
  <sheets>
    <sheet name="Ex. 1" sheetId="7" r:id="rId1"/>
    <sheet name="Ex. 2" sheetId="13" r:id="rId2"/>
    <sheet name="Ex. 2 a), b)" sheetId="6" state="hidden" r:id="rId3"/>
    <sheet name="Ex. 3" sheetId="5" r:id="rId4"/>
    <sheet name="Ex. 4" sheetId="8" r:id="rId5"/>
    <sheet name="Ex. 5" sheetId="11" r:id="rId6"/>
  </sheets>
  <definedNames>
    <definedName name="solver_adj" localSheetId="4" hidden="1">'Ex. 4'!$E$9</definedName>
    <definedName name="solver_cvg" localSheetId="4" hidden="1">0.0001</definedName>
    <definedName name="solver_drv" localSheetId="4" hidden="1">1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'Ex. 4'!$E$11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1" l="1"/>
  <c r="E10" i="8"/>
  <c r="E11" i="8" s="1"/>
  <c r="D30" i="5"/>
  <c r="D18" i="5"/>
  <c r="D10" i="5"/>
  <c r="B42" i="13" l="1"/>
  <c r="B12" i="7"/>
  <c r="C7" i="11" l="1"/>
  <c r="B28" i="8"/>
  <c r="B29" i="8" s="1"/>
  <c r="E8" i="8"/>
  <c r="D16" i="5"/>
  <c r="E14" i="5"/>
  <c r="D14" i="5"/>
  <c r="B18" i="13"/>
  <c r="B15" i="13"/>
  <c r="B46" i="13"/>
  <c r="B43" i="13"/>
  <c r="B41" i="13"/>
  <c r="B45" i="13" s="1"/>
  <c r="B24" i="13"/>
  <c r="B23" i="13"/>
  <c r="B22" i="13"/>
  <c r="B16" i="7"/>
  <c r="B13" i="7"/>
  <c r="E17" i="5" l="1"/>
  <c r="C22" i="7" l="1"/>
  <c r="B24" i="7"/>
  <c r="B23" i="7"/>
  <c r="B22" i="7"/>
  <c r="E14" i="8" l="1"/>
  <c r="B8" i="8"/>
  <c r="C18" i="8"/>
  <c r="C19" i="8" s="1"/>
  <c r="D16" i="13" l="1"/>
  <c r="B16" i="13" s="1"/>
  <c r="E16" i="7"/>
  <c r="B25" i="7" l="1"/>
  <c r="B12" i="11" l="1"/>
  <c r="B11" i="11"/>
  <c r="C8" i="11"/>
  <c r="B24" i="8" l="1"/>
  <c r="I16" i="5"/>
  <c r="I18" i="5" s="1"/>
  <c r="I13" i="5"/>
  <c r="H13" i="5"/>
  <c r="H14" i="5" s="1"/>
  <c r="H16" i="5" s="1"/>
  <c r="G13" i="5"/>
  <c r="G14" i="5" s="1"/>
  <c r="G16" i="5" s="1"/>
  <c r="F13" i="5"/>
  <c r="E13" i="5"/>
  <c r="D13" i="5"/>
  <c r="I12" i="5"/>
  <c r="H12" i="5"/>
  <c r="G12" i="5"/>
  <c r="F12" i="5"/>
  <c r="E12" i="5"/>
  <c r="D12" i="5"/>
  <c r="I11" i="5"/>
  <c r="H11" i="5"/>
  <c r="G11" i="5"/>
  <c r="F11" i="5"/>
  <c r="E11" i="5"/>
  <c r="D11" i="5"/>
  <c r="I10" i="5"/>
  <c r="H10" i="5"/>
  <c r="G10" i="5"/>
  <c r="F10" i="5"/>
  <c r="E10" i="5"/>
  <c r="I9" i="5"/>
  <c r="H9" i="5"/>
  <c r="H15" i="5" s="1"/>
  <c r="H17" i="5" s="1"/>
  <c r="G9" i="5"/>
  <c r="G15" i="5" s="1"/>
  <c r="G17" i="5" s="1"/>
  <c r="F9" i="5"/>
  <c r="E9" i="5"/>
  <c r="E15" i="5" s="1"/>
  <c r="D9" i="5"/>
  <c r="B16" i="6"/>
  <c r="D11" i="6"/>
  <c r="B11" i="6"/>
  <c r="B12" i="6" s="1"/>
  <c r="M3" i="6"/>
  <c r="W2" i="6"/>
  <c r="B9" i="6" s="1"/>
  <c r="V2" i="6"/>
  <c r="B8" i="6" s="1"/>
  <c r="B21" i="13"/>
  <c r="B17" i="13"/>
  <c r="S4" i="13"/>
  <c r="R4" i="13"/>
  <c r="B14" i="13" s="1"/>
  <c r="B14" i="7"/>
  <c r="B15" i="7" s="1"/>
  <c r="D13" i="7"/>
  <c r="B30" i="8" l="1"/>
  <c r="F15" i="5"/>
  <c r="F17" i="5" s="1"/>
  <c r="I15" i="5"/>
  <c r="I17" i="5" s="1"/>
  <c r="E16" i="5"/>
  <c r="E18" i="5" s="1"/>
  <c r="F14" i="5"/>
  <c r="F16" i="5" s="1"/>
  <c r="F18" i="5" s="1"/>
  <c r="D15" i="5"/>
  <c r="D17" i="5" s="1"/>
  <c r="B13" i="6"/>
  <c r="B19" i="6"/>
  <c r="B18" i="6" s="1"/>
  <c r="B17" i="6"/>
  <c r="G18" i="5"/>
  <c r="I19" i="5"/>
  <c r="I20" i="5" s="1"/>
  <c r="I24" i="5"/>
  <c r="H18" i="5"/>
  <c r="I26" i="5"/>
  <c r="B25" i="13" l="1"/>
  <c r="F24" i="5"/>
  <c r="F26" i="5"/>
  <c r="F19" i="5"/>
  <c r="F20" i="5" s="1"/>
  <c r="F22" i="5" s="1"/>
  <c r="F28" i="5" s="1"/>
  <c r="F30" i="5"/>
  <c r="I30" i="5"/>
  <c r="I22" i="5"/>
  <c r="I28" i="5" s="1"/>
  <c r="B20" i="6"/>
  <c r="E30" i="5"/>
  <c r="E26" i="5"/>
  <c r="E24" i="5"/>
  <c r="E19" i="5"/>
  <c r="I21" i="5"/>
  <c r="H30" i="5"/>
  <c r="H26" i="5"/>
  <c r="H24" i="5"/>
  <c r="H19" i="5"/>
  <c r="G24" i="5"/>
  <c r="G30" i="5"/>
  <c r="G26" i="5"/>
  <c r="G19" i="5"/>
  <c r="D26" i="5"/>
  <c r="D24" i="5"/>
  <c r="D19" i="5"/>
  <c r="C23" i="7"/>
  <c r="C24" i="7" s="1"/>
  <c r="D22" i="7" s="1"/>
  <c r="F21" i="5" l="1"/>
  <c r="G20" i="5"/>
  <c r="G22" i="5" s="1"/>
  <c r="G28" i="5" s="1"/>
  <c r="G21" i="5"/>
  <c r="H20" i="5"/>
  <c r="H22" i="5" s="1"/>
  <c r="H28" i="5" s="1"/>
  <c r="H21" i="5"/>
  <c r="D20" i="5"/>
  <c r="D22" i="5" s="1"/>
  <c r="D28" i="5" s="1"/>
  <c r="D21" i="5"/>
  <c r="C25" i="7"/>
  <c r="E20" i="5"/>
  <c r="E22" i="5" s="1"/>
  <c r="E28" i="5" s="1"/>
  <c r="E21" i="5"/>
  <c r="D23" i="7"/>
  <c r="D24" i="7" s="1"/>
  <c r="E22" i="7" s="1"/>
  <c r="D25" i="7" l="1"/>
  <c r="E23" i="7"/>
  <c r="E24" i="7" s="1"/>
  <c r="F22" i="7" s="1"/>
  <c r="F23" i="7" l="1"/>
  <c r="E25" i="7"/>
  <c r="F24" i="7" l="1"/>
  <c r="F25" i="7"/>
</calcChain>
</file>

<file path=xl/sharedStrings.xml><?xml version="1.0" encoding="utf-8"?>
<sst xmlns="http://schemas.openxmlformats.org/spreadsheetml/2006/main" count="156" uniqueCount="107">
  <si>
    <t>mu</t>
  </si>
  <si>
    <t>sigma</t>
  </si>
  <si>
    <t>L</t>
  </si>
  <si>
    <t>Fixed ordering cost</t>
  </si>
  <si>
    <t>h</t>
  </si>
  <si>
    <t>shortage penalty p</t>
  </si>
  <si>
    <t>per occassion</t>
  </si>
  <si>
    <t>EOQ</t>
  </si>
  <si>
    <t>Successive Approach</t>
  </si>
  <si>
    <t>k</t>
  </si>
  <si>
    <t>if</t>
  </si>
  <si>
    <t>&gt;=</t>
  </si>
  <si>
    <t>s</t>
  </si>
  <si>
    <t>year</t>
  </si>
  <si>
    <t>safety stock</t>
  </si>
  <si>
    <t>Simultaneous Approach</t>
  </si>
  <si>
    <t>Start with EOQ</t>
  </si>
  <si>
    <t xml:space="preserve">reorderpoints </t>
  </si>
  <si>
    <t>d</t>
  </si>
  <si>
    <t>P</t>
  </si>
  <si>
    <t>P(D=d)</t>
  </si>
  <si>
    <t>A</t>
  </si>
  <si>
    <t>p</t>
  </si>
  <si>
    <t>Expected underage</t>
  </si>
  <si>
    <t>Expected overage</t>
  </si>
  <si>
    <t>Expected underage cost/cycle</t>
  </si>
  <si>
    <t>Expected overage cost/year</t>
  </si>
  <si>
    <t>Cycle number</t>
  </si>
  <si>
    <t>Underage cost/year</t>
  </si>
  <si>
    <t>Underage and Overage costs/year</t>
  </si>
  <si>
    <t>Holding cost</t>
  </si>
  <si>
    <t>Total cost</t>
  </si>
  <si>
    <t>per unit short</t>
  </si>
  <si>
    <t>replenishment quantity Q</t>
  </si>
  <si>
    <t>fixed order cost</t>
  </si>
  <si>
    <t>unit cost</t>
  </si>
  <si>
    <t>forecast (or expected) demand over a replenishment lead time</t>
  </si>
  <si>
    <t>std deviation of forecast errors over a replenishment lead time</t>
  </si>
  <si>
    <t>F(k)</t>
  </si>
  <si>
    <t xml:space="preserve">if </t>
  </si>
  <si>
    <t>&lt;1</t>
  </si>
  <si>
    <t>holding cost</t>
  </si>
  <si>
    <t>Week</t>
  </si>
  <si>
    <t>demand</t>
  </si>
  <si>
    <t>Mean</t>
  </si>
  <si>
    <t>Std dev</t>
  </si>
  <si>
    <t>C(s,Q)</t>
  </si>
  <si>
    <t>beta</t>
  </si>
  <si>
    <t>R</t>
  </si>
  <si>
    <t>mean</t>
  </si>
  <si>
    <t>std dev</t>
  </si>
  <si>
    <t>alpha SL</t>
  </si>
  <si>
    <t>gamma SL</t>
  </si>
  <si>
    <t>G(k)</t>
  </si>
  <si>
    <t>Target</t>
  </si>
  <si>
    <t>Excel: What-if-Analysis --&gt; Goal-seek</t>
  </si>
  <si>
    <t>S</t>
  </si>
  <si>
    <t>table lookup:</t>
  </si>
  <si>
    <t>alpha SL achieved with this gamma SL:</t>
  </si>
  <si>
    <t>a)</t>
  </si>
  <si>
    <t>b)</t>
  </si>
  <si>
    <t>c)</t>
  </si>
  <si>
    <t>alpha-SL</t>
  </si>
  <si>
    <t>SS</t>
  </si>
  <si>
    <t>sigma^2_L</t>
  </si>
  <si>
    <t>mu_L</t>
  </si>
  <si>
    <t>weekly demand D</t>
  </si>
  <si>
    <t>alpha</t>
  </si>
  <si>
    <t>S*</t>
  </si>
  <si>
    <t>€/€/week</t>
  </si>
  <si>
    <t>TC</t>
  </si>
  <si>
    <t>AD/Q</t>
  </si>
  <si>
    <t>Q/2+k*sigma)*v*r</t>
  </si>
  <si>
    <t>overage cost/cycle</t>
  </si>
  <si>
    <t>Ordering cost(yearly)</t>
  </si>
  <si>
    <t>z</t>
  </si>
  <si>
    <t>z(Q)</t>
  </si>
  <si>
    <t>Q(z)</t>
  </si>
  <si>
    <t>€/week</t>
  </si>
  <si>
    <t>penalty</t>
  </si>
  <si>
    <t>alpha(SL)</t>
  </si>
  <si>
    <t>Demand~Gamma: D(L+R)~Gamma((L+R)α,β)</t>
  </si>
  <si>
    <t>F01_z</t>
  </si>
  <si>
    <t>COST</t>
  </si>
  <si>
    <t>Day</t>
  </si>
  <si>
    <t>Total Yearly Cost</t>
  </si>
  <si>
    <t>iteration1</t>
  </si>
  <si>
    <t>iteration2</t>
  </si>
  <si>
    <t>iteration3</t>
  </si>
  <si>
    <t>iteration4</t>
  </si>
  <si>
    <t>iteration5</t>
  </si>
  <si>
    <t>F(z)</t>
  </si>
  <si>
    <r>
      <t>•</t>
    </r>
    <r>
      <rPr>
        <sz val="22"/>
        <color rgb="FF000000"/>
        <rFont val="TUM Neue Helvetica 55 Regular"/>
        <family val="2"/>
      </rPr>
      <t>Cost per unit short</t>
    </r>
  </si>
  <si>
    <t>G(z)</t>
  </si>
  <si>
    <t>C(z)</t>
  </si>
  <si>
    <t>Leadtime Demand</t>
  </si>
  <si>
    <t>Taking the derivative with respect to Q, gives the below formulation</t>
  </si>
  <si>
    <r>
      <t>•</t>
    </r>
    <r>
      <rPr>
        <sz val="20"/>
        <color rgb="FF000000"/>
        <rFont val="TUM Neue Helvetica 55 Regular"/>
        <family val="2"/>
      </rPr>
      <t>Cost per stockout occasion</t>
    </r>
  </si>
  <si>
    <t>beta=1-G(z)*sigma/Q</t>
  </si>
  <si>
    <t>(Q/2+z*sigma*sqt(L))*h</t>
  </si>
  <si>
    <t>Lead time L</t>
  </si>
  <si>
    <t>day</t>
  </si>
  <si>
    <t>std deviation of forecast errors over a lead time</t>
  </si>
  <si>
    <t>forecast (or expected) demand over a lead time</t>
  </si>
  <si>
    <t>adjusted service level</t>
  </si>
  <si>
    <t>a) Reorder point s with one-day lead time</t>
  </si>
  <si>
    <t>b) total costs per week with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</si>
</sst>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0000"/>
      <name val="TUM Neue Helvetica 55 Regular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TUM Neue Helvetica 55 Regular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center" indent="4" readingOrder="1"/>
    </xf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Alignment="1">
      <alignment vertical="center"/>
    </xf>
    <xf numFmtId="164" fontId="0" fillId="0" borderId="0" xfId="0" applyNumberFormat="1"/>
    <xf numFmtId="165" fontId="0" fillId="2" borderId="0" xfId="0" applyNumberFormat="1" applyFill="1"/>
    <xf numFmtId="165" fontId="0" fillId="2" borderId="9" xfId="0" applyNumberFormat="1" applyFill="1" applyBorder="1"/>
    <xf numFmtId="165" fontId="0" fillId="2" borderId="0" xfId="0" applyNumberFormat="1" applyFill="1" applyBorder="1"/>
    <xf numFmtId="165" fontId="0" fillId="2" borderId="3" xfId="0" applyNumberFormat="1" applyFill="1" applyBorder="1"/>
    <xf numFmtId="0" fontId="1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0" fillId="0" borderId="0" xfId="0" applyFont="1"/>
    <xf numFmtId="2" fontId="0" fillId="0" borderId="0" xfId="0" applyNumberFormat="1" applyFont="1"/>
    <xf numFmtId="166" fontId="0" fillId="0" borderId="0" xfId="0" applyNumberFormat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 applyFont="1"/>
    <xf numFmtId="0" fontId="0" fillId="3" borderId="6" xfId="0" applyFill="1" applyBorder="1"/>
    <xf numFmtId="0" fontId="6" fillId="0" borderId="0" xfId="0" applyFont="1" applyAlignment="1">
      <alignment horizontal="left" vertical="center" indent="4" readingOrder="1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23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69850</xdr:colOff>
          <xdr:row>11</xdr:row>
          <xdr:rowOff>114300</xdr:rowOff>
        </xdr:from>
        <xdr:to>
          <xdr:col>11</xdr:col>
          <xdr:colOff>508000</xdr:colOff>
          <xdr:row>18</xdr:row>
          <xdr:rowOff>12700</xdr:rowOff>
        </xdr:to>
        <xdr:sp macro="" textlink="">
          <xdr:nvSpPr>
            <xdr:cNvPr id="9217" name="Objekt 6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19050</xdr:colOff>
      <xdr:row>15</xdr:row>
      <xdr:rowOff>113292</xdr:rowOff>
    </xdr:from>
    <xdr:to>
      <xdr:col>14</xdr:col>
      <xdr:colOff>123825</xdr:colOff>
      <xdr:row>17</xdr:row>
      <xdr:rowOff>104844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3113667"/>
          <a:ext cx="1647825" cy="37255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219074</xdr:colOff>
      <xdr:row>1</xdr:row>
      <xdr:rowOff>173295</xdr:rowOff>
    </xdr:from>
    <xdr:to>
      <xdr:col>12</xdr:col>
      <xdr:colOff>304800</xdr:colOff>
      <xdr:row>8</xdr:row>
      <xdr:rowOff>53423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4" y="506670"/>
          <a:ext cx="5486401" cy="121362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752474</xdr:colOff>
      <xdr:row>21</xdr:row>
      <xdr:rowOff>6479</xdr:rowOff>
    </xdr:from>
    <xdr:to>
      <xdr:col>14</xdr:col>
      <xdr:colOff>95593</xdr:colOff>
      <xdr:row>38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49" y="4149854"/>
          <a:ext cx="5515319" cy="3279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289892</xdr:colOff>
      <xdr:row>14</xdr:row>
      <xdr:rowOff>52736</xdr:rowOff>
    </xdr:from>
    <xdr:to>
      <xdr:col>18</xdr:col>
      <xdr:colOff>140806</xdr:colOff>
      <xdr:row>18</xdr:row>
      <xdr:rowOff>154760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0435" y="2893671"/>
          <a:ext cx="5102088" cy="864024"/>
        </a:xfrm>
        <a:prstGeom prst="rect">
          <a:avLst/>
        </a:prstGeom>
      </xdr:spPr>
    </xdr:pic>
    <xdr:clientData/>
  </xdr:twoCellAnchor>
  <xdr:twoCellAnchor editAs="oneCell">
    <xdr:from>
      <xdr:col>4</xdr:col>
      <xdr:colOff>389284</xdr:colOff>
      <xdr:row>10</xdr:row>
      <xdr:rowOff>94601</xdr:rowOff>
    </xdr:from>
    <xdr:to>
      <xdr:col>6</xdr:col>
      <xdr:colOff>268459</xdr:colOff>
      <xdr:row>14</xdr:row>
      <xdr:rowOff>966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9827" y="2173536"/>
          <a:ext cx="1419741" cy="660599"/>
        </a:xfrm>
        <a:prstGeom prst="rect">
          <a:avLst/>
        </a:prstGeom>
      </xdr:spPr>
    </xdr:pic>
    <xdr:clientData/>
  </xdr:twoCellAnchor>
  <xdr:twoCellAnchor editAs="oneCell">
    <xdr:from>
      <xdr:col>4</xdr:col>
      <xdr:colOff>265044</xdr:colOff>
      <xdr:row>20</xdr:row>
      <xdr:rowOff>18294</xdr:rowOff>
    </xdr:from>
    <xdr:to>
      <xdr:col>11</xdr:col>
      <xdr:colOff>182115</xdr:colOff>
      <xdr:row>26</xdr:row>
      <xdr:rowOff>49987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5587" y="3811729"/>
          <a:ext cx="2915376" cy="1174693"/>
        </a:xfrm>
        <a:prstGeom prst="rect">
          <a:avLst/>
        </a:prstGeom>
      </xdr:spPr>
    </xdr:pic>
    <xdr:clientData/>
  </xdr:twoCellAnchor>
  <xdr:twoCellAnchor editAs="oneCell">
    <xdr:from>
      <xdr:col>2</xdr:col>
      <xdr:colOff>99393</xdr:colOff>
      <xdr:row>42</xdr:row>
      <xdr:rowOff>56933</xdr:rowOff>
    </xdr:from>
    <xdr:to>
      <xdr:col>11</xdr:col>
      <xdr:colOff>322751</xdr:colOff>
      <xdr:row>45</xdr:row>
      <xdr:rowOff>132521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9371" y="7469868"/>
          <a:ext cx="4762228" cy="647088"/>
        </a:xfrm>
        <a:prstGeom prst="rect">
          <a:avLst/>
        </a:prstGeom>
      </xdr:spPr>
    </xdr:pic>
    <xdr:clientData/>
  </xdr:twoCellAnchor>
  <xdr:twoCellAnchor editAs="oneCell">
    <xdr:from>
      <xdr:col>0</xdr:col>
      <xdr:colOff>140804</xdr:colOff>
      <xdr:row>26</xdr:row>
      <xdr:rowOff>15153</xdr:rowOff>
    </xdr:from>
    <xdr:to>
      <xdr:col>4</xdr:col>
      <xdr:colOff>762000</xdr:colOff>
      <xdr:row>35</xdr:row>
      <xdr:rowOff>235</xdr:rowOff>
    </xdr:to>
    <xdr:pic>
      <xdr:nvPicPr>
        <xdr:cNvPr id="10" name="Picture 9" descr="C:\Users\pradmin\OneDrive - TUM\Teaching\InvMan 2024\exercises\Assignment 3\QA_2b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04" y="4951588"/>
          <a:ext cx="6791739" cy="1696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3006588</xdr:colOff>
      <xdr:row>34</xdr:row>
      <xdr:rowOff>16565</xdr:rowOff>
    </xdr:from>
    <xdr:ext cx="1830566" cy="264560"/>
    <xdr:sp macro="" textlink="">
      <xdr:nvSpPr>
        <xdr:cNvPr id="8" name="TextBox 7"/>
        <xdr:cNvSpPr txBox="1"/>
      </xdr:nvSpPr>
      <xdr:spPr>
        <a:xfrm>
          <a:off x="3006588" y="6667500"/>
          <a:ext cx="18305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weekly sigma</a:t>
          </a:r>
          <a:r>
            <a:rPr lang="en-US" altLang="zh-CN" sz="1100" baseline="0"/>
            <a:t> * sqt(L) (week)</a:t>
          </a:r>
          <a:endParaRPr lang="en-US" sz="1100"/>
        </a:p>
      </xdr:txBody>
    </xdr:sp>
    <xdr:clientData/>
  </xdr:oneCellAnchor>
  <xdr:twoCellAnchor editAs="oneCell">
    <xdr:from>
      <xdr:col>2</xdr:col>
      <xdr:colOff>356153</xdr:colOff>
      <xdr:row>27</xdr:row>
      <xdr:rowOff>66262</xdr:rowOff>
    </xdr:from>
    <xdr:to>
      <xdr:col>5</xdr:col>
      <xdr:colOff>368974</xdr:colOff>
      <xdr:row>29</xdr:row>
      <xdr:rowOff>16566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6131" y="5383697"/>
          <a:ext cx="2323669" cy="3313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584200</xdr:colOff>
          <xdr:row>12</xdr:row>
          <xdr:rowOff>95250</xdr:rowOff>
        </xdr:from>
        <xdr:to>
          <xdr:col>10</xdr:col>
          <xdr:colOff>0</xdr:colOff>
          <xdr:row>19</xdr:row>
          <xdr:rowOff>95250</xdr:rowOff>
        </xdr:to>
        <xdr:sp macro="" textlink="">
          <xdr:nvSpPr>
            <xdr:cNvPr id="6145" name="Objekt 7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20</xdr:row>
      <xdr:rowOff>0</xdr:rowOff>
    </xdr:from>
    <xdr:to>
      <xdr:col>12</xdr:col>
      <xdr:colOff>5275</xdr:colOff>
      <xdr:row>41</xdr:row>
      <xdr:rowOff>170180</xdr:rowOff>
    </xdr:to>
    <xdr:pic>
      <xdr:nvPicPr>
        <xdr:cNvPr id="3" name="Resim 23" descr="D:\My Documents\DOCUMENTS\ACADEMIC\CANKAYA\COURSES\Archive\IE 471 - Prodn Plan. &amp; Inv. Control\2012\HW2\2012-04-11_10-14-01_251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3810000"/>
          <a:ext cx="3128010" cy="4170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146050</xdr:colOff>
          <xdr:row>16</xdr:row>
          <xdr:rowOff>146050</xdr:rowOff>
        </xdr:from>
        <xdr:to>
          <xdr:col>14</xdr:col>
          <xdr:colOff>755650</xdr:colOff>
          <xdr:row>28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412750</xdr:colOff>
          <xdr:row>31</xdr:row>
          <xdr:rowOff>88900</xdr:rowOff>
        </xdr:from>
        <xdr:to>
          <xdr:col>10</xdr:col>
          <xdr:colOff>50800</xdr:colOff>
          <xdr:row>35</xdr:row>
          <xdr:rowOff>69850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323850</xdr:colOff>
          <xdr:row>18</xdr:row>
          <xdr:rowOff>0</xdr:rowOff>
        </xdr:from>
        <xdr:to>
          <xdr:col>17</xdr:col>
          <xdr:colOff>285750</xdr:colOff>
          <xdr:row>18</xdr:row>
          <xdr:rowOff>0</xdr:rowOff>
        </xdr:to>
        <xdr:sp macro="" textlink="">
          <xdr:nvSpPr>
            <xdr:cNvPr id="2053" name="Objekt 6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146050</xdr:colOff>
          <xdr:row>11</xdr:row>
          <xdr:rowOff>190500</xdr:rowOff>
        </xdr:from>
        <xdr:to>
          <xdr:col>17</xdr:col>
          <xdr:colOff>717550</xdr:colOff>
          <xdr:row>15</xdr:row>
          <xdr:rowOff>88900</xdr:rowOff>
        </xdr:to>
        <xdr:sp macro="" textlink="">
          <xdr:nvSpPr>
            <xdr:cNvPr id="2054" name="Object 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4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318881</xdr:colOff>
      <xdr:row>31</xdr:row>
      <xdr:rowOff>130969</xdr:rowOff>
    </xdr:from>
    <xdr:to>
      <xdr:col>5</xdr:col>
      <xdr:colOff>331564</xdr:colOff>
      <xdr:row>34</xdr:row>
      <xdr:rowOff>148828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888685" y="4090056"/>
          <a:ext cx="1048009" cy="58935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351234</xdr:colOff>
      <xdr:row>31</xdr:row>
      <xdr:rowOff>140497</xdr:rowOff>
    </xdr:from>
    <xdr:to>
      <xdr:col>10</xdr:col>
      <xdr:colOff>5953</xdr:colOff>
      <xdr:row>34</xdr:row>
      <xdr:rowOff>158356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024562" y="3712372"/>
          <a:ext cx="1428750" cy="58935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447261</xdr:colOff>
      <xdr:row>35</xdr:row>
      <xdr:rowOff>41413</xdr:rowOff>
    </xdr:from>
    <xdr:ext cx="145212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928152" y="4000500"/>
          <a:ext cx="14521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Number of units short</a:t>
          </a:r>
        </a:p>
        <a:p>
          <a:r>
            <a:rPr lang="en-GB" sz="1100"/>
            <a:t>(expected underage)</a:t>
          </a:r>
        </a:p>
      </xdr:txBody>
    </xdr:sp>
    <xdr:clientData/>
  </xdr:oneCellAnchor>
  <xdr:oneCellAnchor>
    <xdr:from>
      <xdr:col>3</xdr:col>
      <xdr:colOff>442291</xdr:colOff>
      <xdr:row>35</xdr:row>
      <xdr:rowOff>94422</xdr:rowOff>
    </xdr:from>
    <xdr:ext cx="1290674" cy="436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2927074" y="4053509"/>
          <a:ext cx="1290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Safety stock</a:t>
          </a:r>
        </a:p>
        <a:p>
          <a:r>
            <a:rPr lang="en-GB" sz="1100"/>
            <a:t>(expected overage)</a:t>
          </a:r>
        </a:p>
      </xdr:txBody>
    </xdr:sp>
    <xdr:clientData/>
  </xdr:oneCellAnchor>
  <xdr:twoCellAnchor editAs="oneCell">
    <xdr:from>
      <xdr:col>9</xdr:col>
      <xdr:colOff>207066</xdr:colOff>
      <xdr:row>7</xdr:row>
      <xdr:rowOff>140804</xdr:rowOff>
    </xdr:from>
    <xdr:to>
      <xdr:col>15</xdr:col>
      <xdr:colOff>465735</xdr:colOff>
      <xdr:row>10</xdr:row>
      <xdr:rowOff>115956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3457" y="1474304"/>
          <a:ext cx="4134930" cy="5466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6</xdr:row>
      <xdr:rowOff>19050</xdr:rowOff>
    </xdr:from>
    <xdr:to>
      <xdr:col>2</xdr:col>
      <xdr:colOff>465649</xdr:colOff>
      <xdr:row>12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162050"/>
          <a:ext cx="2570673" cy="121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102923</xdr:rowOff>
    </xdr:from>
    <xdr:to>
      <xdr:col>10</xdr:col>
      <xdr:colOff>152400</xdr:colOff>
      <xdr:row>9</xdr:row>
      <xdr:rowOff>37210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1055423"/>
          <a:ext cx="2466975" cy="69628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9</xdr:row>
      <xdr:rowOff>104775</xdr:rowOff>
    </xdr:from>
    <xdr:to>
      <xdr:col>10</xdr:col>
      <xdr:colOff>657225</xdr:colOff>
      <xdr:row>11</xdr:row>
      <xdr:rowOff>140698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1819275"/>
          <a:ext cx="2924175" cy="416923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9</xdr:row>
      <xdr:rowOff>123825</xdr:rowOff>
    </xdr:from>
    <xdr:to>
      <xdr:col>7</xdr:col>
      <xdr:colOff>47625</xdr:colOff>
      <xdr:row>10</xdr:row>
      <xdr:rowOff>122737</xdr:rowOff>
    </xdr:to>
    <xdr:cxnSp macro="">
      <xdr:nvCxnSpPr>
        <xdr:cNvPr id="6" name="Straight Arrow Connector 5"/>
        <xdr:cNvCxnSpPr>
          <a:endCxn id="4" idx="1"/>
        </xdr:cNvCxnSpPr>
      </xdr:nvCxnSpPr>
      <xdr:spPr>
        <a:xfrm>
          <a:off x="4562475" y="1838325"/>
          <a:ext cx="1485900" cy="189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19050</xdr:colOff>
      <xdr:row>12</xdr:row>
      <xdr:rowOff>161925</xdr:rowOff>
    </xdr:from>
    <xdr:to>
      <xdr:col>10</xdr:col>
      <xdr:colOff>457200</xdr:colOff>
      <xdr:row>14</xdr:row>
      <xdr:rowOff>181321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0" y="2447925"/>
          <a:ext cx="2752725" cy="400396"/>
        </a:xfrm>
        <a:prstGeom prst="rect">
          <a:avLst/>
        </a:prstGeom>
      </xdr:spPr>
    </xdr:pic>
    <xdr:clientData/>
  </xdr:twoCellAnchor>
  <xdr:twoCellAnchor editAs="oneCell">
    <xdr:from>
      <xdr:col>6</xdr:col>
      <xdr:colOff>704850</xdr:colOff>
      <xdr:row>17</xdr:row>
      <xdr:rowOff>20298</xdr:rowOff>
    </xdr:from>
    <xdr:to>
      <xdr:col>11</xdr:col>
      <xdr:colOff>257865</xdr:colOff>
      <xdr:row>18</xdr:row>
      <xdr:rowOff>171519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34075" y="3258798"/>
          <a:ext cx="3410640" cy="34172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762001</xdr:colOff>
      <xdr:row>24</xdr:row>
      <xdr:rowOff>104775</xdr:rowOff>
    </xdr:from>
    <xdr:to>
      <xdr:col>9</xdr:col>
      <xdr:colOff>476251</xdr:colOff>
      <xdr:row>29</xdr:row>
      <xdr:rowOff>32596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1" y="4676775"/>
          <a:ext cx="4343400" cy="880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142876</xdr:rowOff>
    </xdr:from>
    <xdr:to>
      <xdr:col>2</xdr:col>
      <xdr:colOff>600075</xdr:colOff>
      <xdr:row>32</xdr:row>
      <xdr:rowOff>32040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857876"/>
          <a:ext cx="2743200" cy="270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10182</xdr:colOff>
      <xdr:row>0</xdr:row>
      <xdr:rowOff>290676</xdr:rowOff>
    </xdr:from>
    <xdr:to>
      <xdr:col>11</xdr:col>
      <xdr:colOff>607301</xdr:colOff>
      <xdr:row>19</xdr:row>
      <xdr:rowOff>24633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027" y="290676"/>
          <a:ext cx="5208533" cy="345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249620</xdr:colOff>
      <xdr:row>10</xdr:row>
      <xdr:rowOff>32848</xdr:rowOff>
    </xdr:from>
    <xdr:to>
      <xdr:col>9</xdr:col>
      <xdr:colOff>276883</xdr:colOff>
      <xdr:row>21</xdr:row>
      <xdr:rowOff>54197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7166741" y="2042951"/>
          <a:ext cx="27263" cy="211684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164223</xdr:colOff>
      <xdr:row>18</xdr:row>
      <xdr:rowOff>45982</xdr:rowOff>
    </xdr:from>
    <xdr:to>
      <xdr:col>9</xdr:col>
      <xdr:colOff>400706</xdr:colOff>
      <xdr:row>19</xdr:row>
      <xdr:rowOff>85396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7081344" y="3580085"/>
          <a:ext cx="236483" cy="229914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469900</xdr:colOff>
          <xdr:row>12</xdr:row>
          <xdr:rowOff>88900</xdr:rowOff>
        </xdr:from>
        <xdr:to>
          <xdr:col>7</xdr:col>
          <xdr:colOff>755650</xdr:colOff>
          <xdr:row>14</xdr:row>
          <xdr:rowOff>152400</xdr:rowOff>
        </xdr:to>
        <xdr:sp macro="" textlink="">
          <xdr:nvSpPr>
            <xdr:cNvPr id="20484" name="Objekt 5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6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2</xdr:col>
          <xdr:colOff>666750</xdr:colOff>
          <xdr:row>1</xdr:row>
          <xdr:rowOff>76200</xdr:rowOff>
        </xdr:to>
        <xdr:sp macro="" textlink="">
          <xdr:nvSpPr>
            <xdr:cNvPr id="20481" name="Objekt 5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6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438150</xdr:colOff>
          <xdr:row>18</xdr:row>
          <xdr:rowOff>190500</xdr:rowOff>
        </xdr:from>
        <xdr:to>
          <xdr:col>9</xdr:col>
          <xdr:colOff>742950</xdr:colOff>
          <xdr:row>20</xdr:row>
          <xdr:rowOff>57150</xdr:rowOff>
        </xdr:to>
        <xdr:sp macro="" textlink="">
          <xdr:nvSpPr>
            <xdr:cNvPr id="20485" name="Objekt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6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29308</xdr:colOff>
      <xdr:row>5</xdr:row>
      <xdr:rowOff>73271</xdr:rowOff>
    </xdr:from>
    <xdr:to>
      <xdr:col>4</xdr:col>
      <xdr:colOff>725365</xdr:colOff>
      <xdr:row>8</xdr:row>
      <xdr:rowOff>2599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7289" y="1128348"/>
          <a:ext cx="1465384" cy="500828"/>
        </a:xfrm>
        <a:prstGeom prst="rect">
          <a:avLst/>
        </a:prstGeom>
      </xdr:spPr>
    </xdr:pic>
    <xdr:clientData/>
  </xdr:twoCellAnchor>
  <xdr:twoCellAnchor editAs="oneCell">
    <xdr:from>
      <xdr:col>2</xdr:col>
      <xdr:colOff>117231</xdr:colOff>
      <xdr:row>9</xdr:row>
      <xdr:rowOff>87923</xdr:rowOff>
    </xdr:from>
    <xdr:to>
      <xdr:col>3</xdr:col>
      <xdr:colOff>268467</xdr:colOff>
      <xdr:row>12</xdr:row>
      <xdr:rowOff>29308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5885" y="1905000"/>
          <a:ext cx="920563" cy="512885"/>
        </a:xfrm>
        <a:prstGeom prst="rect">
          <a:avLst/>
        </a:prstGeom>
      </xdr:spPr>
    </xdr:pic>
    <xdr:clientData/>
  </xdr:twoCellAnchor>
  <xdr:twoCellAnchor editAs="oneCell">
    <xdr:from>
      <xdr:col>3</xdr:col>
      <xdr:colOff>402981</xdr:colOff>
      <xdr:row>9</xdr:row>
      <xdr:rowOff>153865</xdr:rowOff>
    </xdr:from>
    <xdr:to>
      <xdr:col>4</xdr:col>
      <xdr:colOff>555165</xdr:colOff>
      <xdr:row>11</xdr:row>
      <xdr:rowOff>183173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0962" y="1970942"/>
          <a:ext cx="921511" cy="410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16.emf"/><Relationship Id="rId5" Type="http://schemas.openxmlformats.org/officeDocument/2006/relationships/image" Target="../media/image1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4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opLeftCell="C1" zoomScale="91" zoomScaleNormal="100" workbookViewId="0">
      <selection activeCell="F25" sqref="F25"/>
    </sheetView>
  </sheetViews>
  <sheetFormatPr defaultColWidth="11.54296875" defaultRowHeight="14.5"/>
  <cols>
    <col min="1" max="1" width="18" bestFit="1" customWidth="1"/>
  </cols>
  <sheetData>
    <row r="1" spans="1:8" ht="26">
      <c r="E1" s="35" t="s">
        <v>97</v>
      </c>
    </row>
    <row r="2" spans="1:8">
      <c r="A2" t="s">
        <v>0</v>
      </c>
      <c r="B2">
        <v>1000</v>
      </c>
    </row>
    <row r="3" spans="1:8">
      <c r="A3" t="s">
        <v>1</v>
      </c>
      <c r="B3">
        <v>200</v>
      </c>
    </row>
    <row r="5" spans="1:8">
      <c r="A5" t="s">
        <v>2</v>
      </c>
      <c r="B5" s="2">
        <v>0.25</v>
      </c>
      <c r="C5" t="s">
        <v>13</v>
      </c>
    </row>
    <row r="6" spans="1:8">
      <c r="A6" t="s">
        <v>3</v>
      </c>
      <c r="B6">
        <v>300</v>
      </c>
    </row>
    <row r="7" spans="1:8">
      <c r="A7" t="s">
        <v>4</v>
      </c>
      <c r="B7">
        <v>2</v>
      </c>
    </row>
    <row r="8" spans="1:8">
      <c r="A8" t="s">
        <v>5</v>
      </c>
      <c r="B8">
        <v>500</v>
      </c>
      <c r="C8" t="s">
        <v>6</v>
      </c>
    </row>
    <row r="10" spans="1:8">
      <c r="A10" t="s">
        <v>59</v>
      </c>
    </row>
    <row r="11" spans="1:8">
      <c r="A11" s="3" t="s">
        <v>8</v>
      </c>
      <c r="H11" s="3" t="s">
        <v>8</v>
      </c>
    </row>
    <row r="12" spans="1:8">
      <c r="A12" s="23" t="s">
        <v>7</v>
      </c>
      <c r="B12" s="33">
        <f>SQRT((2*B6*B2)/B7)</f>
        <v>547.72255750516615</v>
      </c>
    </row>
    <row r="13" spans="1:8">
      <c r="A13" s="23" t="s">
        <v>75</v>
      </c>
      <c r="B13" s="33">
        <f>SQRT(2*LN((B2*B8)/(SQRT(2*PI())*B12*B7*B3*SQRT(B5))))</f>
        <v>1.0948411764566133</v>
      </c>
      <c r="C13" t="s">
        <v>10</v>
      </c>
      <c r="D13">
        <f>(B2*B8)/(SQRT(2*PI())*B12*B7*B3*SQRT(B5))</f>
        <v>1.8209140509867985</v>
      </c>
      <c r="E13" t="s">
        <v>11</v>
      </c>
      <c r="F13">
        <v>1</v>
      </c>
    </row>
    <row r="14" spans="1:8">
      <c r="A14" s="23" t="s">
        <v>14</v>
      </c>
      <c r="B14" s="33">
        <f>B13*B3*SQRT(B5)</f>
        <v>109.48411764566133</v>
      </c>
    </row>
    <row r="15" spans="1:8">
      <c r="A15" s="23" t="s">
        <v>12</v>
      </c>
      <c r="B15" s="33">
        <f>B2*B5+B14</f>
        <v>359.48411764566134</v>
      </c>
    </row>
    <row r="16" spans="1:8">
      <c r="A16" s="23" t="s">
        <v>83</v>
      </c>
      <c r="B16" s="31">
        <f>B25</f>
        <v>1439.2878052936462</v>
      </c>
      <c r="D16" t="s">
        <v>82</v>
      </c>
      <c r="E16">
        <f>_xlfn.NORM.DIST(B23,0,1,1)</f>
        <v>0.86320688828944547</v>
      </c>
    </row>
    <row r="17" spans="1:8">
      <c r="A17" s="23"/>
      <c r="B17" s="31"/>
    </row>
    <row r="18" spans="1:8">
      <c r="A18" s="23"/>
      <c r="B18" s="31"/>
    </row>
    <row r="19" spans="1:8">
      <c r="A19" s="23" t="s">
        <v>60</v>
      </c>
    </row>
    <row r="20" spans="1:8">
      <c r="A20" s="3" t="s">
        <v>15</v>
      </c>
    </row>
    <row r="21" spans="1:8">
      <c r="A21" s="3"/>
      <c r="B21" s="3" t="s">
        <v>86</v>
      </c>
      <c r="C21" s="3" t="s">
        <v>87</v>
      </c>
      <c r="D21" s="3" t="s">
        <v>88</v>
      </c>
      <c r="E21" s="3" t="s">
        <v>89</v>
      </c>
      <c r="F21" s="3" t="s">
        <v>90</v>
      </c>
      <c r="H21" s="3" t="s">
        <v>15</v>
      </c>
    </row>
    <row r="22" spans="1:8">
      <c r="A22" t="s">
        <v>16</v>
      </c>
      <c r="B22" s="24">
        <f>B12</f>
        <v>547.72255750516615</v>
      </c>
      <c r="C22" s="24">
        <f>B24</f>
        <v>606.95679900243078</v>
      </c>
      <c r="D22" s="24">
        <f>C24</f>
        <v>616.22585733675828</v>
      </c>
      <c r="E22" s="24">
        <f>D24</f>
        <v>617.74493826927142</v>
      </c>
      <c r="F22" s="24">
        <f>E24</f>
        <v>617.9957972322519</v>
      </c>
      <c r="G22" s="3"/>
    </row>
    <row r="23" spans="1:8">
      <c r="A23" t="s">
        <v>76</v>
      </c>
      <c r="B23" s="24">
        <f>SQRT(2*LN(($B$2*$B$8)/(SQRT(2*PI())*B22*$B$7*$B$3*SQRT($B$5))))</f>
        <v>1.0948411764566133</v>
      </c>
      <c r="C23" s="24">
        <f>SQRT(2*LN(($B$2*$B$8)/(SQRT(2*PI())*C22*$B$7*$B$3*SQRT($B$5))))</f>
        <v>0.99664422985872714</v>
      </c>
      <c r="D23" s="24">
        <f>SQRT(2*LN(($B$2*$B$8)/(SQRT(2*PI())*D22*$B$7*$B$3*SQRT($B$5))))</f>
        <v>0.9813194482915657</v>
      </c>
      <c r="E23" s="24">
        <f>SQRT(2*LN(($B$2*$B$8)/(SQRT(2*PI())*E22*$B$7*$B$3*SQRT($B$5))))</f>
        <v>0.97880726053081335</v>
      </c>
      <c r="F23" s="24">
        <f>SQRT(2*LN(($B$2*$B$8)/(SQRT(2*PI())*F22*$B$7*$B$3*SQRT($B$5))))</f>
        <v>0.97839237610696306</v>
      </c>
      <c r="G23" s="3"/>
    </row>
    <row r="24" spans="1:8" ht="15" customHeight="1">
      <c r="A24" t="s">
        <v>77</v>
      </c>
      <c r="B24" s="24">
        <f>SQRT((2*$B$2*($B$6+$B$8*(1-_xlfn.NORM.S.DIST(B23,1))))/$B$7)</f>
        <v>606.95679900243078</v>
      </c>
      <c r="C24" s="24">
        <f>SQRT((2*$B$2*($B$6+$B$8*(1-_xlfn.NORM.S.DIST(C23,1))))/$B$7)</f>
        <v>616.22585733675828</v>
      </c>
      <c r="D24" s="24">
        <f>SQRT((2*$B$2*($B$6+$B$8*(1-_xlfn.NORM.S.DIST(D23,1))))/$B$7)</f>
        <v>617.74493826927142</v>
      </c>
      <c r="E24" s="24">
        <f>SQRT((2*$B$2*($B$6+$B$8*(1-_xlfn.NORM.S.DIST(E23,1))))/$B$7)</f>
        <v>617.9957972322519</v>
      </c>
      <c r="F24" s="24">
        <f>SQRT((2*$B$2*($B$6+$B$8*(1-_xlfn.NORM.S.DIST(F23,1))))/$B$7)</f>
        <v>618.03727586211619</v>
      </c>
      <c r="G24" s="3"/>
    </row>
    <row r="25" spans="1:8">
      <c r="A25" t="s">
        <v>46</v>
      </c>
      <c r="B25" s="24">
        <f>$B$6*$B$2/B22+$B$7*(B22/2+B23*$B$3*SQRT($B$5))+$B$8*$B$2/B22*(1-_xlfn.NORM.S.DIST(B23,1))</f>
        <v>1439.2878052936462</v>
      </c>
      <c r="C25" s="24">
        <f>$B$6*$B$2/C22+$B$7*(C22/2+C23*$B$3*SQRT($B$5))+$B$8*$B$2/C22*(1-_xlfn.NORM.S.DIST(C23,1))</f>
        <v>1431.9221118109238</v>
      </c>
      <c r="D25" s="24">
        <f>$B$6*$B$2/D22+$B$7*(D22/2+D23*$B$3*SQRT($B$5))+$B$8*$B$2/D22*(1-_xlfn.NORM.S.DIST(D23,1))</f>
        <v>1431.7575109389047</v>
      </c>
      <c r="E25" s="24">
        <f>$B$6*$B$2/E22+$B$7*(E22/2+E23*$B$3*SQRT($B$5))+$B$8*$B$2/E22*(1-_xlfn.NORM.S.DIST(E23,1))</f>
        <v>1431.7531484415445</v>
      </c>
      <c r="F25" s="31">
        <f>$B$6*$B$2/F22+$B$7*(F22/2+F23*$B$3*SQRT($B$5))+$B$8*$B$2/F22*(1-_xlfn.NORM.S.DIST(F23,1))</f>
        <v>1431.7530297295868</v>
      </c>
      <c r="G25" s="3"/>
    </row>
  </sheetData>
  <pageMargins left="0.7" right="0.7" top="0.78740157499999996" bottom="0.78740157499999996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9217" r:id="rId4">
          <objectPr defaultSize="0" autoPict="0" r:id="rId5">
            <anchor moveWithCells="1" sizeWithCells="1">
              <from>
                <xdr:col>7</xdr:col>
                <xdr:colOff>69850</xdr:colOff>
                <xdr:row>11</xdr:row>
                <xdr:rowOff>114300</xdr:rowOff>
              </from>
              <to>
                <xdr:col>11</xdr:col>
                <xdr:colOff>508000</xdr:colOff>
                <xdr:row>18</xdr:row>
                <xdr:rowOff>12700</xdr:rowOff>
              </to>
            </anchor>
          </objectPr>
        </oleObject>
      </mc:Choice>
      <mc:Fallback>
        <oleObject progId="Equation.3" shapeId="921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84" zoomScaleNormal="115" workbookViewId="0">
      <selection activeCell="C50" sqref="C50"/>
    </sheetView>
  </sheetViews>
  <sheetFormatPr defaultColWidth="11.54296875" defaultRowHeight="14.5"/>
  <cols>
    <col min="1" max="1" width="57.81640625" bestFit="1" customWidth="1"/>
    <col min="7" max="7" width="4.453125" bestFit="1" customWidth="1"/>
    <col min="8" max="11" width="4.26953125" bestFit="1" customWidth="1"/>
    <col min="12" max="12" width="7" bestFit="1" customWidth="1"/>
    <col min="13" max="14" width="4.26953125" bestFit="1" customWidth="1"/>
    <col min="15" max="15" width="3.26953125" bestFit="1" customWidth="1"/>
    <col min="16" max="16" width="4.26953125" bestFit="1" customWidth="1"/>
    <col min="17" max="17" width="3.26953125" bestFit="1" customWidth="1"/>
    <col min="18" max="18" width="7.26953125" bestFit="1" customWidth="1"/>
    <col min="19" max="19" width="7.54296875" bestFit="1" customWidth="1"/>
    <col min="20" max="20" width="4.26953125" bestFit="1" customWidth="1"/>
    <col min="21" max="21" width="3.26953125" bestFit="1" customWidth="1"/>
  </cols>
  <sheetData>
    <row r="1" spans="1:19" ht="28.5">
      <c r="B1" s="1" t="s">
        <v>92</v>
      </c>
    </row>
    <row r="3" spans="1:19">
      <c r="B3" t="s">
        <v>84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 t="s">
        <v>44</v>
      </c>
      <c r="S3" t="s">
        <v>45</v>
      </c>
    </row>
    <row r="4" spans="1:19">
      <c r="B4" t="s">
        <v>43</v>
      </c>
      <c r="C4">
        <v>83</v>
      </c>
      <c r="D4">
        <v>101</v>
      </c>
      <c r="E4">
        <v>105</v>
      </c>
      <c r="F4">
        <v>145</v>
      </c>
      <c r="G4">
        <v>179</v>
      </c>
      <c r="H4">
        <v>65</v>
      </c>
      <c r="I4">
        <v>79</v>
      </c>
      <c r="J4">
        <v>121</v>
      </c>
      <c r="K4">
        <v>81</v>
      </c>
      <c r="L4">
        <v>103</v>
      </c>
      <c r="M4">
        <v>75</v>
      </c>
      <c r="N4">
        <v>89</v>
      </c>
      <c r="O4">
        <v>61</v>
      </c>
      <c r="P4">
        <v>123</v>
      </c>
      <c r="Q4">
        <v>85</v>
      </c>
      <c r="R4" s="25">
        <f>AVERAGE(C4:Q4)</f>
        <v>99.666666666666671</v>
      </c>
      <c r="S4" s="25">
        <f>_xlfn.STDEV.S(C4:Q4)</f>
        <v>31.709995419801153</v>
      </c>
    </row>
    <row r="7" spans="1:19">
      <c r="A7" t="s">
        <v>33</v>
      </c>
      <c r="B7">
        <v>300</v>
      </c>
    </row>
    <row r="8" spans="1:19">
      <c r="A8" t="s">
        <v>66</v>
      </c>
      <c r="B8">
        <v>700</v>
      </c>
    </row>
    <row r="9" spans="1:19">
      <c r="A9" t="s">
        <v>34</v>
      </c>
      <c r="B9">
        <v>20</v>
      </c>
    </row>
    <row r="10" spans="1:19">
      <c r="A10" t="s">
        <v>41</v>
      </c>
      <c r="B10">
        <v>2.5</v>
      </c>
      <c r="C10" t="s">
        <v>78</v>
      </c>
    </row>
    <row r="11" spans="1:19">
      <c r="A11" t="s">
        <v>5</v>
      </c>
      <c r="B11">
        <v>3</v>
      </c>
      <c r="C11" t="s">
        <v>32</v>
      </c>
    </row>
    <row r="12" spans="1:19">
      <c r="A12" s="3" t="s">
        <v>105</v>
      </c>
    </row>
    <row r="13" spans="1:19">
      <c r="A13" s="23" t="s">
        <v>100</v>
      </c>
      <c r="B13">
        <v>1</v>
      </c>
      <c r="C13" t="s">
        <v>101</v>
      </c>
    </row>
    <row r="14" spans="1:19">
      <c r="A14" t="s">
        <v>103</v>
      </c>
      <c r="B14">
        <f>R4</f>
        <v>99.666666666666671</v>
      </c>
    </row>
    <row r="15" spans="1:19">
      <c r="A15" t="s">
        <v>102</v>
      </c>
      <c r="B15" s="25">
        <f>S4</f>
        <v>31.709995419801153</v>
      </c>
    </row>
    <row r="16" spans="1:19">
      <c r="A16" t="s">
        <v>91</v>
      </c>
      <c r="B16">
        <f>1-D16</f>
        <v>0.64285714285714279</v>
      </c>
      <c r="C16" t="s">
        <v>39</v>
      </c>
      <c r="D16">
        <f>(B10*B7)/(B11*B8)</f>
        <v>0.35714285714285715</v>
      </c>
      <c r="E16" t="s">
        <v>40</v>
      </c>
    </row>
    <row r="17" spans="1:12">
      <c r="A17" t="s">
        <v>75</v>
      </c>
      <c r="B17">
        <f>_xlfn.NORM.S.INV(B16)</f>
        <v>0.36610635680056952</v>
      </c>
    </row>
    <row r="18" spans="1:12">
      <c r="A18" t="s">
        <v>12</v>
      </c>
      <c r="B18" s="3">
        <f>B14+B17*B15*1</f>
        <v>111.27589756397282</v>
      </c>
    </row>
    <row r="20" spans="1:12">
      <c r="A20" s="3" t="s">
        <v>106</v>
      </c>
      <c r="L20" s="15"/>
    </row>
    <row r="21" spans="1:12">
      <c r="A21" t="s">
        <v>71</v>
      </c>
      <c r="B21">
        <f>B9*B8/B7</f>
        <v>46.666666666666664</v>
      </c>
    </row>
    <row r="22" spans="1:12">
      <c r="A22" t="s">
        <v>99</v>
      </c>
      <c r="B22">
        <f>(B7/2+B17*B15)*B10</f>
        <v>404.02307724326533</v>
      </c>
    </row>
    <row r="23" spans="1:12">
      <c r="A23" t="s">
        <v>79</v>
      </c>
      <c r="B23">
        <f>(B11*B15*B24*B8)/B7</f>
        <v>53.482012012845608</v>
      </c>
    </row>
    <row r="24" spans="1:12">
      <c r="A24" t="s">
        <v>93</v>
      </c>
      <c r="B24" s="15">
        <f>_xlfn.NORM.DIST(ROUND(B17,2),0,1,0)-ROUND(B17,2)*(1-_xlfn.NORM.DIST(ROUND(B17,2),0,1,1))</f>
        <v>0.24094255862413574</v>
      </c>
    </row>
    <row r="25" spans="1:12">
      <c r="A25" t="s">
        <v>94</v>
      </c>
      <c r="B25" s="3">
        <f>B21+B22+B23</f>
        <v>504.17175592277761</v>
      </c>
    </row>
    <row r="39" spans="1:3">
      <c r="A39" s="3" t="s">
        <v>61</v>
      </c>
    </row>
    <row r="40" spans="1:3">
      <c r="A40" t="s">
        <v>51</v>
      </c>
      <c r="B40">
        <v>0.95</v>
      </c>
    </row>
    <row r="41" spans="1:3">
      <c r="A41" t="s">
        <v>75</v>
      </c>
      <c r="B41" s="25">
        <f>_xlfn.NORM.S.INV(B40)</f>
        <v>1.6448536269514715</v>
      </c>
    </row>
    <row r="42" spans="1:3">
      <c r="A42" t="s">
        <v>63</v>
      </c>
      <c r="B42" s="25">
        <f>B41*B15</f>
        <v>52.158300976874479</v>
      </c>
    </row>
    <row r="43" spans="1:3">
      <c r="A43" t="s">
        <v>12</v>
      </c>
      <c r="B43" s="25">
        <f>B14+B42</f>
        <v>151.82496764354116</v>
      </c>
    </row>
    <row r="45" spans="1:3">
      <c r="A45" t="s">
        <v>93</v>
      </c>
      <c r="B45" s="25">
        <f>_xlfn.NORM.DIST(ROUND(B41,2),0,1,0)-ROUND(B41,2)*(1-_xlfn.NORM.DIST(ROUND(B41,2),0,1,1))</f>
        <v>2.1136858431234085E-2</v>
      </c>
    </row>
    <row r="46" spans="1:3">
      <c r="A46" t="s">
        <v>47</v>
      </c>
      <c r="B46" s="31">
        <f>1-B45*B15/B7</f>
        <v>0.99776583438652189</v>
      </c>
    </row>
    <row r="47" spans="1:3">
      <c r="C47" t="s">
        <v>98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topLeftCell="A6" zoomScale="130" zoomScaleNormal="130" workbookViewId="0">
      <selection activeCell="B17" sqref="B17"/>
    </sheetView>
  </sheetViews>
  <sheetFormatPr defaultColWidth="11.54296875" defaultRowHeight="14.5"/>
  <cols>
    <col min="1" max="1" width="57.81640625" bestFit="1" customWidth="1"/>
    <col min="7" max="7" width="3.26953125" bestFit="1" customWidth="1"/>
    <col min="8" max="11" width="4.26953125" bestFit="1" customWidth="1"/>
    <col min="12" max="12" width="3.26953125" bestFit="1" customWidth="1"/>
    <col min="13" max="14" width="4.26953125" bestFit="1" customWidth="1"/>
    <col min="15" max="15" width="3.26953125" bestFit="1" customWidth="1"/>
    <col min="16" max="16" width="4.26953125" bestFit="1" customWidth="1"/>
    <col min="17" max="19" width="3.26953125" bestFit="1" customWidth="1"/>
    <col min="20" max="20" width="4.26953125" bestFit="1" customWidth="1"/>
    <col min="21" max="21" width="3.26953125" bestFit="1" customWidth="1"/>
  </cols>
  <sheetData>
    <row r="1" spans="1:23">
      <c r="F1" t="s">
        <v>42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 t="s">
        <v>44</v>
      </c>
      <c r="W1" t="s">
        <v>45</v>
      </c>
    </row>
    <row r="2" spans="1:23">
      <c r="A2" t="s">
        <v>5</v>
      </c>
      <c r="B2">
        <v>0.3</v>
      </c>
      <c r="C2" t="s">
        <v>32</v>
      </c>
      <c r="F2" t="s">
        <v>43</v>
      </c>
      <c r="G2">
        <v>83</v>
      </c>
      <c r="H2">
        <v>101</v>
      </c>
      <c r="I2">
        <v>105</v>
      </c>
      <c r="J2">
        <v>145</v>
      </c>
      <c r="K2">
        <v>179</v>
      </c>
      <c r="L2">
        <v>65</v>
      </c>
      <c r="M2">
        <v>79</v>
      </c>
      <c r="N2">
        <v>121</v>
      </c>
      <c r="O2">
        <v>81</v>
      </c>
      <c r="P2">
        <v>103</v>
      </c>
      <c r="Q2">
        <v>75</v>
      </c>
      <c r="R2">
        <v>89</v>
      </c>
      <c r="S2">
        <v>61</v>
      </c>
      <c r="T2">
        <v>123</v>
      </c>
      <c r="U2">
        <v>85</v>
      </c>
      <c r="V2">
        <f>AVERAGE(G2:U2)</f>
        <v>99.666666666666671</v>
      </c>
      <c r="W2">
        <f>_xlfn.STDEV.S(G2:U2)</f>
        <v>31.709995419801153</v>
      </c>
    </row>
    <row r="3" spans="1:23">
      <c r="A3" t="s">
        <v>33</v>
      </c>
      <c r="B3">
        <v>300</v>
      </c>
      <c r="M3">
        <f>SUM(G2:M2)</f>
        <v>757</v>
      </c>
    </row>
    <row r="4" spans="1:23">
      <c r="A4" t="s">
        <v>66</v>
      </c>
      <c r="B4">
        <v>700</v>
      </c>
    </row>
    <row r="5" spans="1:23">
      <c r="A5" t="s">
        <v>34</v>
      </c>
      <c r="B5">
        <v>20</v>
      </c>
    </row>
    <row r="6" spans="1:23">
      <c r="A6" t="s">
        <v>41</v>
      </c>
      <c r="B6">
        <v>0.25</v>
      </c>
      <c r="C6" t="s">
        <v>69</v>
      </c>
    </row>
    <row r="7" spans="1:23">
      <c r="A7" t="s">
        <v>35</v>
      </c>
      <c r="B7">
        <v>10</v>
      </c>
    </row>
    <row r="8" spans="1:23">
      <c r="A8" t="s">
        <v>36</v>
      </c>
      <c r="B8">
        <f>V2</f>
        <v>99.666666666666671</v>
      </c>
    </row>
    <row r="9" spans="1:23">
      <c r="A9" t="s">
        <v>37</v>
      </c>
      <c r="B9">
        <f>W2</f>
        <v>31.709995419801153</v>
      </c>
    </row>
    <row r="10" spans="1:23">
      <c r="A10" t="s">
        <v>59</v>
      </c>
    </row>
    <row r="11" spans="1:23">
      <c r="A11" t="s">
        <v>38</v>
      </c>
      <c r="B11">
        <f>1-D11</f>
        <v>0.64285714285714279</v>
      </c>
      <c r="C11" t="s">
        <v>39</v>
      </c>
      <c r="D11">
        <f>(B6*B3)/(B2*B4)</f>
        <v>0.35714285714285715</v>
      </c>
      <c r="E11" t="s">
        <v>40</v>
      </c>
    </row>
    <row r="12" spans="1:23">
      <c r="A12" t="s">
        <v>9</v>
      </c>
      <c r="B12">
        <f>_xlfn.NORM.S.INV(B11)</f>
        <v>0.36610635680056952</v>
      </c>
    </row>
    <row r="13" spans="1:23">
      <c r="A13" t="s">
        <v>12</v>
      </c>
      <c r="B13">
        <f>B8+B12*B9</f>
        <v>111.27589756397282</v>
      </c>
    </row>
    <row r="15" spans="1:23">
      <c r="A15" t="s">
        <v>60</v>
      </c>
    </row>
    <row r="16" spans="1:23">
      <c r="A16" t="s">
        <v>71</v>
      </c>
      <c r="B16">
        <f>B5*B4/B3</f>
        <v>46.666666666666664</v>
      </c>
    </row>
    <row r="17" spans="1:2">
      <c r="A17" t="s">
        <v>72</v>
      </c>
      <c r="B17">
        <f>(B3/2+B12*B9)*B6*B7</f>
        <v>404.02307724326533</v>
      </c>
    </row>
    <row r="18" spans="1:2">
      <c r="B18">
        <f>(B2*B7*B9*B19*B4)/B3</f>
        <v>53.482012012845608</v>
      </c>
    </row>
    <row r="19" spans="1:2">
      <c r="A19" t="s">
        <v>53</v>
      </c>
      <c r="B19" s="15">
        <f>_xlfn.NORM.DIST(ROUND(B12,2),0,1,0)-ROUND(B12,2)*(1-_xlfn.NORM.DIST(ROUND(B12,2),0,1,1))</f>
        <v>0.24094255862413574</v>
      </c>
    </row>
    <row r="20" spans="1:2">
      <c r="A20" t="s">
        <v>70</v>
      </c>
      <c r="B20">
        <f>B16+B17+B18</f>
        <v>504.17175592277761</v>
      </c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4</xdr:col>
                <xdr:colOff>584200</xdr:colOff>
                <xdr:row>12</xdr:row>
                <xdr:rowOff>95250</xdr:rowOff>
              </from>
              <to>
                <xdr:col>10</xdr:col>
                <xdr:colOff>0</xdr:colOff>
                <xdr:row>19</xdr:row>
                <xdr:rowOff>95250</xdr:rowOff>
              </to>
            </anchor>
          </objectPr>
        </oleObject>
      </mc:Choice>
      <mc:Fallback>
        <oleObject progId="Equation.3" shapeId="614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2" zoomScaleNormal="115" workbookViewId="0">
      <selection activeCell="G30" sqref="G30"/>
    </sheetView>
  </sheetViews>
  <sheetFormatPr defaultColWidth="11.453125" defaultRowHeight="14.5"/>
  <cols>
    <col min="1" max="1" width="9.1796875" style="4" customWidth="1"/>
    <col min="2" max="2" width="27.81640625" style="4" bestFit="1" customWidth="1"/>
    <col min="3" max="3" width="16.54296875" style="4" customWidth="1"/>
    <col min="4" max="4" width="8.81640625" style="4" customWidth="1"/>
    <col min="5" max="6" width="6.7265625" style="4" bestFit="1" customWidth="1"/>
    <col min="7" max="7" width="7.7265625" style="4" customWidth="1"/>
    <col min="8" max="8" width="7.26953125" style="4" customWidth="1"/>
    <col min="9" max="9" width="7.81640625" style="4" customWidth="1"/>
    <col min="10" max="11" width="11.453125" style="4"/>
    <col min="12" max="12" width="2.26953125" style="4" bestFit="1" customWidth="1"/>
    <col min="13" max="13" width="10.1796875" style="4" customWidth="1"/>
    <col min="14" max="16384" width="11.453125" style="4"/>
  </cols>
  <sheetData>
    <row r="1" spans="1:13">
      <c r="D1" s="5" t="s">
        <v>18</v>
      </c>
      <c r="E1" s="6">
        <v>5000</v>
      </c>
    </row>
    <row r="2" spans="1:13">
      <c r="D2" s="8" t="s">
        <v>19</v>
      </c>
      <c r="E2" s="9">
        <v>30</v>
      </c>
    </row>
    <row r="3" spans="1:13">
      <c r="D3" s="8" t="s">
        <v>4</v>
      </c>
      <c r="E3" s="9">
        <v>9</v>
      </c>
    </row>
    <row r="4" spans="1:13">
      <c r="D4" s="8" t="s">
        <v>21</v>
      </c>
      <c r="E4" s="9">
        <v>75</v>
      </c>
    </row>
    <row r="5" spans="1:13">
      <c r="D5" s="12" t="s">
        <v>22</v>
      </c>
      <c r="E5" s="13">
        <v>2</v>
      </c>
    </row>
    <row r="6" spans="1:13">
      <c r="D6" s="20" t="s">
        <v>17</v>
      </c>
    </row>
    <row r="7" spans="1:13">
      <c r="B7" s="7"/>
      <c r="C7" s="7"/>
      <c r="D7" s="29" t="s">
        <v>12</v>
      </c>
      <c r="E7" s="7"/>
      <c r="F7" s="7"/>
      <c r="G7" s="7"/>
      <c r="H7" s="7"/>
      <c r="I7" s="7"/>
    </row>
    <row r="8" spans="1:13">
      <c r="B8" s="26" t="s">
        <v>95</v>
      </c>
      <c r="C8" s="27" t="s">
        <v>20</v>
      </c>
      <c r="D8" s="11">
        <v>100</v>
      </c>
      <c r="E8" s="10">
        <v>150</v>
      </c>
      <c r="F8" s="10">
        <v>200</v>
      </c>
      <c r="G8" s="34">
        <v>250</v>
      </c>
      <c r="H8" s="10">
        <v>300</v>
      </c>
      <c r="I8" s="10">
        <v>350</v>
      </c>
    </row>
    <row r="9" spans="1:13">
      <c r="B9" s="20">
        <v>100</v>
      </c>
      <c r="C9" s="28">
        <v>0.11</v>
      </c>
      <c r="D9" s="16">
        <f t="shared" ref="D9:I9" si="0">(D$8-$B9)*$C9</f>
        <v>0</v>
      </c>
      <c r="E9" s="16">
        <f t="shared" si="0"/>
        <v>5.5</v>
      </c>
      <c r="F9" s="16">
        <f t="shared" si="0"/>
        <v>11</v>
      </c>
      <c r="G9" s="16">
        <f t="shared" si="0"/>
        <v>16.5</v>
      </c>
      <c r="H9" s="16">
        <f t="shared" si="0"/>
        <v>22</v>
      </c>
      <c r="I9" s="17">
        <f t="shared" si="0"/>
        <v>27.5</v>
      </c>
    </row>
    <row r="10" spans="1:13">
      <c r="B10" s="20">
        <v>150</v>
      </c>
      <c r="C10" s="28">
        <v>0.25</v>
      </c>
      <c r="D10" s="16">
        <f>(D$8-B10)*C10</f>
        <v>-12.5</v>
      </c>
      <c r="E10" s="16">
        <f>(E$8-$B10)*$C10</f>
        <v>0</v>
      </c>
      <c r="F10" s="16">
        <f t="shared" ref="F10:I13" si="1">(F$8-$B10)*$C10</f>
        <v>12.5</v>
      </c>
      <c r="G10" s="16">
        <f t="shared" si="1"/>
        <v>25</v>
      </c>
      <c r="H10" s="16">
        <f t="shared" si="1"/>
        <v>37.5</v>
      </c>
      <c r="I10" s="18">
        <f t="shared" si="1"/>
        <v>50</v>
      </c>
    </row>
    <row r="11" spans="1:13">
      <c r="B11" s="20">
        <v>200</v>
      </c>
      <c r="C11" s="28">
        <v>0.27</v>
      </c>
      <c r="D11" s="16">
        <f>(D$8-B11)*C11</f>
        <v>-27</v>
      </c>
      <c r="E11" s="16">
        <f>(E$8-$B11)*$C11</f>
        <v>-13.5</v>
      </c>
      <c r="F11" s="16">
        <f t="shared" si="1"/>
        <v>0</v>
      </c>
      <c r="G11" s="16">
        <f t="shared" si="1"/>
        <v>13.5</v>
      </c>
      <c r="H11" s="16">
        <f t="shared" si="1"/>
        <v>27</v>
      </c>
      <c r="I11" s="18">
        <f t="shared" si="1"/>
        <v>40.5</v>
      </c>
    </row>
    <row r="12" spans="1:13">
      <c r="B12" s="20">
        <v>250</v>
      </c>
      <c r="C12" s="28">
        <v>0.25</v>
      </c>
      <c r="D12" s="16">
        <f>(D$8-B12)*C12</f>
        <v>-37.5</v>
      </c>
      <c r="E12" s="16">
        <f>(E$8-$B12)*$C12</f>
        <v>-25</v>
      </c>
      <c r="F12" s="16">
        <f t="shared" si="1"/>
        <v>-12.5</v>
      </c>
      <c r="G12" s="16">
        <f t="shared" si="1"/>
        <v>0</v>
      </c>
      <c r="H12" s="16">
        <f t="shared" si="1"/>
        <v>12.5</v>
      </c>
      <c r="I12" s="18">
        <f t="shared" si="1"/>
        <v>25</v>
      </c>
    </row>
    <row r="13" spans="1:13">
      <c r="B13" s="29">
        <v>300</v>
      </c>
      <c r="C13" s="30">
        <v>0.11</v>
      </c>
      <c r="D13" s="19">
        <f>(D$8-B13)*C13</f>
        <v>-22</v>
      </c>
      <c r="E13" s="19">
        <f>(E$8-$B13)*$C13</f>
        <v>-16.5</v>
      </c>
      <c r="F13" s="19">
        <f t="shared" si="1"/>
        <v>-11</v>
      </c>
      <c r="G13" s="19">
        <f t="shared" si="1"/>
        <v>-5.5</v>
      </c>
      <c r="H13" s="19">
        <f t="shared" si="1"/>
        <v>0</v>
      </c>
      <c r="I13" s="19">
        <f t="shared" si="1"/>
        <v>5.5</v>
      </c>
    </row>
    <row r="14" spans="1:13">
      <c r="B14" s="4" t="s">
        <v>23</v>
      </c>
      <c r="C14" s="6"/>
      <c r="D14" s="4">
        <f>ABS(SUM(D9:D13))</f>
        <v>99</v>
      </c>
      <c r="E14" s="4">
        <f>ABS(SUM(E11:E13))</f>
        <v>55</v>
      </c>
      <c r="F14" s="4">
        <f>ABS(SUM(F12:F13))</f>
        <v>23.5</v>
      </c>
      <c r="G14" s="4">
        <f>ABS(SUM(G13))</f>
        <v>5.5</v>
      </c>
      <c r="H14" s="4">
        <f>ABS(SUM(H13))</f>
        <v>0</v>
      </c>
      <c r="I14" s="4">
        <v>0</v>
      </c>
      <c r="M14" s="16"/>
    </row>
    <row r="15" spans="1:13" ht="15" customHeight="1">
      <c r="B15" s="4" t="s">
        <v>24</v>
      </c>
      <c r="C15" s="9"/>
      <c r="D15" s="16">
        <f>SUM(D9)</f>
        <v>0</v>
      </c>
      <c r="E15" s="16">
        <f>SUM(E9)</f>
        <v>5.5</v>
      </c>
      <c r="F15" s="16">
        <f>SUM(F9:F10)</f>
        <v>23.5</v>
      </c>
      <c r="G15" s="4">
        <f>SUM(G9:G11)</f>
        <v>55</v>
      </c>
      <c r="H15" s="4">
        <f>SUM(H9:H12)</f>
        <v>99</v>
      </c>
      <c r="I15" s="4">
        <f>SUM(I9:I13)</f>
        <v>148.5</v>
      </c>
    </row>
    <row r="16" spans="1:13" ht="18.75" customHeight="1">
      <c r="A16" s="37" t="s">
        <v>59</v>
      </c>
      <c r="B16" s="4" t="s">
        <v>25</v>
      </c>
      <c r="C16" s="9"/>
      <c r="D16" s="4">
        <f>D14*$E$5</f>
        <v>198</v>
      </c>
      <c r="E16" s="4">
        <f t="shared" ref="E16:I16" si="2">E14*$E$5</f>
        <v>110</v>
      </c>
      <c r="F16" s="4">
        <f t="shared" si="2"/>
        <v>47</v>
      </c>
      <c r="G16" s="4">
        <f t="shared" si="2"/>
        <v>11</v>
      </c>
      <c r="H16" s="4">
        <f t="shared" si="2"/>
        <v>0</v>
      </c>
      <c r="I16" s="4">
        <f t="shared" si="2"/>
        <v>0</v>
      </c>
      <c r="M16" s="4" t="s">
        <v>96</v>
      </c>
    </row>
    <row r="17" spans="1:11">
      <c r="A17" s="37"/>
      <c r="B17" s="4" t="s">
        <v>26</v>
      </c>
      <c r="C17" s="9"/>
      <c r="D17" s="4">
        <f t="shared" ref="D17:I17" si="3">D15*$E$3</f>
        <v>0</v>
      </c>
      <c r="E17" s="4">
        <f>E15*$E$3</f>
        <v>49.5</v>
      </c>
      <c r="F17" s="4">
        <f t="shared" si="3"/>
        <v>211.5</v>
      </c>
      <c r="G17" s="4">
        <f t="shared" si="3"/>
        <v>495</v>
      </c>
      <c r="H17" s="4">
        <f t="shared" si="3"/>
        <v>891</v>
      </c>
      <c r="I17" s="4">
        <f t="shared" si="3"/>
        <v>1336.5</v>
      </c>
    </row>
    <row r="18" spans="1:11" ht="18.5">
      <c r="A18" s="22" t="s">
        <v>60</v>
      </c>
      <c r="B18" s="4" t="s">
        <v>7</v>
      </c>
      <c r="C18" s="9"/>
      <c r="D18" s="4">
        <f>SQRT(2*$E$1*($E$4+D16)/$E$3)</f>
        <v>550.75705472861023</v>
      </c>
      <c r="E18" s="4">
        <f t="shared" ref="E18:I18" si="4">SQRT(2*$E$1*($E$4+E16)/$E$3)</f>
        <v>453.38235029118147</v>
      </c>
      <c r="F18" s="4">
        <f t="shared" si="4"/>
        <v>368.17870057290872</v>
      </c>
      <c r="G18" s="4">
        <f t="shared" si="4"/>
        <v>309.12061651652346</v>
      </c>
      <c r="H18" s="4">
        <f t="shared" si="4"/>
        <v>288.67513459481285</v>
      </c>
      <c r="I18" s="4">
        <f t="shared" si="4"/>
        <v>288.67513459481285</v>
      </c>
    </row>
    <row r="19" spans="1:11" hidden="1">
      <c r="B19" s="4" t="s">
        <v>27</v>
      </c>
      <c r="C19" s="9"/>
      <c r="D19" s="4">
        <f t="shared" ref="D19:I19" si="5">$E$1/D18</f>
        <v>9.0784129900320352</v>
      </c>
      <c r="E19" s="4">
        <f t="shared" si="5"/>
        <v>11.028219331407115</v>
      </c>
      <c r="F19" s="4">
        <f t="shared" si="5"/>
        <v>13.580361906377778</v>
      </c>
      <c r="G19" s="4">
        <f t="shared" si="5"/>
        <v>16.174915980515763</v>
      </c>
      <c r="H19" s="4">
        <f t="shared" si="5"/>
        <v>17.320508075688775</v>
      </c>
      <c r="I19" s="4">
        <f t="shared" si="5"/>
        <v>17.320508075688775</v>
      </c>
    </row>
    <row r="20" spans="1:11" hidden="1">
      <c r="B20" s="4" t="s">
        <v>28</v>
      </c>
      <c r="C20" s="9"/>
      <c r="D20" s="4">
        <f t="shared" ref="D20:I20" si="6">D16*D19</f>
        <v>1797.525772026343</v>
      </c>
      <c r="E20" s="4">
        <f t="shared" si="6"/>
        <v>1213.1041264547825</v>
      </c>
      <c r="F20" s="4">
        <f t="shared" si="6"/>
        <v>638.27700959975562</v>
      </c>
      <c r="G20" s="4">
        <f t="shared" si="6"/>
        <v>177.92407578567338</v>
      </c>
      <c r="H20" s="4">
        <f t="shared" si="6"/>
        <v>0</v>
      </c>
      <c r="I20" s="4">
        <f t="shared" si="6"/>
        <v>0</v>
      </c>
    </row>
    <row r="21" spans="1:11" hidden="1">
      <c r="B21" s="4" t="s">
        <v>73</v>
      </c>
      <c r="D21" s="4">
        <f t="shared" ref="D21:I21" si="7">D17/D19</f>
        <v>0</v>
      </c>
      <c r="E21" s="4">
        <f t="shared" si="7"/>
        <v>4.4884852678826972</v>
      </c>
      <c r="F21" s="4">
        <f t="shared" si="7"/>
        <v>15.57395903423404</v>
      </c>
      <c r="G21" s="4">
        <f t="shared" si="7"/>
        <v>30.602941035135821</v>
      </c>
      <c r="H21" s="4">
        <f t="shared" si="7"/>
        <v>51.441908984795653</v>
      </c>
      <c r="I21" s="4">
        <f t="shared" si="7"/>
        <v>77.162863477193483</v>
      </c>
    </row>
    <row r="22" spans="1:11" ht="28.5" hidden="1" customHeight="1">
      <c r="B22" s="36" t="s">
        <v>29</v>
      </c>
      <c r="C22" s="36"/>
      <c r="D22" s="14">
        <f t="shared" ref="D22:I22" si="8">D20+D17</f>
        <v>1797.525772026343</v>
      </c>
      <c r="E22" s="14">
        <f t="shared" si="8"/>
        <v>1262.6041264547825</v>
      </c>
      <c r="F22" s="14">
        <f t="shared" si="8"/>
        <v>849.77700959975562</v>
      </c>
      <c r="G22" s="14">
        <f t="shared" si="8"/>
        <v>672.92407578567338</v>
      </c>
      <c r="H22" s="14">
        <f t="shared" si="8"/>
        <v>891</v>
      </c>
      <c r="I22" s="14">
        <f t="shared" si="8"/>
        <v>1336.5</v>
      </c>
    </row>
    <row r="23" spans="1:11" hidden="1"/>
    <row r="24" spans="1:11" hidden="1">
      <c r="B24" s="4" t="s">
        <v>74</v>
      </c>
      <c r="D24" s="4">
        <f t="shared" ref="D24:I24" si="9">$E$1/D18*$E$4</f>
        <v>680.88097425240267</v>
      </c>
      <c r="E24" s="4">
        <f t="shared" si="9"/>
        <v>827.11644985553357</v>
      </c>
      <c r="F24" s="4">
        <f t="shared" si="9"/>
        <v>1018.5271429783334</v>
      </c>
      <c r="G24" s="4">
        <f t="shared" si="9"/>
        <v>1213.1186985386823</v>
      </c>
      <c r="H24" s="4">
        <f t="shared" si="9"/>
        <v>1299.038105676658</v>
      </c>
      <c r="I24" s="4">
        <f t="shared" si="9"/>
        <v>1299.038105676658</v>
      </c>
    </row>
    <row r="25" spans="1:11" hidden="1"/>
    <row r="26" spans="1:11" hidden="1">
      <c r="B26" s="4" t="s">
        <v>30</v>
      </c>
      <c r="D26" s="4">
        <f t="shared" ref="D26:I26" si="10">(D18/2)*$E$3</f>
        <v>2478.4067462787461</v>
      </c>
      <c r="E26" s="4">
        <f t="shared" si="10"/>
        <v>2040.2205763103166</v>
      </c>
      <c r="F26" s="4">
        <f t="shared" si="10"/>
        <v>1656.8041525780893</v>
      </c>
      <c r="G26" s="4">
        <f t="shared" si="10"/>
        <v>1391.0427743243556</v>
      </c>
      <c r="H26" s="4">
        <f t="shared" si="10"/>
        <v>1299.0381056766578</v>
      </c>
      <c r="I26" s="4">
        <f t="shared" si="10"/>
        <v>1299.0381056766578</v>
      </c>
      <c r="K26"/>
    </row>
    <row r="27" spans="1:11" hidden="1"/>
    <row r="28" spans="1:11" hidden="1">
      <c r="B28" s="4" t="s">
        <v>31</v>
      </c>
      <c r="D28" s="4">
        <f t="shared" ref="D28:I28" si="11">D26+D24+D22</f>
        <v>4956.8134925574923</v>
      </c>
      <c r="E28" s="4">
        <f t="shared" si="11"/>
        <v>4129.9411526206331</v>
      </c>
      <c r="F28" s="4">
        <f t="shared" si="11"/>
        <v>3525.1083051561782</v>
      </c>
      <c r="G28" s="20">
        <f t="shared" si="11"/>
        <v>3277.0855486487112</v>
      </c>
      <c r="H28" s="4">
        <f t="shared" si="11"/>
        <v>3489.0762113533156</v>
      </c>
      <c r="I28" s="4">
        <f t="shared" si="11"/>
        <v>3934.5762113533156</v>
      </c>
    </row>
    <row r="30" spans="1:11" ht="18.5">
      <c r="A30" s="22" t="s">
        <v>61</v>
      </c>
      <c r="B30" s="4" t="s">
        <v>85</v>
      </c>
      <c r="D30" s="4">
        <f>$E$1*$E$4/D18+$E$3*(D18/2+D15)+$E$1/D18*$E$5*D14</f>
        <v>4956.8134925574923</v>
      </c>
      <c r="E30" s="4">
        <f t="shared" ref="E30:I30" si="12">$E$1*$E$4/E18+$E$3*(E18/2+E15)+$E$1/E18*$E$5*E14</f>
        <v>4129.9411526206331</v>
      </c>
      <c r="F30" s="4">
        <f t="shared" si="12"/>
        <v>3525.1083051561782</v>
      </c>
      <c r="G30" s="20">
        <f t="shared" si="12"/>
        <v>3277.0855486487108</v>
      </c>
      <c r="H30" s="4">
        <f t="shared" si="12"/>
        <v>3489.076211353316</v>
      </c>
      <c r="I30" s="4">
        <f t="shared" si="12"/>
        <v>3934.5762113533156</v>
      </c>
    </row>
  </sheetData>
  <mergeCells count="2">
    <mergeCell ref="B22:C22"/>
    <mergeCell ref="A16:A17"/>
  </mergeCells>
  <pageMargins left="0.7" right="0.7" top="0.78740157499999996" bottom="0.78740157499999996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12</xdr:col>
                <xdr:colOff>146050</xdr:colOff>
                <xdr:row>16</xdr:row>
                <xdr:rowOff>146050</xdr:rowOff>
              </from>
              <to>
                <xdr:col>14</xdr:col>
                <xdr:colOff>755650</xdr:colOff>
                <xdr:row>28</xdr:row>
                <xdr:rowOff>171450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</xdr:col>
                <xdr:colOff>412750</xdr:colOff>
                <xdr:row>31</xdr:row>
                <xdr:rowOff>88900</xdr:rowOff>
              </from>
              <to>
                <xdr:col>10</xdr:col>
                <xdr:colOff>50800</xdr:colOff>
                <xdr:row>35</xdr:row>
                <xdr:rowOff>69850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3" r:id="rId8">
          <objectPr defaultSize="0" autoPict="0" r:id="rId9">
            <anchor moveWithCells="1" sizeWithCells="1">
              <from>
                <xdr:col>9</xdr:col>
                <xdr:colOff>323850</xdr:colOff>
                <xdr:row>18</xdr:row>
                <xdr:rowOff>0</xdr:rowOff>
              </from>
              <to>
                <xdr:col>17</xdr:col>
                <xdr:colOff>285750</xdr:colOff>
                <xdr:row>18</xdr:row>
                <xdr:rowOff>0</xdr:rowOff>
              </to>
            </anchor>
          </objectPr>
        </oleObject>
      </mc:Choice>
      <mc:Fallback>
        <oleObject progId="Equation.3" shapeId="2053" r:id="rId8"/>
      </mc:Fallback>
    </mc:AlternateContent>
    <mc:AlternateContent xmlns:mc="http://schemas.openxmlformats.org/markup-compatibility/2006">
      <mc:Choice Requires="x14">
        <oleObject progId="Equation.3" shapeId="2054" r:id="rId10">
          <objectPr defaultSize="0" autoPict="0" r:id="rId11">
            <anchor moveWithCells="1" sizeWithCells="1">
              <from>
                <xdr:col>11</xdr:col>
                <xdr:colOff>146050</xdr:colOff>
                <xdr:row>11</xdr:row>
                <xdr:rowOff>190500</xdr:rowOff>
              </from>
              <to>
                <xdr:col>17</xdr:col>
                <xdr:colOff>717550</xdr:colOff>
                <xdr:row>15</xdr:row>
                <xdr:rowOff>88900</xdr:rowOff>
              </to>
            </anchor>
          </objectPr>
        </oleObject>
      </mc:Choice>
      <mc:Fallback>
        <oleObject progId="Equation.3" shapeId="2054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96" workbookViewId="0">
      <selection activeCell="B30" sqref="B30"/>
    </sheetView>
  </sheetViews>
  <sheetFormatPr defaultColWidth="11.54296875" defaultRowHeight="14.5"/>
  <cols>
    <col min="1" max="1" width="20.54296875" bestFit="1" customWidth="1"/>
  </cols>
  <sheetData>
    <row r="1" spans="1:6">
      <c r="A1" t="s">
        <v>49</v>
      </c>
      <c r="B1">
        <v>250</v>
      </c>
    </row>
    <row r="2" spans="1:6">
      <c r="A2" t="s">
        <v>50</v>
      </c>
      <c r="B2">
        <v>30</v>
      </c>
    </row>
    <row r="3" spans="1:6">
      <c r="A3" t="s">
        <v>2</v>
      </c>
      <c r="B3">
        <v>3</v>
      </c>
    </row>
    <row r="4" spans="1:6">
      <c r="A4" t="s">
        <v>48</v>
      </c>
      <c r="B4">
        <v>1</v>
      </c>
    </row>
    <row r="5" spans="1:6">
      <c r="A5" t="s">
        <v>104</v>
      </c>
      <c r="B5">
        <v>0.98</v>
      </c>
    </row>
    <row r="6" spans="1:6">
      <c r="A6" s="3" t="s">
        <v>59</v>
      </c>
    </row>
    <row r="7" spans="1:6">
      <c r="B7" s="3" t="s">
        <v>51</v>
      </c>
      <c r="D7" s="3" t="s">
        <v>52</v>
      </c>
    </row>
    <row r="8" spans="1:6">
      <c r="A8" t="s">
        <v>56</v>
      </c>
      <c r="B8" s="2">
        <f>B1*(B3+B4)+_xlfn.NORM.S.INV(B5)*B2*SQRT(B3+B4)</f>
        <v>1123.2249346379094</v>
      </c>
      <c r="D8" t="s">
        <v>93</v>
      </c>
      <c r="E8">
        <f>((1-B5)*B1)/(B2*SQRT(B3+B4))</f>
        <v>8.3333333333333412E-2</v>
      </c>
      <c r="F8" t="s">
        <v>57</v>
      </c>
    </row>
    <row r="9" spans="1:6">
      <c r="D9" t="s">
        <v>75</v>
      </c>
      <c r="E9" s="15">
        <v>1.0035768567952332</v>
      </c>
      <c r="F9">
        <v>1</v>
      </c>
    </row>
    <row r="10" spans="1:6">
      <c r="D10" t="s">
        <v>93</v>
      </c>
      <c r="E10" s="15">
        <f>_xlfn.NORM.DIST(ROUND(E9,2),0,1,0)-ROUND(E9,2)*(1-_xlfn.NORM.DIST(ROUND(E9,2),0,1,1))</f>
        <v>8.3315470587686402E-2</v>
      </c>
    </row>
    <row r="11" spans="1:6">
      <c r="D11" t="s">
        <v>54</v>
      </c>
      <c r="E11" s="15">
        <f>E8-E10</f>
        <v>1.7862745647009848E-5</v>
      </c>
    </row>
    <row r="12" spans="1:6">
      <c r="E12" t="s">
        <v>55</v>
      </c>
    </row>
    <row r="14" spans="1:6">
      <c r="D14" t="s">
        <v>56</v>
      </c>
      <c r="E14" s="32">
        <f>B1*(B3+B4)+E9*B2*SQRT(B3+B4)</f>
        <v>1060.2146114077141</v>
      </c>
    </row>
    <row r="15" spans="1:6">
      <c r="E15" s="32"/>
    </row>
    <row r="17" spans="1:3">
      <c r="A17" s="3" t="s">
        <v>60</v>
      </c>
      <c r="B17" t="s">
        <v>58</v>
      </c>
    </row>
    <row r="18" spans="1:3">
      <c r="B18" t="s">
        <v>75</v>
      </c>
      <c r="C18" s="15">
        <f>E9</f>
        <v>1.0035768567952332</v>
      </c>
    </row>
    <row r="19" spans="1:3">
      <c r="B19" t="s">
        <v>51</v>
      </c>
      <c r="C19" s="31">
        <f>_xlfn.NORM.S.DIST(C18,1)</f>
        <v>0.84220869282691024</v>
      </c>
    </row>
    <row r="22" spans="1:3">
      <c r="A22" s="3" t="s">
        <v>61</v>
      </c>
    </row>
    <row r="23" spans="1:3">
      <c r="A23" t="s">
        <v>62</v>
      </c>
      <c r="B23">
        <v>0.9</v>
      </c>
    </row>
    <row r="24" spans="1:3">
      <c r="A24" t="s">
        <v>75</v>
      </c>
      <c r="B24">
        <f>_xlfn.NORM.S.INV(B23)</f>
        <v>1.2815515655446006</v>
      </c>
    </row>
    <row r="25" spans="1:3">
      <c r="A25" t="s">
        <v>64</v>
      </c>
      <c r="B25">
        <v>1.44</v>
      </c>
    </row>
    <row r="26" spans="1:3">
      <c r="A26" t="s">
        <v>65</v>
      </c>
      <c r="B26">
        <v>3</v>
      </c>
    </row>
    <row r="28" spans="1:3">
      <c r="A28" t="s">
        <v>1</v>
      </c>
      <c r="B28" s="2">
        <f>SQRT((B26+B4)*B2^2+B1^2*B25)</f>
        <v>305.94117081556709</v>
      </c>
    </row>
    <row r="29" spans="1:3">
      <c r="A29" t="s">
        <v>63</v>
      </c>
      <c r="B29" s="32">
        <f>B24*B28</f>
        <v>392.07938642323808</v>
      </c>
    </row>
    <row r="30" spans="1:3">
      <c r="A30" t="s">
        <v>56</v>
      </c>
      <c r="B30" s="32">
        <f>B1*(B3+B4)+B29</f>
        <v>1392.079386423238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84" zoomScaleNormal="130" workbookViewId="0">
      <selection activeCell="B15" sqref="B15"/>
    </sheetView>
  </sheetViews>
  <sheetFormatPr defaultColWidth="11.54296875" defaultRowHeight="14.5"/>
  <sheetData>
    <row r="1" spans="1:6" ht="23.5">
      <c r="F1" s="21" t="s">
        <v>81</v>
      </c>
    </row>
    <row r="3" spans="1:6">
      <c r="A3" t="s">
        <v>2</v>
      </c>
      <c r="B3">
        <v>1</v>
      </c>
    </row>
    <row r="4" spans="1:6">
      <c r="A4" t="s">
        <v>48</v>
      </c>
      <c r="B4">
        <v>1</v>
      </c>
    </row>
    <row r="5" spans="1:6">
      <c r="A5" t="s">
        <v>80</v>
      </c>
      <c r="B5">
        <v>0.95</v>
      </c>
    </row>
    <row r="7" spans="1:6">
      <c r="A7" t="s">
        <v>0</v>
      </c>
      <c r="B7">
        <v>1500</v>
      </c>
      <c r="C7">
        <f>B7*(B3+B4)</f>
        <v>3000</v>
      </c>
    </row>
    <row r="8" spans="1:6">
      <c r="A8" t="s">
        <v>1</v>
      </c>
      <c r="B8">
        <v>750</v>
      </c>
      <c r="C8">
        <f>B8*SQRT(B3+B4)</f>
        <v>1060.6601717798214</v>
      </c>
    </row>
    <row r="11" spans="1:6">
      <c r="A11" t="s">
        <v>67</v>
      </c>
      <c r="B11">
        <f>C7^2/C8^2</f>
        <v>7.9999999999999982</v>
      </c>
    </row>
    <row r="12" spans="1:6">
      <c r="A12" t="s">
        <v>47</v>
      </c>
      <c r="B12">
        <f>C8^2/C7</f>
        <v>375.00000000000006</v>
      </c>
    </row>
    <row r="14" spans="1:6">
      <c r="A14" t="s">
        <v>68</v>
      </c>
      <c r="B14" s="31">
        <f>GAMMAINV(B5,B11,B12)</f>
        <v>4930.5426759120437</v>
      </c>
    </row>
  </sheetData>
  <pageMargins left="0.7" right="0.7" top="0.78740157499999996" bottom="0.78740157499999996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2</xdr:col>
                <xdr:colOff>666750</xdr:colOff>
                <xdr:row>1</xdr:row>
                <xdr:rowOff>76200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4" r:id="rId6">
          <objectPr defaultSize="0" autoPict="0" r:id="rId7">
            <anchor moveWithCells="1" sizeWithCells="1">
              <from>
                <xdr:col>6</xdr:col>
                <xdr:colOff>469900</xdr:colOff>
                <xdr:row>12</xdr:row>
                <xdr:rowOff>88900</xdr:rowOff>
              </from>
              <to>
                <xdr:col>7</xdr:col>
                <xdr:colOff>755650</xdr:colOff>
                <xdr:row>14</xdr:row>
                <xdr:rowOff>152400</xdr:rowOff>
              </to>
            </anchor>
          </objectPr>
        </oleObject>
      </mc:Choice>
      <mc:Fallback>
        <oleObject progId="Equation.3" shapeId="20484" r:id="rId6"/>
      </mc:Fallback>
    </mc:AlternateContent>
    <mc:AlternateContent xmlns:mc="http://schemas.openxmlformats.org/markup-compatibility/2006">
      <mc:Choice Requires="x14">
        <oleObject progId="Equation.3" shapeId="20485" r:id="rId8">
          <objectPr defaultSize="0" autoPict="0" r:id="rId9">
            <anchor moveWithCells="1" sizeWithCells="1">
              <from>
                <xdr:col>9</xdr:col>
                <xdr:colOff>438150</xdr:colOff>
                <xdr:row>18</xdr:row>
                <xdr:rowOff>190500</xdr:rowOff>
              </from>
              <to>
                <xdr:col>9</xdr:col>
                <xdr:colOff>742950</xdr:colOff>
                <xdr:row>20</xdr:row>
                <xdr:rowOff>57150</xdr:rowOff>
              </to>
            </anchor>
          </objectPr>
        </oleObject>
      </mc:Choice>
      <mc:Fallback>
        <oleObject progId="Equation.3" shapeId="2048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Ex. 1</vt:lpstr>
      <vt:lpstr>Ex. 2</vt:lpstr>
      <vt:lpstr>Ex. 2 a), b)</vt:lpstr>
      <vt:lpstr>Ex. 3</vt:lpstr>
      <vt:lpstr>Ex. 4</vt:lpstr>
      <vt:lpstr>Ex.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Anna-Lena</dc:creator>
  <cp:lastModifiedBy>pradmin</cp:lastModifiedBy>
  <cp:lastPrinted>2019-06-26T08:47:57Z</cp:lastPrinted>
  <dcterms:created xsi:type="dcterms:W3CDTF">2012-05-17T11:48:44Z</dcterms:created>
  <dcterms:modified xsi:type="dcterms:W3CDTF">2025-05-28T10:09:15Z</dcterms:modified>
</cp:coreProperties>
</file>