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min\OneDrive - TUM\Teaching\InvMan 2024\exercises\Assignment 4\Exercise 4 Solutions\"/>
    </mc:Choice>
  </mc:AlternateContent>
  <bookViews>
    <workbookView xWindow="28680" yWindow="-120" windowWidth="29040" windowHeight="15840" activeTab="5"/>
  </bookViews>
  <sheets>
    <sheet name="Exercise 1" sheetId="1" r:id="rId1"/>
    <sheet name="Exercise 2a)" sheetId="9" r:id="rId2"/>
    <sheet name="Exercise 2b)c)" sheetId="12" r:id="rId3"/>
    <sheet name="Exercise 2d)" sheetId="13" r:id="rId4"/>
    <sheet name="Exercise 3" sheetId="5" r:id="rId5"/>
    <sheet name="Exercise 4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3" l="1"/>
  <c r="G19" i="9"/>
  <c r="C56" i="7" l="1"/>
  <c r="E37" i="12" l="1"/>
  <c r="G9" i="9"/>
  <c r="G8" i="9"/>
  <c r="H8" i="9" s="1"/>
  <c r="C20" i="7" l="1"/>
  <c r="C47" i="7"/>
  <c r="C46" i="7"/>
  <c r="C48" i="7" s="1"/>
  <c r="C49" i="7" s="1"/>
  <c r="C52" i="7" s="1"/>
  <c r="E6" i="7"/>
  <c r="C16" i="7"/>
  <c r="H6" i="7"/>
  <c r="B7" i="7"/>
  <c r="B6" i="7"/>
  <c r="D41" i="7" s="1"/>
  <c r="E7" i="7"/>
  <c r="D42" i="7" l="1"/>
  <c r="E38" i="13"/>
  <c r="E37" i="13"/>
  <c r="H32" i="13"/>
  <c r="D43" i="13" s="1"/>
  <c r="E43" i="13" s="1"/>
  <c r="I31" i="13"/>
  <c r="H31" i="13"/>
  <c r="D42" i="13" s="1"/>
  <c r="E42" i="13" s="1"/>
  <c r="E13" i="13"/>
  <c r="E11" i="13"/>
  <c r="K9" i="13"/>
  <c r="J9" i="13"/>
  <c r="G9" i="13"/>
  <c r="K8" i="13"/>
  <c r="J8" i="13"/>
  <c r="G8" i="13"/>
  <c r="H8" i="13" s="1"/>
  <c r="D42" i="12"/>
  <c r="E42" i="12" s="1"/>
  <c r="I31" i="12"/>
  <c r="H31" i="12"/>
  <c r="H32" i="12"/>
  <c r="D43" i="12" s="1"/>
  <c r="E43" i="12" s="1"/>
  <c r="E38" i="12"/>
  <c r="E13" i="12"/>
  <c r="E11" i="12"/>
  <c r="K9" i="12"/>
  <c r="J9" i="12"/>
  <c r="G9" i="12"/>
  <c r="K8" i="12"/>
  <c r="J8" i="12"/>
  <c r="F11" i="12" s="1"/>
  <c r="G8" i="12"/>
  <c r="H8" i="12" s="1"/>
  <c r="L10" i="13" l="1"/>
  <c r="N10" i="13"/>
  <c r="F11" i="13"/>
  <c r="G10" i="13"/>
  <c r="H10" i="13" s="1"/>
  <c r="E16" i="13" s="1"/>
  <c r="H9" i="13"/>
  <c r="O10" i="13" s="1"/>
  <c r="H9" i="12"/>
  <c r="O10" i="12" s="1"/>
  <c r="G10" i="12"/>
  <c r="H10" i="12" s="1"/>
  <c r="E16" i="12" s="1"/>
  <c r="K11" i="13"/>
  <c r="J11" i="13"/>
  <c r="G11" i="13"/>
  <c r="H11" i="13" s="1"/>
  <c r="G11" i="12"/>
  <c r="H11" i="12" s="1"/>
  <c r="K11" i="12"/>
  <c r="J11" i="12"/>
  <c r="M10" i="12" l="1"/>
  <c r="M10" i="13"/>
  <c r="E12" i="13" s="1"/>
  <c r="F12" i="13" s="1"/>
  <c r="G12" i="13" s="1"/>
  <c r="H12" i="13" s="1"/>
  <c r="N10" i="12"/>
  <c r="I10" i="12"/>
  <c r="K10" i="12" s="1"/>
  <c r="L10" i="12"/>
  <c r="E14" i="12" s="1"/>
  <c r="F14" i="12" s="1"/>
  <c r="I10" i="13"/>
  <c r="J12" i="13"/>
  <c r="E14" i="13"/>
  <c r="F14" i="13" s="1"/>
  <c r="E12" i="12"/>
  <c r="F12" i="12" s="1"/>
  <c r="G12" i="12" s="1"/>
  <c r="I13" i="13" l="1"/>
  <c r="J10" i="12"/>
  <c r="F13" i="12" s="1"/>
  <c r="J10" i="13"/>
  <c r="F13" i="13" s="1"/>
  <c r="K10" i="13"/>
  <c r="K12" i="13"/>
  <c r="G14" i="13"/>
  <c r="H14" i="13" s="1"/>
  <c r="K14" i="13"/>
  <c r="J14" i="13"/>
  <c r="J13" i="13"/>
  <c r="F16" i="13" s="1"/>
  <c r="G14" i="12"/>
  <c r="H14" i="12" s="1"/>
  <c r="K14" i="12"/>
  <c r="J14" i="12"/>
  <c r="H12" i="12"/>
  <c r="K12" i="12"/>
  <c r="J12" i="12"/>
  <c r="G13" i="12"/>
  <c r="H13" i="12" s="1"/>
  <c r="E19" i="12" s="1"/>
  <c r="M13" i="13" l="1"/>
  <c r="E15" i="13" s="1"/>
  <c r="F15" i="13" s="1"/>
  <c r="K15" i="13" s="1"/>
  <c r="N13" i="13"/>
  <c r="L16" i="13" s="1"/>
  <c r="G13" i="13"/>
  <c r="H13" i="13" s="1"/>
  <c r="E19" i="13" s="1"/>
  <c r="L13" i="13"/>
  <c r="E17" i="13" s="1"/>
  <c r="N16" i="13"/>
  <c r="K13" i="13"/>
  <c r="F17" i="13"/>
  <c r="G17" i="13" s="1"/>
  <c r="H17" i="13" s="1"/>
  <c r="O13" i="13"/>
  <c r="J15" i="13"/>
  <c r="O13" i="12"/>
  <c r="I13" i="12"/>
  <c r="N13" i="12"/>
  <c r="M13" i="12"/>
  <c r="L13" i="12"/>
  <c r="J17" i="13" l="1"/>
  <c r="K17" i="13"/>
  <c r="G15" i="13"/>
  <c r="H15" i="13" s="1"/>
  <c r="M16" i="13" s="1"/>
  <c r="E18" i="13" s="1"/>
  <c r="F18" i="13" s="1"/>
  <c r="G16" i="13"/>
  <c r="H16" i="13" s="1"/>
  <c r="E22" i="13" s="1"/>
  <c r="O16" i="13"/>
  <c r="I16" i="13"/>
  <c r="K16" i="13" s="1"/>
  <c r="E20" i="13"/>
  <c r="F20" i="13" s="1"/>
  <c r="K13" i="12"/>
  <c r="J13" i="12"/>
  <c r="F16" i="12" s="1"/>
  <c r="E17" i="12"/>
  <c r="F17" i="12" s="1"/>
  <c r="G17" i="12" s="1"/>
  <c r="H17" i="12" s="1"/>
  <c r="E15" i="12"/>
  <c r="F15" i="12" s="1"/>
  <c r="G15" i="12" s="1"/>
  <c r="J16" i="13" l="1"/>
  <c r="F19" i="13" s="1"/>
  <c r="N19" i="13"/>
  <c r="K18" i="13"/>
  <c r="J18" i="13"/>
  <c r="G18" i="13"/>
  <c r="H18" i="13" s="1"/>
  <c r="O19" i="13" s="1"/>
  <c r="J20" i="13"/>
  <c r="K20" i="13"/>
  <c r="G20" i="13"/>
  <c r="H20" i="13" s="1"/>
  <c r="J15" i="12"/>
  <c r="K15" i="12"/>
  <c r="H15" i="12"/>
  <c r="J17" i="12"/>
  <c r="K17" i="12"/>
  <c r="G16" i="12"/>
  <c r="H16" i="12" s="1"/>
  <c r="E22" i="12" s="1"/>
  <c r="L19" i="13" l="1"/>
  <c r="M19" i="13"/>
  <c r="E21" i="13" s="1"/>
  <c r="F21" i="13" s="1"/>
  <c r="I19" i="13"/>
  <c r="H19" i="13"/>
  <c r="E25" i="13" s="1"/>
  <c r="O16" i="12"/>
  <c r="I16" i="12"/>
  <c r="M16" i="12"/>
  <c r="N16" i="12"/>
  <c r="L16" i="12"/>
  <c r="E23" i="13" l="1"/>
  <c r="F23" i="13" s="1"/>
  <c r="K19" i="13"/>
  <c r="J19" i="13"/>
  <c r="F22" i="13" s="1"/>
  <c r="G21" i="13"/>
  <c r="H21" i="13" s="1"/>
  <c r="O22" i="13" s="1"/>
  <c r="K21" i="13"/>
  <c r="J21" i="13"/>
  <c r="E18" i="12"/>
  <c r="F18" i="12" s="1"/>
  <c r="G18" i="12" s="1"/>
  <c r="K16" i="12"/>
  <c r="J16" i="12"/>
  <c r="F19" i="12" s="1"/>
  <c r="E20" i="12"/>
  <c r="F20" i="12" l="1"/>
  <c r="G20" i="12" s="1"/>
  <c r="H20" i="12" s="1"/>
  <c r="M22" i="13"/>
  <c r="L22" i="13"/>
  <c r="N22" i="13"/>
  <c r="I22" i="13"/>
  <c r="K22" i="13" s="1"/>
  <c r="K23" i="13"/>
  <c r="J23" i="13"/>
  <c r="G23" i="13"/>
  <c r="H23" i="13" s="1"/>
  <c r="G22" i="13"/>
  <c r="H22" i="13" s="1"/>
  <c r="E28" i="13" s="1"/>
  <c r="J20" i="12"/>
  <c r="K20" i="12"/>
  <c r="K18" i="12"/>
  <c r="J18" i="12"/>
  <c r="H18" i="12"/>
  <c r="N19" i="12" s="1"/>
  <c r="G19" i="12"/>
  <c r="H19" i="12" s="1"/>
  <c r="E25" i="12" s="1"/>
  <c r="L19" i="12" l="1"/>
  <c r="E23" i="12" s="1"/>
  <c r="F23" i="12" s="1"/>
  <c r="G23" i="12" s="1"/>
  <c r="E24" i="13"/>
  <c r="F24" i="13" s="1"/>
  <c r="E26" i="13"/>
  <c r="F26" i="13" s="1"/>
  <c r="J22" i="13"/>
  <c r="F25" i="13" s="1"/>
  <c r="L25" i="13" s="1"/>
  <c r="M19" i="12"/>
  <c r="E21" i="12" s="1"/>
  <c r="F21" i="12" s="1"/>
  <c r="O19" i="12"/>
  <c r="I19" i="12"/>
  <c r="N25" i="13" l="1"/>
  <c r="G26" i="13"/>
  <c r="H26" i="13" s="1"/>
  <c r="K26" i="13"/>
  <c r="J26" i="13"/>
  <c r="G24" i="13"/>
  <c r="H24" i="13" s="1"/>
  <c r="M25" i="13" s="1"/>
  <c r="J24" i="13"/>
  <c r="K24" i="13"/>
  <c r="G21" i="12"/>
  <c r="H21" i="12"/>
  <c r="K21" i="12"/>
  <c r="J21" i="12"/>
  <c r="K23" i="12"/>
  <c r="J23" i="12"/>
  <c r="K19" i="12"/>
  <c r="J19" i="12"/>
  <c r="F22" i="12" s="1"/>
  <c r="H23" i="12" l="1"/>
  <c r="E27" i="13"/>
  <c r="F27" i="13" s="1"/>
  <c r="O25" i="13"/>
  <c r="I25" i="13"/>
  <c r="G25" i="13"/>
  <c r="H25" i="13" s="1"/>
  <c r="G31" i="13"/>
  <c r="M22" i="12"/>
  <c r="E24" i="12" s="1"/>
  <c r="F24" i="12" s="1"/>
  <c r="G22" i="12"/>
  <c r="H22" i="12" s="1"/>
  <c r="E28" i="12" s="1"/>
  <c r="L22" i="12"/>
  <c r="N22" i="12"/>
  <c r="O22" i="12"/>
  <c r="I22" i="12"/>
  <c r="K22" i="12" s="1"/>
  <c r="J27" i="13" l="1"/>
  <c r="G27" i="13"/>
  <c r="H27" i="13" s="1"/>
  <c r="K27" i="13"/>
  <c r="K31" i="13" s="1"/>
  <c r="K25" i="13"/>
  <c r="J25" i="13"/>
  <c r="F28" i="13" s="1"/>
  <c r="L28" i="13" s="1"/>
  <c r="G24" i="12"/>
  <c r="H24" i="12" s="1"/>
  <c r="J22" i="12"/>
  <c r="F25" i="12" s="1"/>
  <c r="G25" i="12" s="1"/>
  <c r="E26" i="12"/>
  <c r="F26" i="12" s="1"/>
  <c r="G26" i="12" s="1"/>
  <c r="K24" i="12"/>
  <c r="J24" i="12"/>
  <c r="M28" i="13" l="1"/>
  <c r="N28" i="13"/>
  <c r="F31" i="13"/>
  <c r="O28" i="13"/>
  <c r="F32" i="13"/>
  <c r="I28" i="13"/>
  <c r="K28" i="13" s="1"/>
  <c r="K33" i="13" s="1"/>
  <c r="G32" i="13"/>
  <c r="G33" i="13" s="1"/>
  <c r="G28" i="13"/>
  <c r="H28" i="13" s="1"/>
  <c r="O25" i="12"/>
  <c r="I25" i="12"/>
  <c r="L25" i="12"/>
  <c r="H25" i="12"/>
  <c r="H26" i="12"/>
  <c r="G31" i="12" s="1"/>
  <c r="K26" i="12"/>
  <c r="J26" i="12"/>
  <c r="N25" i="12"/>
  <c r="M25" i="12"/>
  <c r="J28" i="13" l="1"/>
  <c r="E27" i="12"/>
  <c r="F27" i="12" s="1"/>
  <c r="G27" i="12" s="1"/>
  <c r="K25" i="12"/>
  <c r="J25" i="12"/>
  <c r="F28" i="12" s="1"/>
  <c r="H27" i="12" l="1"/>
  <c r="G32" i="12" s="1"/>
  <c r="K27" i="12"/>
  <c r="J27" i="12"/>
  <c r="O28" i="12"/>
  <c r="G33" i="12"/>
  <c r="G28" i="12"/>
  <c r="H28" i="12" s="1"/>
  <c r="L28" i="12"/>
  <c r="F31" i="12" s="1"/>
  <c r="N28" i="12" l="1"/>
  <c r="M28" i="12"/>
  <c r="F32" i="12" s="1"/>
  <c r="I28" i="12"/>
  <c r="K28" i="12" s="1"/>
  <c r="K33" i="12" s="1"/>
  <c r="K31" i="12"/>
  <c r="J28" i="12" l="1"/>
  <c r="J8" i="9" l="1"/>
  <c r="K8" i="9"/>
  <c r="H9" i="9"/>
  <c r="M10" i="9" s="1"/>
  <c r="E12" i="9" s="1"/>
  <c r="J9" i="9"/>
  <c r="K9" i="9"/>
  <c r="I10" i="9"/>
  <c r="J10" i="9" s="1"/>
  <c r="F13" i="9" s="1"/>
  <c r="L10" i="9"/>
  <c r="E14" i="9" s="1"/>
  <c r="O10" i="9"/>
  <c r="E11" i="9"/>
  <c r="F11" i="9"/>
  <c r="K11" i="9"/>
  <c r="E13" i="9"/>
  <c r="I31" i="9"/>
  <c r="F12" i="9" l="1"/>
  <c r="G10" i="9"/>
  <c r="H10" i="9" s="1"/>
  <c r="E16" i="9" s="1"/>
  <c r="J11" i="9"/>
  <c r="G11" i="9"/>
  <c r="H11" i="9" s="1"/>
  <c r="N13" i="9" s="1"/>
  <c r="N10" i="9"/>
  <c r="F14" i="9"/>
  <c r="J14" i="9" s="1"/>
  <c r="K12" i="9"/>
  <c r="G12" i="9"/>
  <c r="H12" i="9" s="1"/>
  <c r="L13" i="9" s="1"/>
  <c r="E17" i="9" s="1"/>
  <c r="J12" i="9"/>
  <c r="K10" i="9"/>
  <c r="F17" i="9" l="1"/>
  <c r="K17" i="9" s="1"/>
  <c r="G14" i="9"/>
  <c r="H14" i="9" s="1"/>
  <c r="I13" i="9"/>
  <c r="K13" i="9" s="1"/>
  <c r="K14" i="9"/>
  <c r="G13" i="9"/>
  <c r="H13" i="9" s="1"/>
  <c r="E19" i="9" s="1"/>
  <c r="J13" i="9"/>
  <c r="F16" i="9" s="1"/>
  <c r="O13" i="9"/>
  <c r="M13" i="9"/>
  <c r="G17" i="9" l="1"/>
  <c r="H17" i="9" s="1"/>
  <c r="J17" i="9"/>
  <c r="E15" i="9"/>
  <c r="F15" i="9" s="1"/>
  <c r="B11" i="7"/>
  <c r="G15" i="9" l="1"/>
  <c r="H15" i="9" s="1"/>
  <c r="J15" i="9"/>
  <c r="K15" i="9"/>
  <c r="E19" i="5"/>
  <c r="O16" i="9" l="1"/>
  <c r="N16" i="9"/>
  <c r="I16" i="9"/>
  <c r="M16" i="9"/>
  <c r="L16" i="9"/>
  <c r="E20" i="9" l="1"/>
  <c r="F20" i="9" s="1"/>
  <c r="G20" i="9" s="1"/>
  <c r="E18" i="9"/>
  <c r="F18" i="9" s="1"/>
  <c r="K16" i="9"/>
  <c r="G16" i="9"/>
  <c r="H16" i="9" s="1"/>
  <c r="E22" i="9" s="1"/>
  <c r="J16" i="9"/>
  <c r="F19" i="9" s="1"/>
  <c r="D8" i="5"/>
  <c r="G18" i="9" l="1"/>
  <c r="H18" i="9" s="1"/>
  <c r="L19" i="9" s="1"/>
  <c r="J18" i="9"/>
  <c r="K18" i="9"/>
  <c r="H20" i="9"/>
  <c r="J20" i="9"/>
  <c r="K20" i="9"/>
  <c r="M19" i="9" l="1"/>
  <c r="E21" i="9" s="1"/>
  <c r="F21" i="9" s="1"/>
  <c r="G21" i="9" s="1"/>
  <c r="O19" i="9"/>
  <c r="I19" i="9"/>
  <c r="N19" i="9"/>
  <c r="J21" i="9" l="1"/>
  <c r="K21" i="9"/>
  <c r="H21" i="9"/>
  <c r="E23" i="9"/>
  <c r="F23" i="9" s="1"/>
  <c r="G23" i="9" s="1"/>
  <c r="K19" i="9"/>
  <c r="J19" i="9"/>
  <c r="F22" i="9" s="1"/>
  <c r="H19" i="9"/>
  <c r="E25" i="9" s="1"/>
  <c r="D18" i="5"/>
  <c r="F18" i="5" s="1"/>
  <c r="D17" i="5"/>
  <c r="D9" i="5"/>
  <c r="J23" i="9" l="1"/>
  <c r="K23" i="9"/>
  <c r="H23" i="9"/>
  <c r="M22" i="9"/>
  <c r="L22" i="9"/>
  <c r="N22" i="9"/>
  <c r="O22" i="9"/>
  <c r="I22" i="9"/>
  <c r="K22" i="9" s="1"/>
  <c r="E17" i="5"/>
  <c r="D12" i="5"/>
  <c r="G22" i="9" l="1"/>
  <c r="H22" i="9" s="1"/>
  <c r="E28" i="9" s="1"/>
  <c r="J22" i="9"/>
  <c r="F25" i="9" s="1"/>
  <c r="E26" i="9"/>
  <c r="E24" i="9"/>
  <c r="F24" i="9" s="1"/>
  <c r="K24" i="9" s="1"/>
  <c r="F26" i="9"/>
  <c r="E13" i="5"/>
  <c r="G24" i="9" l="1"/>
  <c r="H24" i="9" s="1"/>
  <c r="L25" i="9" s="1"/>
  <c r="J24" i="9"/>
  <c r="J26" i="9"/>
  <c r="K26" i="9"/>
  <c r="G26" i="9"/>
  <c r="H26" i="9" s="1"/>
  <c r="M25" i="9"/>
  <c r="E14" i="5"/>
  <c r="D13" i="5"/>
  <c r="E8" i="5"/>
  <c r="G31" i="9" l="1"/>
  <c r="O25" i="9"/>
  <c r="I25" i="9"/>
  <c r="N25" i="9"/>
  <c r="E27" i="9"/>
  <c r="F27" i="9" s="1"/>
  <c r="K25" i="9" l="1"/>
  <c r="G25" i="9"/>
  <c r="H25" i="9" s="1"/>
  <c r="J25" i="9"/>
  <c r="F28" i="9" s="1"/>
  <c r="G27" i="9"/>
  <c r="H27" i="9" s="1"/>
  <c r="K27" i="9"/>
  <c r="K31" i="9" s="1"/>
  <c r="J27" i="9"/>
  <c r="C11" i="7"/>
  <c r="D11" i="7"/>
  <c r="E11" i="7"/>
  <c r="F11" i="7"/>
  <c r="G11" i="7"/>
  <c r="H11" i="7"/>
  <c r="I11" i="7"/>
  <c r="E13" i="7" l="1"/>
  <c r="C42" i="7" s="1"/>
  <c r="B13" i="7"/>
  <c r="C41" i="7" s="1"/>
  <c r="O28" i="9"/>
  <c r="I28" i="9"/>
  <c r="K28" i="9" s="1"/>
  <c r="G32" i="9"/>
  <c r="M28" i="9"/>
  <c r="F32" i="9" s="1"/>
  <c r="L28" i="9"/>
  <c r="F31" i="9" s="1"/>
  <c r="N28" i="9"/>
  <c r="D20" i="7"/>
  <c r="D21" i="7" s="1"/>
  <c r="D26" i="7" s="1"/>
  <c r="C21" i="7"/>
  <c r="C26" i="7" s="1"/>
  <c r="C50" i="7" l="1"/>
  <c r="G28" i="9"/>
  <c r="H28" i="9" s="1"/>
  <c r="J28" i="9"/>
  <c r="C22" i="7"/>
  <c r="D27" i="7"/>
  <c r="D28" i="7" s="1"/>
  <c r="D22" i="7"/>
  <c r="C53" i="7"/>
  <c r="C54" i="7" s="1"/>
  <c r="C27" i="7"/>
  <c r="C28" i="7" s="1"/>
  <c r="E9" i="5"/>
  <c r="I14" i="1"/>
  <c r="H14" i="1"/>
  <c r="G14" i="1"/>
  <c r="I6" i="1"/>
  <c r="I10" i="1" s="1"/>
  <c r="H6" i="1"/>
  <c r="H10" i="1" s="1"/>
  <c r="G6" i="1"/>
  <c r="G10" i="1" s="1"/>
  <c r="D6" i="1"/>
  <c r="D10" i="1" s="1"/>
  <c r="G4" i="1"/>
  <c r="F6" i="1" s="1"/>
  <c r="F10" i="1" s="1"/>
  <c r="C4" i="1"/>
  <c r="B6" i="1" s="1"/>
  <c r="H3" i="1"/>
  <c r="I3" i="1" s="1"/>
  <c r="F3" i="1"/>
  <c r="F4" i="1" s="1"/>
  <c r="E6" i="1" s="1"/>
  <c r="E10" i="1" s="1"/>
  <c r="D3" i="1"/>
  <c r="D4" i="1" l="1"/>
  <c r="C6" i="1" s="1"/>
  <c r="C10" i="1" s="1"/>
  <c r="C29" i="7"/>
  <c r="C30" i="7" s="1"/>
  <c r="D29" i="7"/>
  <c r="C55" i="7"/>
  <c r="C12" i="1" l="1"/>
  <c r="D30" i="7"/>
  <c r="D32" i="7" l="1"/>
  <c r="B62" i="7" s="1"/>
  <c r="D11" i="1"/>
  <c r="D12" i="1"/>
  <c r="E11" i="1" l="1"/>
  <c r="E12" i="1" s="1"/>
  <c r="B14" i="1" l="1"/>
  <c r="F11" i="1"/>
  <c r="F12" i="1" l="1"/>
  <c r="G11" i="1" s="1"/>
  <c r="G12" i="1" l="1"/>
  <c r="H11" i="1" s="1"/>
  <c r="C14" i="1"/>
  <c r="E12" i="5"/>
  <c r="H12" i="1" l="1"/>
  <c r="I11" i="1" s="1"/>
  <c r="D14" i="1"/>
  <c r="F13" i="5"/>
  <c r="F9" i="5"/>
  <c r="I12" i="1" l="1"/>
  <c r="E14" i="1"/>
  <c r="F14" i="1" l="1"/>
</calcChain>
</file>

<file path=xl/sharedStrings.xml><?xml version="1.0" encoding="utf-8"?>
<sst xmlns="http://schemas.openxmlformats.org/spreadsheetml/2006/main" count="250" uniqueCount="89">
  <si>
    <t>Projected gross requirements</t>
  </si>
  <si>
    <t>Planned order receipts</t>
  </si>
  <si>
    <t>Wholesaler</t>
  </si>
  <si>
    <t>Projected gross requirements (old)</t>
  </si>
  <si>
    <t>R</t>
  </si>
  <si>
    <t>W</t>
  </si>
  <si>
    <t>Inv</t>
  </si>
  <si>
    <t>D</t>
  </si>
  <si>
    <t>Shop A</t>
  </si>
  <si>
    <t>Shop B</t>
  </si>
  <si>
    <t>Lead time</t>
  </si>
  <si>
    <t>q=S-IP</t>
  </si>
  <si>
    <t>S</t>
  </si>
  <si>
    <t>IP=Starting inventory + outstanding orders</t>
  </si>
  <si>
    <t>Ship W--&gt;A</t>
  </si>
  <si>
    <t>Ship W--&gt;B</t>
  </si>
  <si>
    <t>alpha-SL</t>
  </si>
  <si>
    <t>number of SO</t>
  </si>
  <si>
    <t>Total number of periods</t>
  </si>
  <si>
    <t>gamma-SL</t>
  </si>
  <si>
    <t>(adj.) fill rate</t>
  </si>
  <si>
    <t>backlogs w/o initial period</t>
  </si>
  <si>
    <t>Total demand</t>
  </si>
  <si>
    <t>units/year</t>
  </si>
  <si>
    <t>A</t>
  </si>
  <si>
    <t>Euro/order</t>
  </si>
  <si>
    <t>h</t>
  </si>
  <si>
    <t>Euro/unit and year</t>
  </si>
  <si>
    <t>Retailer</t>
  </si>
  <si>
    <t>Warehouse</t>
  </si>
  <si>
    <t>a)</t>
  </si>
  <si>
    <t>Q</t>
  </si>
  <si>
    <t>C(Q)</t>
  </si>
  <si>
    <t>sequential</t>
  </si>
  <si>
    <t>n</t>
  </si>
  <si>
    <t>simultaneous</t>
  </si>
  <si>
    <t>Total</t>
  </si>
  <si>
    <t>Demand</t>
  </si>
  <si>
    <t>Week</t>
  </si>
  <si>
    <t>Silver</t>
  </si>
  <si>
    <t>Black</t>
  </si>
  <si>
    <t>p</t>
  </si>
  <si>
    <t>b1) optimal order quantity</t>
  </si>
  <si>
    <t>CR</t>
  </si>
  <si>
    <t>Q*</t>
  </si>
  <si>
    <t>b2) expected profit</t>
  </si>
  <si>
    <t>ELS</t>
  </si>
  <si>
    <t>ES</t>
  </si>
  <si>
    <t>ELO</t>
  </si>
  <si>
    <t>EP</t>
  </si>
  <si>
    <t>EP_total</t>
  </si>
  <si>
    <t>Postponement</t>
  </si>
  <si>
    <t>c1-common</t>
  </si>
  <si>
    <t>c2-specific</t>
  </si>
  <si>
    <t>C_u</t>
  </si>
  <si>
    <t>C_o</t>
  </si>
  <si>
    <t>delta EP</t>
  </si>
  <si>
    <t>Portfolio effect</t>
  </si>
  <si>
    <t>B</t>
  </si>
  <si>
    <t>Starting inventory</t>
  </si>
  <si>
    <t>Order release</t>
  </si>
  <si>
    <t>Projected gross requirements (new)</t>
  </si>
  <si>
    <t>Net requirements</t>
  </si>
  <si>
    <t>Critical ratio</t>
  </si>
  <si>
    <t>Aggregate</t>
  </si>
  <si>
    <t>c) Using postponement, how many common components should A2 procure?</t>
  </si>
  <si>
    <t>g</t>
  </si>
  <si>
    <t>Normally</t>
  </si>
  <si>
    <t>In this case we should write Expected Profit as;</t>
  </si>
  <si>
    <t>Satisfied 
Demand</t>
  </si>
  <si>
    <t>c)</t>
  </si>
  <si>
    <t>independent</t>
  </si>
  <si>
    <t>b)</t>
  </si>
  <si>
    <t>Warehouse 
BacklogB</t>
  </si>
  <si>
    <t>Warehouse 
BacklogA</t>
  </si>
  <si>
    <t>Received 
Units</t>
  </si>
  <si>
    <t>Outsanding
Orders</t>
  </si>
  <si>
    <t>Entity</t>
  </si>
  <si>
    <t>Period</t>
  </si>
  <si>
    <t>Order</t>
  </si>
  <si>
    <t>SHIP</t>
  </si>
  <si>
    <t>d)</t>
  </si>
  <si>
    <t>Slide 198: Negative or no correlation gives good results for portfolio effect</t>
  </si>
  <si>
    <t>z</t>
  </si>
  <si>
    <t>G(z)</t>
  </si>
  <si>
    <t>less common products than needed--&gt; profit of 88-55 lost</t>
  </si>
  <si>
    <t>more common products than needed, 50-29 lost because common components cost 50 and are salvaged for 29</t>
  </si>
  <si>
    <t>Installation Stock Policy</t>
  </si>
  <si>
    <t>Echelon Stock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</si>
</sst>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5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13" xfId="1" applyFont="1" applyBorder="1"/>
    <xf numFmtId="0" fontId="5" fillId="0" borderId="13" xfId="1" applyBorder="1"/>
    <xf numFmtId="0" fontId="5" fillId="2" borderId="13" xfId="1" applyFill="1" applyBorder="1"/>
    <xf numFmtId="0" fontId="0" fillId="0" borderId="13" xfId="1" applyFont="1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3" fontId="0" fillId="2" borderId="0" xfId="0" applyNumberFormat="1" applyFill="1"/>
    <xf numFmtId="0" fontId="0" fillId="2" borderId="0" xfId="0" applyFill="1"/>
    <xf numFmtId="0" fontId="2" fillId="2" borderId="0" xfId="0" applyFont="1" applyFill="1"/>
    <xf numFmtId="4" fontId="2" fillId="2" borderId="0" xfId="0" applyNumberFormat="1" applyFont="1" applyFill="1"/>
    <xf numFmtId="0" fontId="0" fillId="4" borderId="0" xfId="0" applyFill="1"/>
    <xf numFmtId="0" fontId="0" fillId="5" borderId="0" xfId="0" applyFill="1"/>
    <xf numFmtId="0" fontId="0" fillId="0" borderId="13" xfId="0" applyBorder="1"/>
    <xf numFmtId="164" fontId="0" fillId="0" borderId="0" xfId="0" applyNumberFormat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0" xfId="0" applyFont="1"/>
    <xf numFmtId="2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2" borderId="20" xfId="0" applyFill="1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wrapText="1"/>
    </xf>
    <xf numFmtId="0" fontId="0" fillId="0" borderId="23" xfId="0" applyFill="1" applyBorder="1"/>
    <xf numFmtId="0" fontId="0" fillId="0" borderId="23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1" fillId="0" borderId="20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477391</xdr:colOff>
      <xdr:row>7</xdr:row>
      <xdr:rowOff>144780</xdr:rowOff>
    </xdr:from>
    <xdr:to>
      <xdr:col>14</xdr:col>
      <xdr:colOff>132521</xdr:colOff>
      <xdr:row>19</xdr:row>
      <xdr:rowOff>136186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4869" y="1478280"/>
          <a:ext cx="4558435" cy="2277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404605</xdr:colOff>
      <xdr:row>20</xdr:row>
      <xdr:rowOff>175591</xdr:rowOff>
    </xdr:from>
    <xdr:to>
      <xdr:col>10</xdr:col>
      <xdr:colOff>130952</xdr:colOff>
      <xdr:row>34</xdr:row>
      <xdr:rowOff>57978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05" y="3985591"/>
          <a:ext cx="5855477" cy="2549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91439</xdr:colOff>
      <xdr:row>1</xdr:row>
      <xdr:rowOff>114300</xdr:rowOff>
    </xdr:from>
    <xdr:to>
      <xdr:col>11</xdr:col>
      <xdr:colOff>345862</xdr:colOff>
      <xdr:row>7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239" y="297180"/>
          <a:ext cx="2083223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121920</xdr:colOff>
      <xdr:row>37</xdr:row>
      <xdr:rowOff>7620</xdr:rowOff>
    </xdr:from>
    <xdr:to>
      <xdr:col>6</xdr:col>
      <xdr:colOff>85091</xdr:colOff>
      <xdr:row>40</xdr:row>
      <xdr:rowOff>179070</xdr:rowOff>
    </xdr:to>
    <xdr:pic>
      <xdr:nvPicPr>
        <xdr:cNvPr id="2" name="Grafik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6065520"/>
          <a:ext cx="1508760" cy="720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83820</xdr:colOff>
      <xdr:row>40</xdr:row>
      <xdr:rowOff>158115</xdr:rowOff>
    </xdr:from>
    <xdr:to>
      <xdr:col>8</xdr:col>
      <xdr:colOff>312421</xdr:colOff>
      <xdr:row>44</xdr:row>
      <xdr:rowOff>161290</xdr:rowOff>
    </xdr:to>
    <xdr:pic>
      <xdr:nvPicPr>
        <xdr:cNvPr id="3" name="Grafik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" y="6764655"/>
          <a:ext cx="2987040" cy="741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434340</xdr:colOff>
      <xdr:row>39</xdr:row>
      <xdr:rowOff>1905</xdr:rowOff>
    </xdr:from>
    <xdr:to>
      <xdr:col>4</xdr:col>
      <xdr:colOff>121920</xdr:colOff>
      <xdr:row>39</xdr:row>
      <xdr:rowOff>167641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>
          <a:endCxn id="2" idx="1"/>
        </xdr:cNvCxnSpPr>
      </xdr:nvCxnSpPr>
      <xdr:spPr>
        <a:xfrm flipV="1">
          <a:off x="2263140" y="6425565"/>
          <a:ext cx="297180" cy="1657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42</xdr:row>
      <xdr:rowOff>30480</xdr:rowOff>
    </xdr:from>
    <xdr:to>
      <xdr:col>4</xdr:col>
      <xdr:colOff>68580</xdr:colOff>
      <xdr:row>42</xdr:row>
      <xdr:rowOff>178118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>
          <a:off x="2247900" y="7002780"/>
          <a:ext cx="259080" cy="1476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52</xdr:row>
          <xdr:rowOff>38100</xdr:rowOff>
        </xdr:from>
        <xdr:to>
          <xdr:col>8</xdr:col>
          <xdr:colOff>266700</xdr:colOff>
          <xdr:row>53</xdr:row>
          <xdr:rowOff>133350</xdr:rowOff>
        </xdr:to>
        <xdr:sp macro="" textlink="">
          <xdr:nvSpPr>
            <xdr:cNvPr id="3073" name="Objekt 1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53</xdr:row>
          <xdr:rowOff>161925</xdr:rowOff>
        </xdr:from>
        <xdr:to>
          <xdr:col>6</xdr:col>
          <xdr:colOff>390525</xdr:colOff>
          <xdr:row>55</xdr:row>
          <xdr:rowOff>85725</xdr:rowOff>
        </xdr:to>
        <xdr:sp macro="" textlink="">
          <xdr:nvSpPr>
            <xdr:cNvPr id="3074" name="Objekt 10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0</xdr:colOff>
      <xdr:row>5</xdr:row>
      <xdr:rowOff>1806</xdr:rowOff>
    </xdr:from>
    <xdr:ext cx="4162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0" y="976287"/>
              <a:ext cx="4162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𝑆𝑖𝑙𝑣𝑒𝑟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74919A4-2BEF-4A37-A423-8AC342E544C4}"/>
                </a:ext>
              </a:extLst>
            </xdr:cNvPr>
            <xdr:cNvSpPr txBox="1"/>
          </xdr:nvSpPr>
          <xdr:spPr>
            <a:xfrm>
              <a:off x="0" y="976287"/>
              <a:ext cx="4162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𝜇_𝑆𝑖𝑙𝑣𝑒𝑟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19707</xdr:colOff>
      <xdr:row>5</xdr:row>
      <xdr:rowOff>181467</xdr:rowOff>
    </xdr:from>
    <xdr:ext cx="4028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9707" y="1155948"/>
              <a:ext cx="4028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𝐵𝑙𝑎𝑐𝑘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16AACB-1492-48A7-92BF-5C1F4C0564B7}"/>
                </a:ext>
              </a:extLst>
            </xdr:cNvPr>
            <xdr:cNvSpPr txBox="1"/>
          </xdr:nvSpPr>
          <xdr:spPr>
            <a:xfrm>
              <a:off x="19707" y="1155948"/>
              <a:ext cx="4028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𝜇_𝐵𝑙𝑎𝑐𝑘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62505</xdr:colOff>
      <xdr:row>5</xdr:row>
      <xdr:rowOff>0</xdr:rowOff>
    </xdr:from>
    <xdr:ext cx="4078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982159" y="974481"/>
              <a:ext cx="407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𝑆𝑖𝑙𝑣𝑒𝑟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CDE4A5E-EB39-448B-A7D2-C8B7AA467A12}"/>
                </a:ext>
              </a:extLst>
            </xdr:cNvPr>
            <xdr:cNvSpPr txBox="1"/>
          </xdr:nvSpPr>
          <xdr:spPr>
            <a:xfrm>
              <a:off x="1982159" y="974481"/>
              <a:ext cx="407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𝜎_𝑆𝑖𝑙𝑣𝑒𝑟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84486</xdr:colOff>
      <xdr:row>5</xdr:row>
      <xdr:rowOff>168519</xdr:rowOff>
    </xdr:from>
    <xdr:ext cx="3983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2004140" y="1143000"/>
              <a:ext cx="398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𝐵𝑙𝑎𝑐𝑘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9A976C-35E2-4772-8CDD-E340763AC0FF}"/>
                </a:ext>
              </a:extLst>
            </xdr:cNvPr>
            <xdr:cNvSpPr txBox="1"/>
          </xdr:nvSpPr>
          <xdr:spPr>
            <a:xfrm>
              <a:off x="2004140" y="1143000"/>
              <a:ext cx="398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𝜎_𝐵𝑙𝑎𝑐𝑘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85498</xdr:colOff>
      <xdr:row>5</xdr:row>
      <xdr:rowOff>21981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4129960" y="996462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6940BF1-A512-4907-ABEB-08BB775187D6}"/>
                </a:ext>
              </a:extLst>
            </xdr:cNvPr>
            <xdr:cNvSpPr txBox="1"/>
          </xdr:nvSpPr>
          <xdr:spPr>
            <a:xfrm>
              <a:off x="4129960" y="996462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𝜌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73269</xdr:colOff>
      <xdr:row>11</xdr:row>
      <xdr:rowOff>183173</xdr:rowOff>
    </xdr:from>
    <xdr:ext cx="3933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73269" y="2322635"/>
              <a:ext cx="3933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73699E0-8950-4706-9649-FE786C439C77}"/>
                </a:ext>
              </a:extLst>
            </xdr:cNvPr>
            <xdr:cNvSpPr txBox="1"/>
          </xdr:nvSpPr>
          <xdr:spPr>
            <a:xfrm>
              <a:off x="73269" y="2322635"/>
              <a:ext cx="3933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𝜇_𝑇𝑜𝑡𝑎𝑙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12</xdr:row>
      <xdr:rowOff>0</xdr:rowOff>
    </xdr:from>
    <xdr:ext cx="3889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1919654" y="2329962"/>
              <a:ext cx="388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89A66A9-A92D-41ED-B4FE-B167D078240B}"/>
                </a:ext>
              </a:extLst>
            </xdr:cNvPr>
            <xdr:cNvSpPr txBox="1"/>
          </xdr:nvSpPr>
          <xdr:spPr>
            <a:xfrm>
              <a:off x="1919654" y="2329962"/>
              <a:ext cx="388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𝜎_𝑇𝑜𝑡𝑎𝑙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153865</xdr:colOff>
      <xdr:row>40</xdr:row>
      <xdr:rowOff>14653</xdr:rowOff>
    </xdr:from>
    <xdr:ext cx="3933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857250" y="8059615"/>
              <a:ext cx="3933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378ECAD-61B6-4F66-8336-FBCFA3872ACD}"/>
                </a:ext>
              </a:extLst>
            </xdr:cNvPr>
            <xdr:cNvSpPr txBox="1"/>
          </xdr:nvSpPr>
          <xdr:spPr>
            <a:xfrm>
              <a:off x="857250" y="8059615"/>
              <a:ext cx="3933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𝜇_𝑇𝑜𝑡𝑎𝑙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117231</xdr:colOff>
      <xdr:row>41</xdr:row>
      <xdr:rowOff>0</xdr:rowOff>
    </xdr:from>
    <xdr:ext cx="3889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820616" y="8235462"/>
              <a:ext cx="388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72FAB5C-A42F-4ABE-8EE0-CA34AF7FE8CF}"/>
                </a:ext>
              </a:extLst>
            </xdr:cNvPr>
            <xdr:cNvSpPr txBox="1"/>
          </xdr:nvSpPr>
          <xdr:spPr>
            <a:xfrm>
              <a:off x="820616" y="8235462"/>
              <a:ext cx="388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𝜎_𝑇𝑜𝑡𝑎𝑙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3</xdr:col>
      <xdr:colOff>27843</xdr:colOff>
      <xdr:row>45</xdr:row>
      <xdr:rowOff>93491</xdr:rowOff>
    </xdr:from>
    <xdr:to>
      <xdr:col>3</xdr:col>
      <xdr:colOff>578827</xdr:colOff>
      <xdr:row>45</xdr:row>
      <xdr:rowOff>102576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>
          <a:off x="1947497" y="9090953"/>
          <a:ext cx="550984" cy="90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26377</xdr:colOff>
      <xdr:row>46</xdr:row>
      <xdr:rowOff>106679</xdr:rowOff>
    </xdr:from>
    <xdr:to>
      <xdr:col>3</xdr:col>
      <xdr:colOff>577361</xdr:colOff>
      <xdr:row>46</xdr:row>
      <xdr:rowOff>115764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>
          <a:off x="1946031" y="9294641"/>
          <a:ext cx="550984" cy="90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24912</xdr:colOff>
      <xdr:row>61</xdr:row>
      <xdr:rowOff>97886</xdr:rowOff>
    </xdr:from>
    <xdr:to>
      <xdr:col>2</xdr:col>
      <xdr:colOff>575896</xdr:colOff>
      <xdr:row>61</xdr:row>
      <xdr:rowOff>106971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>
          <a:off x="1336431" y="12143348"/>
          <a:ext cx="550984" cy="90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6350</xdr:colOff>
      <xdr:row>57</xdr:row>
      <xdr:rowOff>19050</xdr:rowOff>
    </xdr:from>
    <xdr:to>
      <xdr:col>8</xdr:col>
      <xdr:colOff>288699</xdr:colOff>
      <xdr:row>58</xdr:row>
      <xdr:rowOff>100437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 txBox="1"/>
          </xdr:nvSpPr>
          <xdr:spPr>
            <a:xfrm>
              <a:off x="2856523" y="10503877"/>
              <a:ext cx="3051926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𝐸𝑃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𝐸𝑆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)+</m:t>
                    </m:r>
                    <m:d>
                      <m:d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𝐸𝐿𝑂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4" name="Object 3">
              <a:extLst>
                <a:ext uri="{63B3BB69-23CF-44E3-9099-C40C66FF867C}">
                  <a14:compatExt xmlns:a14="http://schemas.microsoft.com/office/drawing/2010/main"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 txBox="1"/>
          </xdr:nvSpPr>
          <xdr:spPr>
            <a:xfrm>
              <a:off x="2856523" y="10503877"/>
              <a:ext cx="3051926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𝐸𝑃(𝑦)=(𝑝−𝑐_2</a:t>
              </a:r>
              <a:r>
                <a:rPr lang="en-US" sz="1100" i="0">
                  <a:effectLst/>
                  <a:latin typeface="+mn-lt"/>
                  <a:ea typeface="+mn-ea"/>
                  <a:cs typeface="+mn-cs"/>
                </a:rPr>
                <a:t>−𝑐_1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𝐸𝑆(𝑦)+(𝑔−𝑐_1 )𝐸𝐿𝑂(𝑦)</a:t>
              </a:r>
              <a:endParaRPr 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30" zoomScaleNormal="130" workbookViewId="0">
      <selection activeCell="C14" sqref="C14"/>
    </sheetView>
  </sheetViews>
  <sheetFormatPr defaultRowHeight="15" x14ac:dyDescent="0.25"/>
  <cols>
    <col min="1" max="1" width="44.140625" bestFit="1" customWidth="1"/>
  </cols>
  <sheetData>
    <row r="1" spans="1:9" x14ac:dyDescent="0.25">
      <c r="A1" s="9" t="s">
        <v>28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</row>
    <row r="2" spans="1:9" x14ac:dyDescent="0.25">
      <c r="A2" s="10" t="s">
        <v>0</v>
      </c>
      <c r="B2" s="10"/>
      <c r="C2" s="10">
        <v>150</v>
      </c>
      <c r="D2" s="10">
        <v>120</v>
      </c>
      <c r="E2" s="10">
        <v>130</v>
      </c>
      <c r="F2" s="10">
        <v>180</v>
      </c>
      <c r="G2" s="10">
        <v>160</v>
      </c>
      <c r="H2" s="10">
        <v>90</v>
      </c>
      <c r="I2" s="10">
        <v>100</v>
      </c>
    </row>
    <row r="3" spans="1:9" x14ac:dyDescent="0.25">
      <c r="A3" s="10" t="s">
        <v>59</v>
      </c>
      <c r="B3" s="10"/>
      <c r="C3" s="10">
        <v>230</v>
      </c>
      <c r="D3" s="10">
        <f>C3-C2</f>
        <v>80</v>
      </c>
      <c r="E3" s="10">
        <v>230</v>
      </c>
      <c r="F3" s="10">
        <f>E3-E2</f>
        <v>100</v>
      </c>
      <c r="G3" s="10">
        <v>30</v>
      </c>
      <c r="H3" s="10">
        <f>30+H5</f>
        <v>210</v>
      </c>
      <c r="I3" s="10">
        <f>H3-H2</f>
        <v>120</v>
      </c>
    </row>
    <row r="4" spans="1:9" x14ac:dyDescent="0.25">
      <c r="A4" s="12" t="s">
        <v>62</v>
      </c>
      <c r="B4" s="10"/>
      <c r="C4" s="10">
        <f>0</f>
        <v>0</v>
      </c>
      <c r="D4" s="10">
        <f>D2-D3+30</f>
        <v>70</v>
      </c>
      <c r="E4" s="10">
        <v>0</v>
      </c>
      <c r="F4" s="10">
        <f>F2-F3+30</f>
        <v>110</v>
      </c>
      <c r="G4" s="10">
        <f>G2</f>
        <v>160</v>
      </c>
      <c r="H4" s="10">
        <v>0</v>
      </c>
      <c r="I4" s="10">
        <v>10</v>
      </c>
    </row>
    <row r="5" spans="1:9" x14ac:dyDescent="0.25">
      <c r="A5" s="10" t="s">
        <v>1</v>
      </c>
      <c r="B5" s="10"/>
      <c r="C5" s="10"/>
      <c r="D5" s="10"/>
      <c r="E5" s="10">
        <v>200</v>
      </c>
      <c r="F5" s="10"/>
      <c r="G5" s="10"/>
      <c r="H5" s="10">
        <v>180</v>
      </c>
      <c r="I5" s="10"/>
    </row>
    <row r="6" spans="1:9" x14ac:dyDescent="0.25">
      <c r="A6" s="11" t="s">
        <v>60</v>
      </c>
      <c r="B6" s="11">
        <f>C4</f>
        <v>0</v>
      </c>
      <c r="C6" s="11">
        <f>D4</f>
        <v>70</v>
      </c>
      <c r="D6" s="11">
        <f t="shared" ref="D6:I6" si="0">E4</f>
        <v>0</v>
      </c>
      <c r="E6" s="11">
        <f t="shared" si="0"/>
        <v>110</v>
      </c>
      <c r="F6" s="11">
        <f t="shared" si="0"/>
        <v>160</v>
      </c>
      <c r="G6" s="11">
        <f t="shared" si="0"/>
        <v>0</v>
      </c>
      <c r="H6" s="11">
        <f t="shared" si="0"/>
        <v>10</v>
      </c>
      <c r="I6" s="11">
        <f t="shared" si="0"/>
        <v>0</v>
      </c>
    </row>
    <row r="8" spans="1:9" x14ac:dyDescent="0.25">
      <c r="A8" s="9" t="s">
        <v>2</v>
      </c>
      <c r="B8" s="9">
        <v>0</v>
      </c>
      <c r="C8" s="9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</row>
    <row r="9" spans="1:9" x14ac:dyDescent="0.25">
      <c r="A9" s="10" t="s">
        <v>3</v>
      </c>
      <c r="B9" s="10"/>
      <c r="C9" s="10">
        <v>200</v>
      </c>
      <c r="D9" s="10">
        <v>110</v>
      </c>
      <c r="E9" s="10">
        <v>120</v>
      </c>
      <c r="F9" s="10">
        <v>160</v>
      </c>
      <c r="G9" s="10">
        <v>180</v>
      </c>
      <c r="H9" s="10">
        <v>80</v>
      </c>
      <c r="I9" s="10">
        <v>140</v>
      </c>
    </row>
    <row r="10" spans="1:9" x14ac:dyDescent="0.25">
      <c r="A10" s="10" t="s">
        <v>61</v>
      </c>
      <c r="B10" s="10"/>
      <c r="C10" s="10">
        <f>C9+C6</f>
        <v>270</v>
      </c>
      <c r="D10" s="10">
        <f t="shared" ref="D10:I10" si="1">D9+D6</f>
        <v>110</v>
      </c>
      <c r="E10" s="10">
        <f>E9+E6</f>
        <v>230</v>
      </c>
      <c r="F10" s="10">
        <f t="shared" si="1"/>
        <v>320</v>
      </c>
      <c r="G10" s="10">
        <f t="shared" si="1"/>
        <v>180</v>
      </c>
      <c r="H10" s="10">
        <f t="shared" si="1"/>
        <v>90</v>
      </c>
      <c r="I10" s="10">
        <f t="shared" si="1"/>
        <v>140</v>
      </c>
    </row>
    <row r="11" spans="1:9" x14ac:dyDescent="0.25">
      <c r="A11" s="10" t="s">
        <v>59</v>
      </c>
      <c r="B11" s="10"/>
      <c r="C11" s="10">
        <v>280</v>
      </c>
      <c r="D11" s="10">
        <f t="shared" ref="D11" si="2">C11-C10+D13+C12</f>
        <v>210</v>
      </c>
      <c r="E11" s="10">
        <f>D11-D10+E13+D12</f>
        <v>100</v>
      </c>
      <c r="F11" s="10">
        <f>E11-E10+F13+E12</f>
        <v>100</v>
      </c>
      <c r="G11" s="10">
        <f t="shared" ref="G11:I11" si="3">F11-F10+G13+F12</f>
        <v>0</v>
      </c>
      <c r="H11" s="10">
        <f t="shared" si="3"/>
        <v>0</v>
      </c>
      <c r="I11" s="10">
        <f t="shared" si="3"/>
        <v>0</v>
      </c>
    </row>
    <row r="12" spans="1:9" x14ac:dyDescent="0.25">
      <c r="A12" s="12" t="s">
        <v>62</v>
      </c>
      <c r="B12" s="10"/>
      <c r="C12" s="10">
        <f>IF(C10&gt;C11,C10-C11,0)</f>
        <v>0</v>
      </c>
      <c r="D12" s="10">
        <f t="shared" ref="D12:I12" si="4">IF(D10&gt;D11,D10-D11,0)</f>
        <v>0</v>
      </c>
      <c r="E12" s="10">
        <f>IF(E10&gt;E11,E10-E11,0)</f>
        <v>130</v>
      </c>
      <c r="F12" s="10">
        <f t="shared" si="4"/>
        <v>220</v>
      </c>
      <c r="G12" s="10">
        <f t="shared" si="4"/>
        <v>180</v>
      </c>
      <c r="H12" s="10">
        <f t="shared" si="4"/>
        <v>90</v>
      </c>
      <c r="I12" s="10">
        <f t="shared" si="4"/>
        <v>140</v>
      </c>
    </row>
    <row r="13" spans="1:9" x14ac:dyDescent="0.25">
      <c r="A13" s="10" t="s">
        <v>1</v>
      </c>
      <c r="B13" s="10"/>
      <c r="C13" s="10"/>
      <c r="D13" s="10">
        <v>200</v>
      </c>
      <c r="E13" s="10">
        <v>0</v>
      </c>
      <c r="F13" s="10">
        <v>100</v>
      </c>
      <c r="G13" s="10">
        <v>0</v>
      </c>
      <c r="H13" s="10">
        <v>0</v>
      </c>
      <c r="I13" s="10">
        <v>0</v>
      </c>
    </row>
    <row r="14" spans="1:9" x14ac:dyDescent="0.25">
      <c r="A14" s="11" t="s">
        <v>60</v>
      </c>
      <c r="B14" s="11">
        <f>E12</f>
        <v>130</v>
      </c>
      <c r="C14" s="11">
        <f t="shared" ref="C14:F14" si="5">F12</f>
        <v>220</v>
      </c>
      <c r="D14" s="11">
        <f t="shared" si="5"/>
        <v>180</v>
      </c>
      <c r="E14" s="11">
        <f t="shared" si="5"/>
        <v>90</v>
      </c>
      <c r="F14" s="11">
        <f t="shared" si="5"/>
        <v>140</v>
      </c>
      <c r="G14" s="11">
        <f>J12</f>
        <v>0</v>
      </c>
      <c r="H14" s="11">
        <f>K12</f>
        <v>0</v>
      </c>
      <c r="I14" s="11">
        <f>L12</f>
        <v>0</v>
      </c>
    </row>
    <row r="19" s="2" customFormat="1" x14ac:dyDescent="0.25"/>
    <row r="21" s="2" customFormat="1" x14ac:dyDescent="0.25"/>
    <row r="22" s="2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115" zoomScaleNormal="115" workbookViewId="0">
      <selection sqref="A1:B1"/>
    </sheetView>
  </sheetViews>
  <sheetFormatPr defaultRowHeight="15" x14ac:dyDescent="0.25"/>
  <cols>
    <col min="2" max="15" width="11.42578125" customWidth="1"/>
    <col min="17" max="17" width="11.140625" customWidth="1"/>
    <col min="18" max="18" width="12.28515625" customWidth="1"/>
  </cols>
  <sheetData>
    <row r="1" spans="1:15" x14ac:dyDescent="0.25">
      <c r="A1" s="1" t="s">
        <v>30</v>
      </c>
      <c r="B1" s="1" t="s">
        <v>87</v>
      </c>
    </row>
    <row r="2" spans="1:15" x14ac:dyDescent="0.25">
      <c r="B2" t="s">
        <v>10</v>
      </c>
      <c r="C2" t="s">
        <v>12</v>
      </c>
      <c r="D2" t="s">
        <v>4</v>
      </c>
    </row>
    <row r="3" spans="1:15" x14ac:dyDescent="0.25">
      <c r="A3" t="s">
        <v>24</v>
      </c>
      <c r="B3">
        <v>2</v>
      </c>
      <c r="C3">
        <v>400</v>
      </c>
      <c r="D3">
        <v>1</v>
      </c>
    </row>
    <row r="4" spans="1:15" x14ac:dyDescent="0.25">
      <c r="A4" t="s">
        <v>58</v>
      </c>
      <c r="B4">
        <v>1</v>
      </c>
      <c r="C4">
        <v>300</v>
      </c>
    </row>
    <row r="5" spans="1:15" x14ac:dyDescent="0.25">
      <c r="A5" t="s">
        <v>5</v>
      </c>
      <c r="B5">
        <v>2</v>
      </c>
      <c r="C5">
        <v>700</v>
      </c>
    </row>
    <row r="6" spans="1:15" ht="15.75" thickBot="1" x14ac:dyDescent="0.3"/>
    <row r="7" spans="1:15" ht="30.75" thickBot="1" x14ac:dyDescent="0.3">
      <c r="B7" s="42" t="s">
        <v>78</v>
      </c>
      <c r="C7" s="43" t="s">
        <v>77</v>
      </c>
      <c r="D7" s="44" t="s">
        <v>76</v>
      </c>
      <c r="E7" s="44" t="s">
        <v>75</v>
      </c>
      <c r="F7" s="43" t="s">
        <v>6</v>
      </c>
      <c r="G7" s="43" t="s">
        <v>13</v>
      </c>
      <c r="H7" s="43" t="s">
        <v>11</v>
      </c>
      <c r="I7" s="43" t="s">
        <v>7</v>
      </c>
      <c r="J7" s="43" t="s">
        <v>6</v>
      </c>
      <c r="K7" s="44" t="s">
        <v>69</v>
      </c>
      <c r="L7" s="45" t="s">
        <v>14</v>
      </c>
      <c r="M7" s="45" t="s">
        <v>15</v>
      </c>
      <c r="N7" s="46" t="s">
        <v>74</v>
      </c>
      <c r="O7" s="47" t="s">
        <v>73</v>
      </c>
    </row>
    <row r="8" spans="1:15" x14ac:dyDescent="0.25">
      <c r="B8" s="49">
        <v>1</v>
      </c>
      <c r="C8" s="36" t="s">
        <v>24</v>
      </c>
      <c r="D8" s="36"/>
      <c r="E8" s="36">
        <v>0</v>
      </c>
      <c r="F8" s="36">
        <v>250</v>
      </c>
      <c r="G8" s="36">
        <f>F8+D11</f>
        <v>400</v>
      </c>
      <c r="H8" s="36">
        <f>MAX(0,C$3-G8)</f>
        <v>0</v>
      </c>
      <c r="I8" s="36">
        <v>120</v>
      </c>
      <c r="J8" s="36">
        <f t="shared" ref="J8:J28" si="0">F8-I8</f>
        <v>130</v>
      </c>
      <c r="K8" s="36">
        <f>MIN(I8,F8)-MIN(0,M4)</f>
        <v>120</v>
      </c>
      <c r="L8" s="36"/>
      <c r="M8" s="36"/>
      <c r="N8" s="36"/>
      <c r="O8" s="37"/>
    </row>
    <row r="9" spans="1:15" x14ac:dyDescent="0.25">
      <c r="B9" s="50"/>
      <c r="C9" s="30" t="s">
        <v>58</v>
      </c>
      <c r="D9" s="30"/>
      <c r="E9" s="30">
        <v>0</v>
      </c>
      <c r="F9" s="30">
        <v>300</v>
      </c>
      <c r="G9" s="30">
        <f>F9+D18</f>
        <v>420</v>
      </c>
      <c r="H9" s="30">
        <f>MAX(0,C$4-G9)</f>
        <v>0</v>
      </c>
      <c r="I9" s="30">
        <v>50</v>
      </c>
      <c r="J9" s="30">
        <f t="shared" si="0"/>
        <v>250</v>
      </c>
      <c r="K9" s="30">
        <f>MIN(I9,F9)-MIN(0,M5)</f>
        <v>50</v>
      </c>
      <c r="L9" s="30"/>
      <c r="M9" s="30"/>
      <c r="N9" s="30"/>
      <c r="O9" s="38"/>
    </row>
    <row r="10" spans="1:15" ht="15.75" thickBot="1" x14ac:dyDescent="0.3">
      <c r="B10" s="51"/>
      <c r="C10" s="39" t="s">
        <v>5</v>
      </c>
      <c r="D10" s="39"/>
      <c r="E10" s="39">
        <v>0</v>
      </c>
      <c r="F10" s="39">
        <v>450</v>
      </c>
      <c r="G10" s="39">
        <f>F10+D16-I10</f>
        <v>550</v>
      </c>
      <c r="H10" s="39">
        <f>MAX(0,C$5-G10)</f>
        <v>150</v>
      </c>
      <c r="I10" s="39">
        <f>H8+H9</f>
        <v>0</v>
      </c>
      <c r="J10" s="39">
        <f t="shared" si="0"/>
        <v>450</v>
      </c>
      <c r="K10" s="39">
        <f t="shared" ref="K10:K28" si="1">MIN(I10,F10)-MIN(0,J7)</f>
        <v>0</v>
      </c>
      <c r="L10" s="39">
        <f>MIN(F10-H9,H8)</f>
        <v>0</v>
      </c>
      <c r="M10" s="39">
        <f>MIN(F10,H9)</f>
        <v>0</v>
      </c>
      <c r="N10" s="39">
        <f>H8-MIN(F10-H9,H8)</f>
        <v>0</v>
      </c>
      <c r="O10" s="40">
        <f>H9-MIN(F10,H9)</f>
        <v>0</v>
      </c>
    </row>
    <row r="11" spans="1:15" x14ac:dyDescent="0.25">
      <c r="B11" s="49">
        <v>2</v>
      </c>
      <c r="C11" s="36" t="s">
        <v>24</v>
      </c>
      <c r="D11" s="36">
        <v>150</v>
      </c>
      <c r="E11" s="36">
        <f>0+D11</f>
        <v>150</v>
      </c>
      <c r="F11" s="36">
        <f t="shared" ref="F11:F28" si="2">J8+E11</f>
        <v>280</v>
      </c>
      <c r="G11" s="36">
        <f>F11+H8</f>
        <v>280</v>
      </c>
      <c r="H11" s="36">
        <f>MAX(0,C$3-G11)</f>
        <v>120</v>
      </c>
      <c r="I11" s="36">
        <v>130</v>
      </c>
      <c r="J11" s="36">
        <f t="shared" si="0"/>
        <v>150</v>
      </c>
      <c r="K11" s="36">
        <f t="shared" si="1"/>
        <v>130</v>
      </c>
      <c r="L11" s="36"/>
      <c r="M11" s="36"/>
      <c r="N11" s="36"/>
      <c r="O11" s="37"/>
    </row>
    <row r="12" spans="1:15" x14ac:dyDescent="0.25">
      <c r="B12" s="50"/>
      <c r="C12" s="30" t="s">
        <v>58</v>
      </c>
      <c r="D12" s="30"/>
      <c r="E12" s="30">
        <f>M10+D12</f>
        <v>0</v>
      </c>
      <c r="F12" s="30">
        <f t="shared" si="2"/>
        <v>250</v>
      </c>
      <c r="G12" s="30">
        <f>F12+D18</f>
        <v>370</v>
      </c>
      <c r="H12" s="30">
        <f>MAX(0,C$4-G12)</f>
        <v>0</v>
      </c>
      <c r="I12" s="30">
        <v>150</v>
      </c>
      <c r="J12" s="30">
        <f t="shared" si="0"/>
        <v>100</v>
      </c>
      <c r="K12" s="30">
        <f t="shared" si="1"/>
        <v>150</v>
      </c>
      <c r="L12" s="30"/>
      <c r="M12" s="30"/>
      <c r="N12" s="30"/>
      <c r="O12" s="38"/>
    </row>
    <row r="13" spans="1:15" ht="15.75" thickBot="1" x14ac:dyDescent="0.3">
      <c r="B13" s="51"/>
      <c r="C13" s="39" t="s">
        <v>5</v>
      </c>
      <c r="D13" s="39"/>
      <c r="E13" s="39">
        <f>0+D13</f>
        <v>0</v>
      </c>
      <c r="F13" s="39">
        <f t="shared" si="2"/>
        <v>450</v>
      </c>
      <c r="G13" s="39">
        <f>F13+H10+D16-I13</f>
        <v>580</v>
      </c>
      <c r="H13" s="39">
        <f>MAX(0,C$5-G13)</f>
        <v>120</v>
      </c>
      <c r="I13" s="39">
        <f>H11+H12</f>
        <v>120</v>
      </c>
      <c r="J13" s="39">
        <f t="shared" si="0"/>
        <v>330</v>
      </c>
      <c r="K13" s="39">
        <f t="shared" si="1"/>
        <v>120</v>
      </c>
      <c r="L13" s="39">
        <f>MIN(F13-H12,H11)</f>
        <v>120</v>
      </c>
      <c r="M13" s="39">
        <f>MIN(F13,H12)+N10</f>
        <v>0</v>
      </c>
      <c r="N13" s="39">
        <f>H11-MIN(F13-H12,H11)</f>
        <v>0</v>
      </c>
      <c r="O13" s="40">
        <f>H12-MIN(F13,H12)</f>
        <v>0</v>
      </c>
    </row>
    <row r="14" spans="1:15" x14ac:dyDescent="0.25">
      <c r="B14" s="49">
        <v>3</v>
      </c>
      <c r="C14" s="36" t="s">
        <v>24</v>
      </c>
      <c r="D14" s="36"/>
      <c r="E14" s="36">
        <f>L10+D14</f>
        <v>0</v>
      </c>
      <c r="F14" s="36">
        <f t="shared" si="2"/>
        <v>150</v>
      </c>
      <c r="G14" s="36">
        <f>F14+H11</f>
        <v>270</v>
      </c>
      <c r="H14" s="36">
        <f>MAX(0,C$3-G14)</f>
        <v>130</v>
      </c>
      <c r="I14" s="36">
        <v>160</v>
      </c>
      <c r="J14" s="36">
        <f>F14-I14</f>
        <v>-10</v>
      </c>
      <c r="K14" s="36">
        <f t="shared" si="1"/>
        <v>150</v>
      </c>
      <c r="L14" s="36"/>
      <c r="M14" s="36"/>
      <c r="N14" s="36"/>
      <c r="O14" s="37"/>
    </row>
    <row r="15" spans="1:15" x14ac:dyDescent="0.25">
      <c r="B15" s="50"/>
      <c r="C15" s="30" t="s">
        <v>58</v>
      </c>
      <c r="D15" s="30"/>
      <c r="E15" s="30">
        <f>M13+D15</f>
        <v>0</v>
      </c>
      <c r="F15" s="30">
        <f t="shared" si="2"/>
        <v>100</v>
      </c>
      <c r="G15" s="30">
        <f>F15+D18</f>
        <v>220</v>
      </c>
      <c r="H15" s="30">
        <f>MAX(0,C$4-G15)</f>
        <v>80</v>
      </c>
      <c r="I15" s="30">
        <v>130</v>
      </c>
      <c r="J15" s="30">
        <f t="shared" si="0"/>
        <v>-30</v>
      </c>
      <c r="K15" s="30">
        <f t="shared" si="1"/>
        <v>100</v>
      </c>
      <c r="L15" s="30"/>
      <c r="M15" s="30"/>
      <c r="N15" s="30"/>
      <c r="O15" s="38"/>
    </row>
    <row r="16" spans="1:15" ht="15.75" thickBot="1" x14ac:dyDescent="0.3">
      <c r="B16" s="51"/>
      <c r="C16" s="39" t="s">
        <v>5</v>
      </c>
      <c r="D16" s="39">
        <v>100</v>
      </c>
      <c r="E16" s="39">
        <f>H10+D16</f>
        <v>250</v>
      </c>
      <c r="F16" s="39">
        <f t="shared" si="2"/>
        <v>580</v>
      </c>
      <c r="G16" s="39">
        <f>F16+H13-I16</f>
        <v>490</v>
      </c>
      <c r="H16" s="39">
        <f>MAX(0,C$5-G16)</f>
        <v>210</v>
      </c>
      <c r="I16" s="39">
        <f>H14+H15</f>
        <v>210</v>
      </c>
      <c r="J16" s="39">
        <f t="shared" si="0"/>
        <v>370</v>
      </c>
      <c r="K16" s="39">
        <f t="shared" si="1"/>
        <v>210</v>
      </c>
      <c r="L16" s="39">
        <f>MIN(F16-H15,H14)</f>
        <v>130</v>
      </c>
      <c r="M16" s="39">
        <f>MIN(F16,H15)</f>
        <v>80</v>
      </c>
      <c r="N16" s="39">
        <f>H14-MIN(F16-H15,H14)</f>
        <v>0</v>
      </c>
      <c r="O16" s="40">
        <f>H15-MIN(F16,H15)</f>
        <v>0</v>
      </c>
    </row>
    <row r="17" spans="2:15" x14ac:dyDescent="0.25">
      <c r="B17" s="49">
        <v>4</v>
      </c>
      <c r="C17" s="36" t="s">
        <v>24</v>
      </c>
      <c r="D17" s="36"/>
      <c r="E17" s="36">
        <f>L13+D17</f>
        <v>120</v>
      </c>
      <c r="F17" s="36">
        <f>J14+E17</f>
        <v>110</v>
      </c>
      <c r="G17" s="36">
        <f>F17+H14</f>
        <v>240</v>
      </c>
      <c r="H17" s="36">
        <f>MAX(0,C$3-G17)</f>
        <v>160</v>
      </c>
      <c r="I17" s="36">
        <v>120</v>
      </c>
      <c r="J17" s="36">
        <f t="shared" si="0"/>
        <v>-10</v>
      </c>
      <c r="K17" s="36">
        <f>MIN(I17,F17)-MIN(0,J14)</f>
        <v>120</v>
      </c>
      <c r="L17" s="36"/>
      <c r="M17" s="36"/>
      <c r="N17" s="36"/>
      <c r="O17" s="37"/>
    </row>
    <row r="18" spans="2:15" x14ac:dyDescent="0.25">
      <c r="B18" s="50"/>
      <c r="C18" s="30" t="s">
        <v>58</v>
      </c>
      <c r="D18" s="30">
        <v>120</v>
      </c>
      <c r="E18" s="30">
        <f>M16+D18</f>
        <v>200</v>
      </c>
      <c r="F18" s="30">
        <f t="shared" si="2"/>
        <v>170</v>
      </c>
      <c r="G18" s="30">
        <f>F18</f>
        <v>170</v>
      </c>
      <c r="H18" s="30">
        <f>MAX(0,C$4-G18)</f>
        <v>130</v>
      </c>
      <c r="I18" s="30">
        <v>110</v>
      </c>
      <c r="J18" s="30">
        <f t="shared" si="0"/>
        <v>60</v>
      </c>
      <c r="K18" s="30">
        <f t="shared" si="1"/>
        <v>140</v>
      </c>
      <c r="L18" s="30"/>
      <c r="M18" s="30"/>
      <c r="N18" s="30"/>
      <c r="O18" s="38"/>
    </row>
    <row r="19" spans="2:15" ht="15.75" thickBot="1" x14ac:dyDescent="0.3">
      <c r="B19" s="51"/>
      <c r="C19" s="39" t="s">
        <v>5</v>
      </c>
      <c r="D19" s="39"/>
      <c r="E19" s="39">
        <f>H13+D19</f>
        <v>120</v>
      </c>
      <c r="F19" s="39">
        <f t="shared" si="2"/>
        <v>490</v>
      </c>
      <c r="G19" s="39">
        <f>F19+H16-I19</f>
        <v>410</v>
      </c>
      <c r="H19" s="39">
        <f>MAX(0,C$5-G19)</f>
        <v>290</v>
      </c>
      <c r="I19" s="39">
        <f>H17+H18</f>
        <v>290</v>
      </c>
      <c r="J19" s="39">
        <f t="shared" si="0"/>
        <v>200</v>
      </c>
      <c r="K19" s="39">
        <f t="shared" si="1"/>
        <v>290</v>
      </c>
      <c r="L19" s="41">
        <f>MIN(F19-H18,H17)</f>
        <v>160</v>
      </c>
      <c r="M19" s="41">
        <f>MIN(F19,H18)</f>
        <v>130</v>
      </c>
      <c r="N19" s="39">
        <f>H17-MIN(F19-H18,H17)</f>
        <v>0</v>
      </c>
      <c r="O19" s="40">
        <f>H18-MIN(F19,H18)</f>
        <v>0</v>
      </c>
    </row>
    <row r="20" spans="2:15" x14ac:dyDescent="0.25">
      <c r="B20" s="49">
        <v>5</v>
      </c>
      <c r="C20" s="36" t="s">
        <v>24</v>
      </c>
      <c r="D20" s="36"/>
      <c r="E20" s="36">
        <f>L16+D20</f>
        <v>130</v>
      </c>
      <c r="F20" s="36">
        <f t="shared" si="2"/>
        <v>120</v>
      </c>
      <c r="G20" s="36">
        <f>F20+H17</f>
        <v>280</v>
      </c>
      <c r="H20" s="36">
        <f>MAX(0,C$3-G20)</f>
        <v>120</v>
      </c>
      <c r="I20" s="36">
        <v>40</v>
      </c>
      <c r="J20" s="36">
        <f t="shared" si="0"/>
        <v>80</v>
      </c>
      <c r="K20" s="36">
        <f t="shared" si="1"/>
        <v>50</v>
      </c>
      <c r="L20" s="36"/>
      <c r="M20" s="36"/>
      <c r="N20" s="36"/>
      <c r="O20" s="37"/>
    </row>
    <row r="21" spans="2:15" x14ac:dyDescent="0.25">
      <c r="B21" s="50"/>
      <c r="C21" s="30" t="s">
        <v>58</v>
      </c>
      <c r="D21" s="30"/>
      <c r="E21" s="30">
        <f>M19+D21</f>
        <v>130</v>
      </c>
      <c r="F21" s="30">
        <f t="shared" si="2"/>
        <v>190</v>
      </c>
      <c r="G21" s="30">
        <f>F21</f>
        <v>190</v>
      </c>
      <c r="H21" s="30">
        <f>MAX(0,C$4-G21)</f>
        <v>110</v>
      </c>
      <c r="I21" s="30">
        <v>50</v>
      </c>
      <c r="J21" s="30">
        <f t="shared" si="0"/>
        <v>140</v>
      </c>
      <c r="K21" s="30">
        <f t="shared" si="1"/>
        <v>50</v>
      </c>
      <c r="L21" s="30"/>
      <c r="M21" s="30"/>
      <c r="N21" s="30"/>
      <c r="O21" s="38"/>
    </row>
    <row r="22" spans="2:15" ht="15.75" thickBot="1" x14ac:dyDescent="0.3">
      <c r="B22" s="51"/>
      <c r="C22" s="39" t="s">
        <v>5</v>
      </c>
      <c r="D22" s="39"/>
      <c r="E22" s="39">
        <f>H16+D22</f>
        <v>210</v>
      </c>
      <c r="F22" s="39">
        <f t="shared" si="2"/>
        <v>410</v>
      </c>
      <c r="G22" s="39">
        <f>F22+H19-I22</f>
        <v>470</v>
      </c>
      <c r="H22" s="39">
        <f>MAX(0,C$5-G22)</f>
        <v>230</v>
      </c>
      <c r="I22" s="39">
        <f>H20+H21</f>
        <v>230</v>
      </c>
      <c r="J22" s="39">
        <f t="shared" si="0"/>
        <v>180</v>
      </c>
      <c r="K22" s="39">
        <f t="shared" si="1"/>
        <v>230</v>
      </c>
      <c r="L22" s="41">
        <f>MIN(F22-H21,H20)</f>
        <v>120</v>
      </c>
      <c r="M22" s="41">
        <f>MIN(F22,H21)</f>
        <v>110</v>
      </c>
      <c r="N22" s="39">
        <f>H20-MIN(F22-H21,H20)</f>
        <v>0</v>
      </c>
      <c r="O22" s="40">
        <f>H21-MIN(F22,H21)</f>
        <v>0</v>
      </c>
    </row>
    <row r="23" spans="2:15" x14ac:dyDescent="0.25">
      <c r="B23" s="49">
        <v>6</v>
      </c>
      <c r="C23" s="36" t="s">
        <v>24</v>
      </c>
      <c r="D23" s="36"/>
      <c r="E23" s="36">
        <f>L19+D23</f>
        <v>160</v>
      </c>
      <c r="F23" s="36">
        <f t="shared" si="2"/>
        <v>240</v>
      </c>
      <c r="G23" s="36">
        <f>F23+H20</f>
        <v>360</v>
      </c>
      <c r="H23" s="36">
        <f>MAX(0,C$3-G23)</f>
        <v>40</v>
      </c>
      <c r="I23" s="36">
        <v>70</v>
      </c>
      <c r="J23" s="36">
        <f t="shared" si="0"/>
        <v>170</v>
      </c>
      <c r="K23" s="36">
        <f t="shared" si="1"/>
        <v>70</v>
      </c>
      <c r="L23" s="36"/>
      <c r="M23" s="36"/>
      <c r="N23" s="36"/>
      <c r="O23" s="37"/>
    </row>
    <row r="24" spans="2:15" x14ac:dyDescent="0.25">
      <c r="B24" s="50"/>
      <c r="C24" s="30" t="s">
        <v>58</v>
      </c>
      <c r="D24" s="30"/>
      <c r="E24" s="30">
        <f>M22+D24</f>
        <v>110</v>
      </c>
      <c r="F24" s="30">
        <f t="shared" si="2"/>
        <v>250</v>
      </c>
      <c r="G24" s="30">
        <f>F24</f>
        <v>250</v>
      </c>
      <c r="H24" s="30">
        <f>MAX(0,C$4-G24)</f>
        <v>50</v>
      </c>
      <c r="I24" s="30">
        <v>170</v>
      </c>
      <c r="J24" s="30">
        <f t="shared" si="0"/>
        <v>80</v>
      </c>
      <c r="K24" s="30">
        <f t="shared" si="1"/>
        <v>170</v>
      </c>
      <c r="L24" s="30"/>
      <c r="M24" s="30"/>
      <c r="N24" s="30"/>
      <c r="O24" s="38"/>
    </row>
    <row r="25" spans="2:15" ht="15.75" thickBot="1" x14ac:dyDescent="0.3">
      <c r="B25" s="51"/>
      <c r="C25" s="39" t="s">
        <v>5</v>
      </c>
      <c r="D25" s="39"/>
      <c r="E25" s="39">
        <f>H19+D25</f>
        <v>290</v>
      </c>
      <c r="F25" s="39">
        <f t="shared" si="2"/>
        <v>470</v>
      </c>
      <c r="G25" s="39">
        <f>F25+H22-I25</f>
        <v>610</v>
      </c>
      <c r="H25" s="39">
        <f>MAX(0,C$5-G25)</f>
        <v>90</v>
      </c>
      <c r="I25" s="39">
        <f>H23+H24</f>
        <v>90</v>
      </c>
      <c r="J25" s="39">
        <f t="shared" si="0"/>
        <v>380</v>
      </c>
      <c r="K25" s="39">
        <f t="shared" si="1"/>
        <v>90</v>
      </c>
      <c r="L25" s="39">
        <f>MIN(F25-H24,H23)</f>
        <v>40</v>
      </c>
      <c r="M25" s="39">
        <f>MIN(F25,H24)</f>
        <v>50</v>
      </c>
      <c r="N25" s="39">
        <f>H23-MIN(F25-H24,H23)</f>
        <v>0</v>
      </c>
      <c r="O25" s="40">
        <f>H24-MIN(F25,H24)</f>
        <v>0</v>
      </c>
    </row>
    <row r="26" spans="2:15" x14ac:dyDescent="0.25">
      <c r="B26" s="49">
        <v>7</v>
      </c>
      <c r="C26" s="36" t="s">
        <v>24</v>
      </c>
      <c r="D26" s="36"/>
      <c r="E26" s="36">
        <f>L22+D26</f>
        <v>120</v>
      </c>
      <c r="F26" s="36">
        <f t="shared" si="2"/>
        <v>290</v>
      </c>
      <c r="G26" s="36">
        <f>F26+H23</f>
        <v>330</v>
      </c>
      <c r="H26" s="36">
        <f>MAX(0,C$3-G26)</f>
        <v>70</v>
      </c>
      <c r="I26" s="36">
        <v>100</v>
      </c>
      <c r="J26" s="36">
        <f t="shared" si="0"/>
        <v>190</v>
      </c>
      <c r="K26" s="36">
        <f t="shared" si="1"/>
        <v>100</v>
      </c>
      <c r="L26" s="36"/>
      <c r="M26" s="36"/>
      <c r="N26" s="36"/>
      <c r="O26" s="37"/>
    </row>
    <row r="27" spans="2:15" x14ac:dyDescent="0.25">
      <c r="B27" s="50"/>
      <c r="C27" s="30" t="s">
        <v>58</v>
      </c>
      <c r="D27" s="30"/>
      <c r="E27" s="30">
        <f>M25+D27</f>
        <v>50</v>
      </c>
      <c r="F27" s="30">
        <f t="shared" si="2"/>
        <v>130</v>
      </c>
      <c r="G27" s="30">
        <f>F27</f>
        <v>130</v>
      </c>
      <c r="H27" s="30">
        <f>MAX(0,C$4-G27)</f>
        <v>170</v>
      </c>
      <c r="I27" s="30">
        <v>140</v>
      </c>
      <c r="J27" s="30">
        <f t="shared" si="0"/>
        <v>-10</v>
      </c>
      <c r="K27" s="30">
        <f t="shared" si="1"/>
        <v>130</v>
      </c>
      <c r="L27" s="30"/>
      <c r="M27" s="30"/>
      <c r="N27" s="30"/>
      <c r="O27" s="38"/>
    </row>
    <row r="28" spans="2:15" ht="15.75" thickBot="1" x14ac:dyDescent="0.3">
      <c r="B28" s="51"/>
      <c r="C28" s="39" t="s">
        <v>5</v>
      </c>
      <c r="D28" s="39"/>
      <c r="E28" s="39">
        <f>H22+D28</f>
        <v>230</v>
      </c>
      <c r="F28" s="39">
        <f t="shared" si="2"/>
        <v>610</v>
      </c>
      <c r="G28" s="39">
        <f>F28+H25-I28</f>
        <v>460</v>
      </c>
      <c r="H28" s="39">
        <f>MAX(0,C$5-G28)</f>
        <v>240</v>
      </c>
      <c r="I28" s="39">
        <f>H26+H27</f>
        <v>240</v>
      </c>
      <c r="J28" s="39">
        <f t="shared" si="0"/>
        <v>370</v>
      </c>
      <c r="K28" s="39">
        <f t="shared" si="1"/>
        <v>240</v>
      </c>
      <c r="L28" s="39">
        <f>MIN(F28-H27,H26)</f>
        <v>70</v>
      </c>
      <c r="M28" s="39">
        <f>MIN(F28,H27)</f>
        <v>170</v>
      </c>
      <c r="N28" s="39">
        <f>H26-MIN(F28-H27,H26)</f>
        <v>0</v>
      </c>
      <c r="O28" s="40">
        <f>H27-MIN(F28,H27)</f>
        <v>0</v>
      </c>
    </row>
    <row r="31" spans="2:15" x14ac:dyDescent="0.25">
      <c r="F31">
        <f>SUM(L8:L28)</f>
        <v>640</v>
      </c>
      <c r="G31">
        <f>H8+H11+H14+H17+H20+H23+H26</f>
        <v>640</v>
      </c>
      <c r="I31">
        <f>I27+I26+I24+I23+I21+I20+I18+I17+I15+I14+I12+I11+I9+I8</f>
        <v>1540</v>
      </c>
      <c r="K31">
        <f>K27+K26+K24+K23+K21+K20+K18+K17+K15+K14+K12+K11+K9+K8-J27</f>
        <v>1540</v>
      </c>
    </row>
    <row r="32" spans="2:15" x14ac:dyDescent="0.25">
      <c r="F32">
        <f>SUM(M8:M28)</f>
        <v>540</v>
      </c>
      <c r="G32">
        <f>H9+H12+H15+H18+H21+H24+H27</f>
        <v>540</v>
      </c>
    </row>
  </sheetData>
  <mergeCells count="7">
    <mergeCell ref="B26:B28"/>
    <mergeCell ref="B8:B10"/>
    <mergeCell ref="B11:B13"/>
    <mergeCell ref="B14:B16"/>
    <mergeCell ref="B17:B19"/>
    <mergeCell ref="B20:B22"/>
    <mergeCell ref="B23:B2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B1" zoomScaleNormal="100" workbookViewId="0">
      <selection activeCell="I3" sqref="I3"/>
    </sheetView>
  </sheetViews>
  <sheetFormatPr defaultRowHeight="15" x14ac:dyDescent="0.25"/>
  <cols>
    <col min="2" max="15" width="12.28515625" customWidth="1"/>
    <col min="16" max="16" width="11.140625" customWidth="1"/>
    <col min="17" max="17" width="12.28515625" customWidth="1"/>
  </cols>
  <sheetData>
    <row r="1" spans="1:15" x14ac:dyDescent="0.25">
      <c r="A1" s="1" t="s">
        <v>72</v>
      </c>
      <c r="B1" s="1" t="s">
        <v>72</v>
      </c>
      <c r="C1" s="1" t="s">
        <v>88</v>
      </c>
    </row>
    <row r="2" spans="1:15" x14ac:dyDescent="0.25">
      <c r="B2" t="s">
        <v>10</v>
      </c>
      <c r="C2" t="s">
        <v>12</v>
      </c>
      <c r="D2" t="s">
        <v>4</v>
      </c>
    </row>
    <row r="3" spans="1:15" x14ac:dyDescent="0.25">
      <c r="A3" t="s">
        <v>24</v>
      </c>
      <c r="B3">
        <v>2</v>
      </c>
      <c r="C3">
        <v>400</v>
      </c>
      <c r="D3">
        <v>1</v>
      </c>
    </row>
    <row r="4" spans="1:15" x14ac:dyDescent="0.25">
      <c r="A4" t="s">
        <v>58</v>
      </c>
      <c r="B4">
        <v>1</v>
      </c>
      <c r="C4">
        <v>300</v>
      </c>
    </row>
    <row r="5" spans="1:15" x14ac:dyDescent="0.25">
      <c r="A5" t="s">
        <v>5</v>
      </c>
      <c r="B5">
        <v>2</v>
      </c>
      <c r="C5">
        <v>1100</v>
      </c>
    </row>
    <row r="6" spans="1:15" ht="15.75" thickBot="1" x14ac:dyDescent="0.3"/>
    <row r="7" spans="1:15" ht="30.75" thickBot="1" x14ac:dyDescent="0.3">
      <c r="B7" s="42" t="s">
        <v>78</v>
      </c>
      <c r="C7" s="43" t="s">
        <v>77</v>
      </c>
      <c r="D7" s="44" t="s">
        <v>76</v>
      </c>
      <c r="E7" s="44" t="s">
        <v>75</v>
      </c>
      <c r="F7" s="43" t="s">
        <v>6</v>
      </c>
      <c r="G7" s="43" t="s">
        <v>13</v>
      </c>
      <c r="H7" s="43" t="s">
        <v>11</v>
      </c>
      <c r="I7" s="43" t="s">
        <v>7</v>
      </c>
      <c r="J7" s="43" t="s">
        <v>6</v>
      </c>
      <c r="K7" s="44" t="s">
        <v>69</v>
      </c>
      <c r="L7" s="45" t="s">
        <v>14</v>
      </c>
      <c r="M7" s="45" t="s">
        <v>15</v>
      </c>
      <c r="N7" s="46" t="s">
        <v>74</v>
      </c>
      <c r="O7" s="47" t="s">
        <v>73</v>
      </c>
    </row>
    <row r="8" spans="1:15" x14ac:dyDescent="0.25">
      <c r="B8" s="49">
        <v>1</v>
      </c>
      <c r="C8" s="36" t="s">
        <v>24</v>
      </c>
      <c r="D8" s="36"/>
      <c r="E8" s="36">
        <v>0</v>
      </c>
      <c r="F8" s="36">
        <v>250</v>
      </c>
      <c r="G8" s="36">
        <f>F8+D11</f>
        <v>400</v>
      </c>
      <c r="H8" s="36">
        <f>MAX(0,C$3-G8)</f>
        <v>0</v>
      </c>
      <c r="I8" s="36">
        <v>120</v>
      </c>
      <c r="J8" s="36">
        <f t="shared" ref="J8:J28" si="0">F8-I8</f>
        <v>130</v>
      </c>
      <c r="K8" s="36">
        <f>MIN(I8,F8)-MIN(0,M4)</f>
        <v>120</v>
      </c>
      <c r="L8" s="36"/>
      <c r="M8" s="36"/>
      <c r="N8" s="36"/>
      <c r="O8" s="37"/>
    </row>
    <row r="9" spans="1:15" x14ac:dyDescent="0.25">
      <c r="B9" s="50"/>
      <c r="C9" s="30" t="s">
        <v>58</v>
      </c>
      <c r="D9" s="30"/>
      <c r="E9" s="30">
        <v>0</v>
      </c>
      <c r="F9" s="30">
        <v>300</v>
      </c>
      <c r="G9" s="30">
        <f>F9+D18</f>
        <v>420</v>
      </c>
      <c r="H9" s="30">
        <f>MAX(0,C$4-G9)</f>
        <v>0</v>
      </c>
      <c r="I9" s="30">
        <v>50</v>
      </c>
      <c r="J9" s="30">
        <f t="shared" si="0"/>
        <v>250</v>
      </c>
      <c r="K9" s="30">
        <f>MIN(I9,F9)-MIN(0,M5)</f>
        <v>50</v>
      </c>
      <c r="L9" s="30"/>
      <c r="M9" s="30"/>
      <c r="N9" s="30"/>
      <c r="O9" s="38"/>
    </row>
    <row r="10" spans="1:15" ht="15.75" thickBot="1" x14ac:dyDescent="0.3">
      <c r="B10" s="51"/>
      <c r="C10" s="39" t="s">
        <v>5</v>
      </c>
      <c r="D10" s="39"/>
      <c r="E10" s="39">
        <v>0</v>
      </c>
      <c r="F10" s="39">
        <v>450</v>
      </c>
      <c r="G10" s="39">
        <f>F10+D16+G9+G8</f>
        <v>1370</v>
      </c>
      <c r="H10" s="39">
        <f>MAX(0,C$5-G10)</f>
        <v>0</v>
      </c>
      <c r="I10" s="39">
        <f>H8+H9</f>
        <v>0</v>
      </c>
      <c r="J10" s="39">
        <f t="shared" si="0"/>
        <v>450</v>
      </c>
      <c r="K10" s="39">
        <f t="shared" ref="K10:K28" si="1">MIN(I10,F10)-MIN(0,J7)</f>
        <v>0</v>
      </c>
      <c r="L10" s="39">
        <f>MIN(F10-H9,H8)</f>
        <v>0</v>
      </c>
      <c r="M10" s="39">
        <f>MIN(F10,H9)</f>
        <v>0</v>
      </c>
      <c r="N10" s="39">
        <f>H8-MIN(F10-H9,H8)</f>
        <v>0</v>
      </c>
      <c r="O10" s="40">
        <f>H9-MIN(F10,H9)</f>
        <v>0</v>
      </c>
    </row>
    <row r="11" spans="1:15" x14ac:dyDescent="0.25">
      <c r="B11" s="49">
        <v>2</v>
      </c>
      <c r="C11" s="36" t="s">
        <v>24</v>
      </c>
      <c r="D11" s="36">
        <v>150</v>
      </c>
      <c r="E11" s="36">
        <f>0+D11</f>
        <v>150</v>
      </c>
      <c r="F11" s="36">
        <f>J8+E11</f>
        <v>280</v>
      </c>
      <c r="G11" s="36">
        <f>F11+H8</f>
        <v>280</v>
      </c>
      <c r="H11" s="36">
        <f>MAX(0,C$3-G11)</f>
        <v>120</v>
      </c>
      <c r="I11" s="36">
        <v>130</v>
      </c>
      <c r="J11" s="36">
        <f t="shared" si="0"/>
        <v>150</v>
      </c>
      <c r="K11" s="36">
        <f t="shared" si="1"/>
        <v>130</v>
      </c>
      <c r="L11" s="36"/>
      <c r="M11" s="36"/>
      <c r="N11" s="36"/>
      <c r="O11" s="37"/>
    </row>
    <row r="12" spans="1:15" x14ac:dyDescent="0.25">
      <c r="B12" s="50"/>
      <c r="C12" s="30" t="s">
        <v>58</v>
      </c>
      <c r="D12" s="30"/>
      <c r="E12" s="30">
        <f>M10+D12</f>
        <v>0</v>
      </c>
      <c r="F12" s="30">
        <f t="shared" ref="F12:F28" si="2">J9+E12</f>
        <v>250</v>
      </c>
      <c r="G12" s="30">
        <f>F12+D18+O10</f>
        <v>370</v>
      </c>
      <c r="H12" s="30">
        <f>MAX(0,C$4-G12)</f>
        <v>0</v>
      </c>
      <c r="I12" s="30">
        <v>150</v>
      </c>
      <c r="J12" s="30">
        <f t="shared" si="0"/>
        <v>100</v>
      </c>
      <c r="K12" s="30">
        <f t="shared" si="1"/>
        <v>150</v>
      </c>
      <c r="L12" s="30"/>
      <c r="M12" s="30"/>
      <c r="N12" s="30"/>
      <c r="O12" s="38"/>
    </row>
    <row r="13" spans="1:15" ht="15.75" thickBot="1" x14ac:dyDescent="0.3">
      <c r="B13" s="51"/>
      <c r="C13" s="39" t="s">
        <v>5</v>
      </c>
      <c r="D13" s="39"/>
      <c r="E13" s="39">
        <f>0+D13</f>
        <v>0</v>
      </c>
      <c r="F13" s="39">
        <f t="shared" si="2"/>
        <v>450</v>
      </c>
      <c r="G13" s="39">
        <f>F13+H10+D16+G12+G11</f>
        <v>1200</v>
      </c>
      <c r="H13" s="39">
        <f>MAX(0,C$5-G13)</f>
        <v>0</v>
      </c>
      <c r="I13" s="39">
        <f>H11+H12</f>
        <v>120</v>
      </c>
      <c r="J13" s="39">
        <f t="shared" si="0"/>
        <v>330</v>
      </c>
      <c r="K13" s="39">
        <f t="shared" si="1"/>
        <v>120</v>
      </c>
      <c r="L13" s="39">
        <f>MIN(F13-H12,H11)+N10</f>
        <v>120</v>
      </c>
      <c r="M13" s="39">
        <f>MIN(F13,H12)+O10</f>
        <v>0</v>
      </c>
      <c r="N13" s="39">
        <f>H11-MIN(F13-H12,H11)</f>
        <v>0</v>
      </c>
      <c r="O13" s="40">
        <f>H12-MIN(F13,H12)</f>
        <v>0</v>
      </c>
    </row>
    <row r="14" spans="1:15" x14ac:dyDescent="0.25">
      <c r="B14" s="49">
        <v>3</v>
      </c>
      <c r="C14" s="36" t="s">
        <v>24</v>
      </c>
      <c r="D14" s="36"/>
      <c r="E14" s="36">
        <f>L10+D14</f>
        <v>0</v>
      </c>
      <c r="F14" s="36">
        <f t="shared" si="2"/>
        <v>150</v>
      </c>
      <c r="G14" s="36">
        <f>F14+H11+N10</f>
        <v>270</v>
      </c>
      <c r="H14" s="36">
        <f>MAX(0,C$3-G14)</f>
        <v>130</v>
      </c>
      <c r="I14" s="36">
        <v>160</v>
      </c>
      <c r="J14" s="36">
        <f t="shared" si="0"/>
        <v>-10</v>
      </c>
      <c r="K14" s="36">
        <f t="shared" si="1"/>
        <v>150</v>
      </c>
      <c r="L14" s="36"/>
      <c r="M14" s="36"/>
      <c r="N14" s="36"/>
      <c r="O14" s="37"/>
    </row>
    <row r="15" spans="1:15" x14ac:dyDescent="0.25">
      <c r="B15" s="50"/>
      <c r="C15" s="30" t="s">
        <v>58</v>
      </c>
      <c r="D15" s="30"/>
      <c r="E15" s="30">
        <f>M13+D15</f>
        <v>0</v>
      </c>
      <c r="F15" s="30">
        <f t="shared" si="2"/>
        <v>100</v>
      </c>
      <c r="G15" s="30">
        <f>F15+D18+O13</f>
        <v>220</v>
      </c>
      <c r="H15" s="30">
        <f>MAX(0,C$4-G15)</f>
        <v>80</v>
      </c>
      <c r="I15" s="30">
        <v>130</v>
      </c>
      <c r="J15" s="30">
        <f t="shared" si="0"/>
        <v>-30</v>
      </c>
      <c r="K15" s="30">
        <f t="shared" si="1"/>
        <v>100</v>
      </c>
      <c r="L15" s="30"/>
      <c r="M15" s="30"/>
      <c r="N15" s="30"/>
      <c r="O15" s="38"/>
    </row>
    <row r="16" spans="1:15" ht="15.75" thickBot="1" x14ac:dyDescent="0.3">
      <c r="B16" s="51"/>
      <c r="C16" s="39" t="s">
        <v>5</v>
      </c>
      <c r="D16" s="39">
        <v>100</v>
      </c>
      <c r="E16" s="39">
        <f>H10+D16</f>
        <v>100</v>
      </c>
      <c r="F16" s="39">
        <f t="shared" si="2"/>
        <v>430</v>
      </c>
      <c r="G16" s="39">
        <f>F16+H13+G15+G14</f>
        <v>920</v>
      </c>
      <c r="H16" s="39">
        <f>MAX(0,C$5-G16)</f>
        <v>180</v>
      </c>
      <c r="I16" s="39">
        <f>H14+H15</f>
        <v>210</v>
      </c>
      <c r="J16" s="39">
        <f t="shared" si="0"/>
        <v>220</v>
      </c>
      <c r="K16" s="39">
        <f t="shared" si="1"/>
        <v>210</v>
      </c>
      <c r="L16" s="39">
        <f>MIN(F16-H15,H14)+N13</f>
        <v>130</v>
      </c>
      <c r="M16" s="39">
        <f>MIN(F16,H15)+O13</f>
        <v>80</v>
      </c>
      <c r="N16" s="39">
        <f>H14-MIN(F16-H15,H14)</f>
        <v>0</v>
      </c>
      <c r="O16" s="40">
        <f>H15-MIN(F16,H15)</f>
        <v>0</v>
      </c>
    </row>
    <row r="17" spans="2:15" x14ac:dyDescent="0.25">
      <c r="B17" s="49">
        <v>4</v>
      </c>
      <c r="C17" s="36" t="s">
        <v>24</v>
      </c>
      <c r="D17" s="36"/>
      <c r="E17" s="36">
        <f>L13+D17</f>
        <v>120</v>
      </c>
      <c r="F17" s="36">
        <f t="shared" si="2"/>
        <v>110</v>
      </c>
      <c r="G17" s="36">
        <f>F17+H14+N13</f>
        <v>240</v>
      </c>
      <c r="H17" s="36">
        <f>MAX(0,C$3-G17)</f>
        <v>160</v>
      </c>
      <c r="I17" s="36">
        <v>120</v>
      </c>
      <c r="J17" s="36">
        <f t="shared" si="0"/>
        <v>-10</v>
      </c>
      <c r="K17" s="36">
        <f t="shared" si="1"/>
        <v>120</v>
      </c>
      <c r="L17" s="36"/>
      <c r="M17" s="36"/>
      <c r="N17" s="36"/>
      <c r="O17" s="37"/>
    </row>
    <row r="18" spans="2:15" x14ac:dyDescent="0.25">
      <c r="B18" s="50"/>
      <c r="C18" s="30" t="s">
        <v>58</v>
      </c>
      <c r="D18" s="30">
        <v>120</v>
      </c>
      <c r="E18" s="30">
        <f>M16+D18</f>
        <v>200</v>
      </c>
      <c r="F18" s="30">
        <f t="shared" si="2"/>
        <v>170</v>
      </c>
      <c r="G18" s="30">
        <f>F18+O16</f>
        <v>170</v>
      </c>
      <c r="H18" s="30">
        <f>MAX(0,C$4-G18)</f>
        <v>130</v>
      </c>
      <c r="I18" s="30">
        <v>110</v>
      </c>
      <c r="J18" s="30">
        <f t="shared" si="0"/>
        <v>60</v>
      </c>
      <c r="K18" s="30">
        <f t="shared" si="1"/>
        <v>140</v>
      </c>
      <c r="L18" s="30"/>
      <c r="M18" s="30"/>
      <c r="N18" s="30"/>
      <c r="O18" s="38"/>
    </row>
    <row r="19" spans="2:15" ht="15.75" thickBot="1" x14ac:dyDescent="0.3">
      <c r="B19" s="51"/>
      <c r="C19" s="39" t="s">
        <v>5</v>
      </c>
      <c r="D19" s="39"/>
      <c r="E19" s="39">
        <f>H13+D19</f>
        <v>0</v>
      </c>
      <c r="F19" s="39">
        <f t="shared" si="2"/>
        <v>220</v>
      </c>
      <c r="G19" s="39">
        <f>F19+H16+G18+G17</f>
        <v>810</v>
      </c>
      <c r="H19" s="39">
        <f>MAX(0,C$5-G19)</f>
        <v>290</v>
      </c>
      <c r="I19" s="39">
        <f>H17+H18</f>
        <v>290</v>
      </c>
      <c r="J19" s="39">
        <f t="shared" si="0"/>
        <v>-70</v>
      </c>
      <c r="K19" s="39">
        <f t="shared" si="1"/>
        <v>220</v>
      </c>
      <c r="L19" s="41">
        <f>MIN(F19-H18,H17)+N16</f>
        <v>90</v>
      </c>
      <c r="M19" s="41">
        <f t="shared" ref="M19" si="3">MIN(F19,H18)+O16</f>
        <v>130</v>
      </c>
      <c r="N19" s="48">
        <f>H17-MIN(F19-H18,H17)</f>
        <v>70</v>
      </c>
      <c r="O19" s="40">
        <f>H18-MIN(F19,H18)</f>
        <v>0</v>
      </c>
    </row>
    <row r="20" spans="2:15" x14ac:dyDescent="0.25">
      <c r="B20" s="49">
        <v>5</v>
      </c>
      <c r="C20" s="36" t="s">
        <v>24</v>
      </c>
      <c r="D20" s="36"/>
      <c r="E20" s="36">
        <f>L16+D20</f>
        <v>130</v>
      </c>
      <c r="F20" s="36">
        <f>J17+E20</f>
        <v>120</v>
      </c>
      <c r="G20" s="36">
        <f>F20+H17+N16</f>
        <v>280</v>
      </c>
      <c r="H20" s="36">
        <f>MAX(0,C$3-G20)</f>
        <v>120</v>
      </c>
      <c r="I20" s="36">
        <v>40</v>
      </c>
      <c r="J20" s="36">
        <f t="shared" si="0"/>
        <v>80</v>
      </c>
      <c r="K20" s="36">
        <f t="shared" si="1"/>
        <v>50</v>
      </c>
      <c r="L20" s="36"/>
      <c r="M20" s="36"/>
      <c r="N20" s="36"/>
      <c r="O20" s="37"/>
    </row>
    <row r="21" spans="2:15" x14ac:dyDescent="0.25">
      <c r="B21" s="50"/>
      <c r="C21" s="30" t="s">
        <v>58</v>
      </c>
      <c r="D21" s="30"/>
      <c r="E21" s="30">
        <f>M19+D21</f>
        <v>130</v>
      </c>
      <c r="F21" s="30">
        <f t="shared" si="2"/>
        <v>190</v>
      </c>
      <c r="G21" s="30">
        <f>F21+O19</f>
        <v>190</v>
      </c>
      <c r="H21" s="30">
        <f>MAX(0,C$4-G21)</f>
        <v>110</v>
      </c>
      <c r="I21" s="30">
        <v>50</v>
      </c>
      <c r="J21" s="30">
        <f t="shared" si="0"/>
        <v>140</v>
      </c>
      <c r="K21" s="30">
        <f t="shared" si="1"/>
        <v>50</v>
      </c>
      <c r="L21" s="30"/>
      <c r="M21" s="30"/>
      <c r="N21" s="30"/>
      <c r="O21" s="38"/>
    </row>
    <row r="22" spans="2:15" ht="15.75" thickBot="1" x14ac:dyDescent="0.3">
      <c r="B22" s="51"/>
      <c r="C22" s="39" t="s">
        <v>5</v>
      </c>
      <c r="D22" s="39"/>
      <c r="E22" s="39">
        <f>H16+D22</f>
        <v>180</v>
      </c>
      <c r="F22" s="39">
        <f>J19+E22</f>
        <v>110</v>
      </c>
      <c r="G22" s="39">
        <f>F22+H19+G21+G20</f>
        <v>870</v>
      </c>
      <c r="H22" s="39">
        <f>MAX(0,C$5-G22)</f>
        <v>230</v>
      </c>
      <c r="I22" s="39">
        <f>H20+H21</f>
        <v>230</v>
      </c>
      <c r="J22" s="39">
        <f t="shared" si="0"/>
        <v>-120</v>
      </c>
      <c r="K22" s="39">
        <f t="shared" si="1"/>
        <v>180</v>
      </c>
      <c r="L22" s="41">
        <f>MIN(F22-H21,H20)+N19</f>
        <v>70</v>
      </c>
      <c r="M22" s="41">
        <f t="shared" ref="M22" si="4">MIN(F22,H21)+O19</f>
        <v>110</v>
      </c>
      <c r="N22" s="48">
        <f>H20-MIN(F22-H21,H20)</f>
        <v>120</v>
      </c>
      <c r="O22" s="40">
        <f>H21-MIN(F22,H21)</f>
        <v>0</v>
      </c>
    </row>
    <row r="23" spans="2:15" x14ac:dyDescent="0.25">
      <c r="B23" s="49">
        <v>6</v>
      </c>
      <c r="C23" s="36" t="s">
        <v>24</v>
      </c>
      <c r="D23" s="36"/>
      <c r="E23" s="36">
        <f>L19+D23</f>
        <v>90</v>
      </c>
      <c r="F23" s="36">
        <f>J20+E23</f>
        <v>170</v>
      </c>
      <c r="G23" s="36">
        <f>F23+H20+N19</f>
        <v>360</v>
      </c>
      <c r="H23" s="36">
        <f>MAX(0,C$3-G23)</f>
        <v>40</v>
      </c>
      <c r="I23" s="36">
        <v>70</v>
      </c>
      <c r="J23" s="36">
        <f t="shared" si="0"/>
        <v>100</v>
      </c>
      <c r="K23" s="36">
        <f t="shared" si="1"/>
        <v>70</v>
      </c>
      <c r="L23" s="36"/>
      <c r="M23" s="36"/>
      <c r="N23" s="36"/>
      <c r="O23" s="37"/>
    </row>
    <row r="24" spans="2:15" x14ac:dyDescent="0.25">
      <c r="B24" s="50"/>
      <c r="C24" s="30" t="s">
        <v>58</v>
      </c>
      <c r="D24" s="30"/>
      <c r="E24" s="30">
        <f>M22+D24</f>
        <v>110</v>
      </c>
      <c r="F24" s="30">
        <f t="shared" si="2"/>
        <v>250</v>
      </c>
      <c r="G24" s="30">
        <f>F24+O22</f>
        <v>250</v>
      </c>
      <c r="H24" s="30">
        <f>MAX(0,C$4-G24)</f>
        <v>50</v>
      </c>
      <c r="I24" s="30">
        <v>170</v>
      </c>
      <c r="J24" s="30">
        <f t="shared" si="0"/>
        <v>80</v>
      </c>
      <c r="K24" s="30">
        <f t="shared" si="1"/>
        <v>170</v>
      </c>
      <c r="L24" s="30"/>
      <c r="M24" s="30"/>
      <c r="N24" s="30"/>
      <c r="O24" s="38"/>
    </row>
    <row r="25" spans="2:15" ht="15.75" thickBot="1" x14ac:dyDescent="0.3">
      <c r="B25" s="51"/>
      <c r="C25" s="39" t="s">
        <v>5</v>
      </c>
      <c r="D25" s="39"/>
      <c r="E25" s="39">
        <f>H19+D25</f>
        <v>290</v>
      </c>
      <c r="F25" s="39">
        <f t="shared" si="2"/>
        <v>170</v>
      </c>
      <c r="G25" s="39">
        <f>F25+H22+G24+G23</f>
        <v>1010</v>
      </c>
      <c r="H25" s="39">
        <f>MAX(0,C$5-G25)</f>
        <v>90</v>
      </c>
      <c r="I25" s="39">
        <f>H23+H24</f>
        <v>90</v>
      </c>
      <c r="J25" s="39">
        <f t="shared" si="0"/>
        <v>80</v>
      </c>
      <c r="K25" s="39">
        <f t="shared" si="1"/>
        <v>210</v>
      </c>
      <c r="L25" s="41">
        <f>MIN(F25-H24,H23)+N22</f>
        <v>160</v>
      </c>
      <c r="M25" s="41">
        <f t="shared" ref="M25" si="5">MIN(F25,H24)+O22</f>
        <v>50</v>
      </c>
      <c r="N25" s="39">
        <f>H23-MIN(F25-H24,H23)</f>
        <v>0</v>
      </c>
      <c r="O25" s="40">
        <f>H24-MIN(F25,H24)</f>
        <v>0</v>
      </c>
    </row>
    <row r="26" spans="2:15" x14ac:dyDescent="0.25">
      <c r="B26" s="49">
        <v>7</v>
      </c>
      <c r="C26" s="36" t="s">
        <v>24</v>
      </c>
      <c r="D26" s="36"/>
      <c r="E26" s="36">
        <f>L22+D26</f>
        <v>70</v>
      </c>
      <c r="F26" s="36">
        <f t="shared" si="2"/>
        <v>170</v>
      </c>
      <c r="G26" s="36">
        <f>F26+H23+N22</f>
        <v>330</v>
      </c>
      <c r="H26" s="36">
        <f>MAX(0,C$3-G26)</f>
        <v>70</v>
      </c>
      <c r="I26" s="36">
        <v>100</v>
      </c>
      <c r="J26" s="36">
        <f t="shared" si="0"/>
        <v>70</v>
      </c>
      <c r="K26" s="36">
        <f t="shared" si="1"/>
        <v>100</v>
      </c>
      <c r="L26" s="36"/>
      <c r="M26" s="36"/>
      <c r="N26" s="36"/>
      <c r="O26" s="37"/>
    </row>
    <row r="27" spans="2:15" x14ac:dyDescent="0.25">
      <c r="B27" s="50"/>
      <c r="C27" s="30" t="s">
        <v>58</v>
      </c>
      <c r="D27" s="30"/>
      <c r="E27" s="30">
        <f>M25+D27</f>
        <v>50</v>
      </c>
      <c r="F27" s="30">
        <f t="shared" si="2"/>
        <v>130</v>
      </c>
      <c r="G27" s="30">
        <f>F27+O25</f>
        <v>130</v>
      </c>
      <c r="H27" s="30">
        <f>MAX(0,C$4-G27)</f>
        <v>170</v>
      </c>
      <c r="I27" s="30">
        <v>140</v>
      </c>
      <c r="J27" s="30">
        <f t="shared" si="0"/>
        <v>-10</v>
      </c>
      <c r="K27" s="30">
        <f t="shared" si="1"/>
        <v>130</v>
      </c>
      <c r="L27" s="30"/>
      <c r="M27" s="30"/>
      <c r="N27" s="30"/>
      <c r="O27" s="38"/>
    </row>
    <row r="28" spans="2:15" ht="15.75" thickBot="1" x14ac:dyDescent="0.3">
      <c r="B28" s="51"/>
      <c r="C28" s="39" t="s">
        <v>5</v>
      </c>
      <c r="D28" s="39"/>
      <c r="E28" s="39">
        <f>H22+D28</f>
        <v>230</v>
      </c>
      <c r="F28" s="39">
        <f t="shared" si="2"/>
        <v>310</v>
      </c>
      <c r="G28" s="39">
        <f>F28+H25+G27+G26</f>
        <v>860</v>
      </c>
      <c r="H28" s="39">
        <f>MAX(0,C$5-G28)</f>
        <v>240</v>
      </c>
      <c r="I28" s="39">
        <f>H26+H27</f>
        <v>240</v>
      </c>
      <c r="J28" s="39">
        <f t="shared" si="0"/>
        <v>70</v>
      </c>
      <c r="K28" s="39">
        <f t="shared" si="1"/>
        <v>240</v>
      </c>
      <c r="L28" s="39">
        <f t="shared" ref="L28" si="6">MIN(F28-H27,H26)+N25</f>
        <v>70</v>
      </c>
      <c r="M28" s="39">
        <f t="shared" ref="M28" si="7">MIN(F28,H27)+O25</f>
        <v>170</v>
      </c>
      <c r="N28" s="39">
        <f>H26-MIN(F28-H27,H26)</f>
        <v>0</v>
      </c>
      <c r="O28" s="40">
        <f>H27-MIN(F28,H27)</f>
        <v>0</v>
      </c>
    </row>
    <row r="30" spans="2:15" x14ac:dyDescent="0.25">
      <c r="F30" t="s">
        <v>80</v>
      </c>
      <c r="G30" t="s">
        <v>79</v>
      </c>
      <c r="H30" t="s">
        <v>37</v>
      </c>
    </row>
    <row r="31" spans="2:15" x14ac:dyDescent="0.25">
      <c r="E31" t="s">
        <v>24</v>
      </c>
      <c r="F31">
        <f>SUM(L8:L28)</f>
        <v>640</v>
      </c>
      <c r="G31">
        <f>H8+H11+H14+H17+H20+H23+H26</f>
        <v>640</v>
      </c>
      <c r="H31">
        <f>I8+I11+I14+I17+I20+I23+I26</f>
        <v>740</v>
      </c>
      <c r="I31">
        <f>I27+I26+I24+I23+I21+I20+I18+I17+I15+I14+I12+I11+I9+I8</f>
        <v>1540</v>
      </c>
      <c r="K31">
        <f>K27+K26+K24+K23+K21+K20+K18+K17+K15+K14+K12+K11+K9+K8-J27</f>
        <v>1540</v>
      </c>
    </row>
    <row r="32" spans="2:15" x14ac:dyDescent="0.25">
      <c r="E32" t="s">
        <v>58</v>
      </c>
      <c r="F32">
        <f>SUM(M8:M28)</f>
        <v>540</v>
      </c>
      <c r="G32">
        <f>H9+H12+H15+H18+H21+H24+H27</f>
        <v>540</v>
      </c>
      <c r="H32">
        <f>I9+I12+I15+I18+I21+I24+I27</f>
        <v>800</v>
      </c>
    </row>
    <row r="33" spans="1:11" x14ac:dyDescent="0.25">
      <c r="G33">
        <f>G32+G31</f>
        <v>1180</v>
      </c>
      <c r="K33">
        <f>K28+K25+K22+K19+K16+K13+K10</f>
        <v>1180</v>
      </c>
    </row>
    <row r="36" spans="1:11" ht="45" x14ac:dyDescent="0.25">
      <c r="A36" s="1" t="s">
        <v>70</v>
      </c>
      <c r="B36" s="8" t="s">
        <v>16</v>
      </c>
      <c r="C36" s="8" t="s">
        <v>17</v>
      </c>
      <c r="D36" s="8" t="s">
        <v>18</v>
      </c>
      <c r="E36" s="8" t="s">
        <v>16</v>
      </c>
    </row>
    <row r="37" spans="1:11" x14ac:dyDescent="0.25">
      <c r="B37" t="s">
        <v>8</v>
      </c>
      <c r="C37">
        <v>2</v>
      </c>
      <c r="D37">
        <v>7</v>
      </c>
      <c r="E37" s="31">
        <f>1-C37/D37</f>
        <v>0.7142857142857143</v>
      </c>
    </row>
    <row r="38" spans="1:11" x14ac:dyDescent="0.25">
      <c r="B38" t="s">
        <v>9</v>
      </c>
      <c r="C38">
        <v>2</v>
      </c>
      <c r="D38">
        <v>7</v>
      </c>
      <c r="E38" s="31">
        <f>1-C38/D38</f>
        <v>0.7142857142857143</v>
      </c>
    </row>
    <row r="41" spans="1:11" ht="45" x14ac:dyDescent="0.25">
      <c r="B41" s="8" t="s">
        <v>20</v>
      </c>
      <c r="C41" s="8" t="s">
        <v>21</v>
      </c>
      <c r="D41" s="8" t="s">
        <v>22</v>
      </c>
      <c r="E41" s="8" t="s">
        <v>19</v>
      </c>
    </row>
    <row r="42" spans="1:11" x14ac:dyDescent="0.25">
      <c r="B42" t="s">
        <v>8</v>
      </c>
      <c r="C42">
        <v>20</v>
      </c>
      <c r="D42">
        <f>H31</f>
        <v>740</v>
      </c>
      <c r="E42" s="31">
        <f>1-C42/D42</f>
        <v>0.97297297297297303</v>
      </c>
    </row>
    <row r="43" spans="1:11" x14ac:dyDescent="0.25">
      <c r="B43" t="s">
        <v>9</v>
      </c>
      <c r="C43">
        <v>40</v>
      </c>
      <c r="D43">
        <f>H32</f>
        <v>800</v>
      </c>
      <c r="E43" s="31">
        <f>1-C43/D43</f>
        <v>0.95</v>
      </c>
    </row>
  </sheetData>
  <mergeCells count="7">
    <mergeCell ref="B26:B28"/>
    <mergeCell ref="B8:B10"/>
    <mergeCell ref="B11:B13"/>
    <mergeCell ref="B14:B16"/>
    <mergeCell ref="B17:B19"/>
    <mergeCell ref="B20:B22"/>
    <mergeCell ref="B23:B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activeCell="G20" sqref="G20"/>
    </sheetView>
  </sheetViews>
  <sheetFormatPr defaultRowHeight="15" x14ac:dyDescent="0.25"/>
  <cols>
    <col min="2" max="15" width="10.7109375" customWidth="1"/>
    <col min="16" max="16" width="11.140625" customWidth="1"/>
    <col min="17" max="17" width="12.28515625" customWidth="1"/>
  </cols>
  <sheetData>
    <row r="1" spans="1:15" x14ac:dyDescent="0.25">
      <c r="A1" s="1" t="s">
        <v>81</v>
      </c>
    </row>
    <row r="2" spans="1:15" x14ac:dyDescent="0.25">
      <c r="B2" t="s">
        <v>10</v>
      </c>
      <c r="C2" t="s">
        <v>12</v>
      </c>
      <c r="D2" t="s">
        <v>4</v>
      </c>
    </row>
    <row r="3" spans="1:15" x14ac:dyDescent="0.25">
      <c r="A3" t="s">
        <v>24</v>
      </c>
      <c r="B3">
        <v>2</v>
      </c>
      <c r="C3">
        <v>400</v>
      </c>
      <c r="D3">
        <v>1</v>
      </c>
    </row>
    <row r="4" spans="1:15" x14ac:dyDescent="0.25">
      <c r="A4" t="s">
        <v>58</v>
      </c>
      <c r="B4">
        <v>1</v>
      </c>
      <c r="C4">
        <v>300</v>
      </c>
    </row>
    <row r="5" spans="1:15" x14ac:dyDescent="0.25">
      <c r="A5" t="s">
        <v>5</v>
      </c>
      <c r="B5">
        <v>2</v>
      </c>
      <c r="C5">
        <v>1100</v>
      </c>
    </row>
    <row r="6" spans="1:15" ht="15.75" thickBot="1" x14ac:dyDescent="0.3"/>
    <row r="7" spans="1:15" ht="45.75" thickBot="1" x14ac:dyDescent="0.3">
      <c r="B7" s="42" t="s">
        <v>78</v>
      </c>
      <c r="C7" s="43" t="s">
        <v>77</v>
      </c>
      <c r="D7" s="44" t="s">
        <v>76</v>
      </c>
      <c r="E7" s="44" t="s">
        <v>75</v>
      </c>
      <c r="F7" s="43" t="s">
        <v>6</v>
      </c>
      <c r="G7" s="43" t="s">
        <v>13</v>
      </c>
      <c r="H7" s="43" t="s">
        <v>11</v>
      </c>
      <c r="I7" s="43" t="s">
        <v>7</v>
      </c>
      <c r="J7" s="43" t="s">
        <v>6</v>
      </c>
      <c r="K7" s="44" t="s">
        <v>69</v>
      </c>
      <c r="L7" s="45" t="s">
        <v>14</v>
      </c>
      <c r="M7" s="45" t="s">
        <v>15</v>
      </c>
      <c r="N7" s="46" t="s">
        <v>74</v>
      </c>
      <c r="O7" s="47" t="s">
        <v>73</v>
      </c>
    </row>
    <row r="8" spans="1:15" x14ac:dyDescent="0.25">
      <c r="B8" s="49">
        <v>1</v>
      </c>
      <c r="C8" s="36" t="s">
        <v>24</v>
      </c>
      <c r="D8" s="36"/>
      <c r="E8" s="36">
        <v>0</v>
      </c>
      <c r="F8" s="36">
        <v>250</v>
      </c>
      <c r="G8" s="36">
        <f>F8+D11</f>
        <v>400</v>
      </c>
      <c r="H8" s="36">
        <f>MAX(0,C$3-G8)</f>
        <v>0</v>
      </c>
      <c r="I8" s="36">
        <v>120</v>
      </c>
      <c r="J8" s="36">
        <f t="shared" ref="J8:J28" si="0">F8-I8</f>
        <v>130</v>
      </c>
      <c r="K8" s="36">
        <f>MIN(I8,F8)-MIN(0,M4)</f>
        <v>120</v>
      </c>
      <c r="L8" s="36"/>
      <c r="M8" s="36"/>
      <c r="N8" s="36"/>
      <c r="O8" s="37"/>
    </row>
    <row r="9" spans="1:15" x14ac:dyDescent="0.25">
      <c r="B9" s="50"/>
      <c r="C9" s="30" t="s">
        <v>58</v>
      </c>
      <c r="D9" s="30"/>
      <c r="E9" s="30">
        <v>0</v>
      </c>
      <c r="F9" s="30">
        <v>300</v>
      </c>
      <c r="G9" s="30">
        <f>F9+D18</f>
        <v>420</v>
      </c>
      <c r="H9" s="30">
        <f>MAX(0,C$4-G9)</f>
        <v>0</v>
      </c>
      <c r="I9" s="30">
        <v>50</v>
      </c>
      <c r="J9" s="30">
        <f t="shared" si="0"/>
        <v>250</v>
      </c>
      <c r="K9" s="30">
        <f>MIN(I9,F9)-MIN(0,M5)</f>
        <v>50</v>
      </c>
      <c r="L9" s="30"/>
      <c r="M9" s="30"/>
      <c r="N9" s="30"/>
      <c r="O9" s="38"/>
    </row>
    <row r="10" spans="1:15" ht="15.75" thickBot="1" x14ac:dyDescent="0.3">
      <c r="B10" s="51"/>
      <c r="C10" s="39" t="s">
        <v>5</v>
      </c>
      <c r="D10" s="39"/>
      <c r="E10" s="39">
        <v>0</v>
      </c>
      <c r="F10" s="39">
        <v>450</v>
      </c>
      <c r="G10" s="39">
        <f>F10+D16+G9+G8</f>
        <v>1370</v>
      </c>
      <c r="H10" s="39">
        <f>MAX(0,C$5-G10)</f>
        <v>0</v>
      </c>
      <c r="I10" s="39">
        <f>H8+H9</f>
        <v>0</v>
      </c>
      <c r="J10" s="39">
        <f t="shared" si="0"/>
        <v>450</v>
      </c>
      <c r="K10" s="39">
        <f t="shared" ref="K10:K28" si="1">MIN(I10,F10)-MIN(0,J7)</f>
        <v>0</v>
      </c>
      <c r="L10" s="39">
        <f>MIN(F10,H8)</f>
        <v>0</v>
      </c>
      <c r="M10" s="39">
        <f>MIN(F10-H8,H9)</f>
        <v>0</v>
      </c>
      <c r="N10" s="39">
        <f>H8-MIN(F10,H8)</f>
        <v>0</v>
      </c>
      <c r="O10" s="40">
        <f>H9-MIN(F10-H8,H9)</f>
        <v>0</v>
      </c>
    </row>
    <row r="11" spans="1:15" x14ac:dyDescent="0.25">
      <c r="B11" s="49">
        <v>2</v>
      </c>
      <c r="C11" s="36" t="s">
        <v>24</v>
      </c>
      <c r="D11" s="36">
        <v>150</v>
      </c>
      <c r="E11" s="36">
        <f>0+D11</f>
        <v>150</v>
      </c>
      <c r="F11" s="36">
        <f t="shared" ref="F11:F28" si="2">J8+E11</f>
        <v>280</v>
      </c>
      <c r="G11" s="36">
        <f>F11+H8</f>
        <v>280</v>
      </c>
      <c r="H11" s="36">
        <f>MAX(0,C$3-G11)</f>
        <v>120</v>
      </c>
      <c r="I11" s="36">
        <v>130</v>
      </c>
      <c r="J11" s="36">
        <f t="shared" si="0"/>
        <v>150</v>
      </c>
      <c r="K11" s="36">
        <f t="shared" si="1"/>
        <v>130</v>
      </c>
      <c r="L11" s="36"/>
      <c r="M11" s="36"/>
      <c r="N11" s="36"/>
      <c r="O11" s="37"/>
    </row>
    <row r="12" spans="1:15" x14ac:dyDescent="0.25">
      <c r="B12" s="50"/>
      <c r="C12" s="30" t="s">
        <v>58</v>
      </c>
      <c r="D12" s="30"/>
      <c r="E12" s="30">
        <f>M10+D12</f>
        <v>0</v>
      </c>
      <c r="F12" s="30">
        <f t="shared" si="2"/>
        <v>250</v>
      </c>
      <c r="G12" s="30">
        <f>F12+D18+O10</f>
        <v>370</v>
      </c>
      <c r="H12" s="30">
        <f>MAX(0,C$4-G12)</f>
        <v>0</v>
      </c>
      <c r="I12" s="30">
        <v>150</v>
      </c>
      <c r="J12" s="30">
        <f t="shared" si="0"/>
        <v>100</v>
      </c>
      <c r="K12" s="30">
        <f t="shared" si="1"/>
        <v>150</v>
      </c>
      <c r="L12" s="30"/>
      <c r="M12" s="30"/>
      <c r="N12" s="30"/>
      <c r="O12" s="38"/>
    </row>
    <row r="13" spans="1:15" ht="15.75" thickBot="1" x14ac:dyDescent="0.3">
      <c r="B13" s="51"/>
      <c r="C13" s="39" t="s">
        <v>5</v>
      </c>
      <c r="D13" s="39"/>
      <c r="E13" s="39">
        <f>0+D13</f>
        <v>0</v>
      </c>
      <c r="F13" s="39">
        <f t="shared" si="2"/>
        <v>450</v>
      </c>
      <c r="G13" s="39">
        <f>F13+H10+D16+G12+G11</f>
        <v>1200</v>
      </c>
      <c r="H13" s="39">
        <f>MAX(0,C$5-G13)</f>
        <v>0</v>
      </c>
      <c r="I13" s="39">
        <f>H11+H12</f>
        <v>120</v>
      </c>
      <c r="J13" s="39">
        <f t="shared" si="0"/>
        <v>330</v>
      </c>
      <c r="K13" s="39">
        <f t="shared" si="1"/>
        <v>120</v>
      </c>
      <c r="L13" s="39">
        <f>MAX(MIN(F13,H11),0)+N10</f>
        <v>120</v>
      </c>
      <c r="M13" s="39">
        <f>MAX(MIN(F13-H11,H12),0)+O10</f>
        <v>0</v>
      </c>
      <c r="N13" s="39">
        <f t="shared" ref="N13" si="3">H11-MIN(F13,H11)</f>
        <v>0</v>
      </c>
      <c r="O13" s="40">
        <f t="shared" ref="O13" si="4">H12-MIN(F13-H11,H12)</f>
        <v>0</v>
      </c>
    </row>
    <row r="14" spans="1:15" x14ac:dyDescent="0.25">
      <c r="B14" s="49">
        <v>3</v>
      </c>
      <c r="C14" s="36" t="s">
        <v>24</v>
      </c>
      <c r="D14" s="36"/>
      <c r="E14" s="36">
        <f>L10+D14</f>
        <v>0</v>
      </c>
      <c r="F14" s="36">
        <f t="shared" si="2"/>
        <v>150</v>
      </c>
      <c r="G14" s="36">
        <f>F14+H11+N10</f>
        <v>270</v>
      </c>
      <c r="H14" s="36">
        <f>MAX(0,C$3-G14)</f>
        <v>130</v>
      </c>
      <c r="I14" s="36">
        <v>160</v>
      </c>
      <c r="J14" s="36">
        <f t="shared" si="0"/>
        <v>-10</v>
      </c>
      <c r="K14" s="36">
        <f t="shared" si="1"/>
        <v>150</v>
      </c>
      <c r="L14" s="36"/>
      <c r="M14" s="36"/>
      <c r="N14" s="36"/>
      <c r="O14" s="37"/>
    </row>
    <row r="15" spans="1:15" x14ac:dyDescent="0.25">
      <c r="B15" s="50"/>
      <c r="C15" s="30" t="s">
        <v>58</v>
      </c>
      <c r="D15" s="30"/>
      <c r="E15" s="30">
        <f>M13+D15</f>
        <v>0</v>
      </c>
      <c r="F15" s="30">
        <f t="shared" si="2"/>
        <v>100</v>
      </c>
      <c r="G15" s="30">
        <f>F15+D18+O13</f>
        <v>220</v>
      </c>
      <c r="H15" s="30">
        <f>MAX(0,C$4-G15)</f>
        <v>80</v>
      </c>
      <c r="I15" s="30">
        <v>130</v>
      </c>
      <c r="J15" s="30">
        <f t="shared" si="0"/>
        <v>-30</v>
      </c>
      <c r="K15" s="30">
        <f t="shared" si="1"/>
        <v>100</v>
      </c>
      <c r="L15" s="30"/>
      <c r="M15" s="30"/>
      <c r="N15" s="30"/>
      <c r="O15" s="38"/>
    </row>
    <row r="16" spans="1:15" ht="15.75" thickBot="1" x14ac:dyDescent="0.3">
      <c r="B16" s="51"/>
      <c r="C16" s="39" t="s">
        <v>5</v>
      </c>
      <c r="D16" s="39">
        <v>100</v>
      </c>
      <c r="E16" s="39">
        <f>H10+D16</f>
        <v>100</v>
      </c>
      <c r="F16" s="39">
        <f t="shared" si="2"/>
        <v>430</v>
      </c>
      <c r="G16" s="39">
        <f>F16+H13+G15+G14</f>
        <v>920</v>
      </c>
      <c r="H16" s="39">
        <f>MAX(0,C$5-G16)</f>
        <v>180</v>
      </c>
      <c r="I16" s="39">
        <f>H14+H15</f>
        <v>210</v>
      </c>
      <c r="J16" s="39">
        <f t="shared" si="0"/>
        <v>220</v>
      </c>
      <c r="K16" s="39">
        <f t="shared" si="1"/>
        <v>210</v>
      </c>
      <c r="L16" s="39">
        <f>MAX(MIN(F16,H14),0)+N13</f>
        <v>130</v>
      </c>
      <c r="M16" s="39">
        <f>MAX(MIN(F16-H14,H15),0)+O13</f>
        <v>80</v>
      </c>
      <c r="N16" s="39">
        <f t="shared" ref="N16" si="5">H14-MIN(F16,H14)</f>
        <v>0</v>
      </c>
      <c r="O16" s="40">
        <f t="shared" ref="O16" si="6">H15-MIN(F16-H14,H15)</f>
        <v>0</v>
      </c>
    </row>
    <row r="17" spans="2:15" x14ac:dyDescent="0.25">
      <c r="B17" s="49">
        <v>4</v>
      </c>
      <c r="C17" s="36" t="s">
        <v>24</v>
      </c>
      <c r="D17" s="36"/>
      <c r="E17" s="36">
        <f>L13+D17</f>
        <v>120</v>
      </c>
      <c r="F17" s="36">
        <f t="shared" si="2"/>
        <v>110</v>
      </c>
      <c r="G17" s="36">
        <f>F17+H14+N13</f>
        <v>240</v>
      </c>
      <c r="H17" s="36">
        <f>MAX(0,C$3-G17)</f>
        <v>160</v>
      </c>
      <c r="I17" s="36">
        <v>120</v>
      </c>
      <c r="J17" s="36">
        <f t="shared" si="0"/>
        <v>-10</v>
      </c>
      <c r="K17" s="36">
        <f t="shared" si="1"/>
        <v>120</v>
      </c>
      <c r="L17" s="36"/>
      <c r="M17" s="36"/>
      <c r="N17" s="36"/>
      <c r="O17" s="37"/>
    </row>
    <row r="18" spans="2:15" x14ac:dyDescent="0.25">
      <c r="B18" s="50"/>
      <c r="C18" s="30" t="s">
        <v>58</v>
      </c>
      <c r="D18" s="30">
        <v>120</v>
      </c>
      <c r="E18" s="30">
        <f>M16+D18</f>
        <v>200</v>
      </c>
      <c r="F18" s="30">
        <f t="shared" si="2"/>
        <v>170</v>
      </c>
      <c r="G18" s="30">
        <f>F18+O16</f>
        <v>170</v>
      </c>
      <c r="H18" s="30">
        <f>MAX(0,C$4-G18)</f>
        <v>130</v>
      </c>
      <c r="I18" s="30">
        <v>110</v>
      </c>
      <c r="J18" s="30">
        <f t="shared" si="0"/>
        <v>60</v>
      </c>
      <c r="K18" s="30">
        <f t="shared" si="1"/>
        <v>140</v>
      </c>
      <c r="L18" s="30"/>
      <c r="M18" s="30"/>
      <c r="N18" s="30"/>
      <c r="O18" s="38"/>
    </row>
    <row r="19" spans="2:15" ht="15.75" thickBot="1" x14ac:dyDescent="0.3">
      <c r="B19" s="51"/>
      <c r="C19" s="39" t="s">
        <v>5</v>
      </c>
      <c r="D19" s="39"/>
      <c r="E19" s="39">
        <f>H13+D19</f>
        <v>0</v>
      </c>
      <c r="F19" s="39">
        <f t="shared" si="2"/>
        <v>220</v>
      </c>
      <c r="G19" s="39">
        <f>F19+H16+G18+G17</f>
        <v>810</v>
      </c>
      <c r="H19" s="39">
        <f>MAX(0,C$5-G19)</f>
        <v>290</v>
      </c>
      <c r="I19" s="39">
        <f>H17+H18</f>
        <v>290</v>
      </c>
      <c r="J19" s="39">
        <f t="shared" si="0"/>
        <v>-70</v>
      </c>
      <c r="K19" s="39">
        <f t="shared" si="1"/>
        <v>220</v>
      </c>
      <c r="L19" s="41">
        <f>MAX(MIN(F19,H17),0)+N16</f>
        <v>160</v>
      </c>
      <c r="M19" s="41">
        <f>MAX(MIN(F19-H17,H18),0)+O16</f>
        <v>60</v>
      </c>
      <c r="N19" s="39">
        <f t="shared" ref="N19" si="7">H17-MIN(F19,H17)</f>
        <v>0</v>
      </c>
      <c r="O19" s="40">
        <f>H18-MIN(F19-H17,H18)</f>
        <v>70</v>
      </c>
    </row>
    <row r="20" spans="2:15" x14ac:dyDescent="0.25">
      <c r="B20" s="49">
        <v>5</v>
      </c>
      <c r="C20" s="36" t="s">
        <v>24</v>
      </c>
      <c r="D20" s="36"/>
      <c r="E20" s="36">
        <f>L16+D20</f>
        <v>130</v>
      </c>
      <c r="F20" s="36">
        <f t="shared" si="2"/>
        <v>120</v>
      </c>
      <c r="G20" s="36">
        <f>F20+H17+N16</f>
        <v>280</v>
      </c>
      <c r="H20" s="36">
        <f>MAX(0,C$3-G20)</f>
        <v>120</v>
      </c>
      <c r="I20" s="36">
        <v>40</v>
      </c>
      <c r="J20" s="36">
        <f t="shared" si="0"/>
        <v>80</v>
      </c>
      <c r="K20" s="36">
        <f t="shared" si="1"/>
        <v>50</v>
      </c>
      <c r="L20" s="36"/>
      <c r="M20" s="36"/>
      <c r="N20" s="36"/>
      <c r="O20" s="37"/>
    </row>
    <row r="21" spans="2:15" x14ac:dyDescent="0.25">
      <c r="B21" s="50"/>
      <c r="C21" s="30" t="s">
        <v>58</v>
      </c>
      <c r="D21" s="30"/>
      <c r="E21" s="30">
        <f>M19+D21</f>
        <v>60</v>
      </c>
      <c r="F21" s="30">
        <f t="shared" si="2"/>
        <v>120</v>
      </c>
      <c r="G21" s="30">
        <f>F21+O19</f>
        <v>190</v>
      </c>
      <c r="H21" s="30">
        <f>MAX(0,C$4-G21)</f>
        <v>110</v>
      </c>
      <c r="I21" s="30">
        <v>50</v>
      </c>
      <c r="J21" s="30">
        <f t="shared" si="0"/>
        <v>70</v>
      </c>
      <c r="K21" s="30">
        <f t="shared" si="1"/>
        <v>50</v>
      </c>
      <c r="L21" s="30"/>
      <c r="M21" s="30"/>
      <c r="N21" s="30"/>
      <c r="O21" s="38"/>
    </row>
    <row r="22" spans="2:15" ht="15.75" thickBot="1" x14ac:dyDescent="0.3">
      <c r="B22" s="51"/>
      <c r="C22" s="39" t="s">
        <v>5</v>
      </c>
      <c r="D22" s="39"/>
      <c r="E22" s="39">
        <f>H16+D22</f>
        <v>180</v>
      </c>
      <c r="F22" s="39">
        <f t="shared" si="2"/>
        <v>110</v>
      </c>
      <c r="G22" s="39">
        <f>F22+H19+G21+G20</f>
        <v>870</v>
      </c>
      <c r="H22" s="39">
        <f>MAX(0,C$5-G22)</f>
        <v>230</v>
      </c>
      <c r="I22" s="39">
        <f>H20+H21</f>
        <v>230</v>
      </c>
      <c r="J22" s="39">
        <f t="shared" si="0"/>
        <v>-120</v>
      </c>
      <c r="K22" s="39">
        <f t="shared" si="1"/>
        <v>180</v>
      </c>
      <c r="L22" s="41">
        <f>MAX(MIN(F22,H20),0)+N19</f>
        <v>110</v>
      </c>
      <c r="M22" s="41">
        <f>MAX(MIN(F22-H20,H21),0)+O19</f>
        <v>70</v>
      </c>
      <c r="N22" s="39">
        <f t="shared" ref="N22" si="8">H20-MIN(F22,H20)</f>
        <v>10</v>
      </c>
      <c r="O22" s="40">
        <f>H21-MAX(MIN(F22-H20,H21),0)</f>
        <v>110</v>
      </c>
    </row>
    <row r="23" spans="2:15" x14ac:dyDescent="0.25">
      <c r="B23" s="49">
        <v>6</v>
      </c>
      <c r="C23" s="36" t="s">
        <v>24</v>
      </c>
      <c r="D23" s="36"/>
      <c r="E23" s="36">
        <f>L19+D23</f>
        <v>160</v>
      </c>
      <c r="F23" s="36">
        <f t="shared" si="2"/>
        <v>240</v>
      </c>
      <c r="G23" s="36">
        <f>F23+H20+N19</f>
        <v>360</v>
      </c>
      <c r="H23" s="36">
        <f>MAX(0,C$3-G23)</f>
        <v>40</v>
      </c>
      <c r="I23" s="36">
        <v>70</v>
      </c>
      <c r="J23" s="36">
        <f t="shared" si="0"/>
        <v>170</v>
      </c>
      <c r="K23" s="36">
        <f t="shared" si="1"/>
        <v>70</v>
      </c>
      <c r="L23" s="36"/>
      <c r="M23" s="36"/>
      <c r="N23" s="36"/>
      <c r="O23" s="37"/>
    </row>
    <row r="24" spans="2:15" x14ac:dyDescent="0.25">
      <c r="B24" s="50"/>
      <c r="C24" s="30" t="s">
        <v>58</v>
      </c>
      <c r="D24" s="30"/>
      <c r="E24" s="30">
        <f>M22+D24</f>
        <v>70</v>
      </c>
      <c r="F24" s="30">
        <f t="shared" si="2"/>
        <v>140</v>
      </c>
      <c r="G24" s="30">
        <f>F24+O22</f>
        <v>250</v>
      </c>
      <c r="H24" s="30">
        <f>MAX(0,C$4-G24)</f>
        <v>50</v>
      </c>
      <c r="I24" s="30">
        <v>170</v>
      </c>
      <c r="J24" s="30">
        <f t="shared" si="0"/>
        <v>-30</v>
      </c>
      <c r="K24" s="30">
        <f t="shared" si="1"/>
        <v>140</v>
      </c>
      <c r="L24" s="30"/>
      <c r="M24" s="30"/>
      <c r="N24" s="30"/>
      <c r="O24" s="38"/>
    </row>
    <row r="25" spans="2:15" ht="15.75" thickBot="1" x14ac:dyDescent="0.3">
      <c r="B25" s="51"/>
      <c r="C25" s="39" t="s">
        <v>5</v>
      </c>
      <c r="D25" s="39"/>
      <c r="E25" s="39">
        <f>H19+D25</f>
        <v>290</v>
      </c>
      <c r="F25" s="39">
        <f t="shared" si="2"/>
        <v>170</v>
      </c>
      <c r="G25" s="39">
        <f>F25+H22+G24+G23</f>
        <v>1010</v>
      </c>
      <c r="H25" s="39">
        <f>MAX(0,C$5-G25)</f>
        <v>90</v>
      </c>
      <c r="I25" s="39">
        <f>H23+H24</f>
        <v>90</v>
      </c>
      <c r="J25" s="39">
        <f t="shared" si="0"/>
        <v>80</v>
      </c>
      <c r="K25" s="39">
        <f t="shared" si="1"/>
        <v>210</v>
      </c>
      <c r="L25" s="41">
        <f>MAX(MIN(F25,H23),0)+N22</f>
        <v>50</v>
      </c>
      <c r="M25" s="41">
        <f>MAX(MIN(F25-H23,H24),0)+O22</f>
        <v>160</v>
      </c>
      <c r="N25" s="39">
        <f t="shared" ref="N25" si="9">H23-MIN(F25,H23)</f>
        <v>0</v>
      </c>
      <c r="O25" s="40">
        <f t="shared" ref="O25" si="10">H24-MIN(F25-H23,H24)</f>
        <v>0</v>
      </c>
    </row>
    <row r="26" spans="2:15" x14ac:dyDescent="0.25">
      <c r="B26" s="49">
        <v>7</v>
      </c>
      <c r="C26" s="36" t="s">
        <v>24</v>
      </c>
      <c r="D26" s="36"/>
      <c r="E26" s="36">
        <f>L22+D26</f>
        <v>110</v>
      </c>
      <c r="F26" s="36">
        <f t="shared" si="2"/>
        <v>280</v>
      </c>
      <c r="G26" s="36">
        <f>F26+H23+N22</f>
        <v>330</v>
      </c>
      <c r="H26" s="36">
        <f>MAX(0,C$3-G26)</f>
        <v>70</v>
      </c>
      <c r="I26" s="36">
        <v>100</v>
      </c>
      <c r="J26" s="36">
        <f t="shared" si="0"/>
        <v>180</v>
      </c>
      <c r="K26" s="36">
        <f t="shared" si="1"/>
        <v>100</v>
      </c>
      <c r="L26" s="36"/>
      <c r="M26" s="36"/>
      <c r="N26" s="36"/>
      <c r="O26" s="37"/>
    </row>
    <row r="27" spans="2:15" x14ac:dyDescent="0.25">
      <c r="B27" s="50"/>
      <c r="C27" s="30" t="s">
        <v>58</v>
      </c>
      <c r="D27" s="30"/>
      <c r="E27" s="30">
        <f>M25+D27</f>
        <v>160</v>
      </c>
      <c r="F27" s="30">
        <f t="shared" si="2"/>
        <v>130</v>
      </c>
      <c r="G27" s="30">
        <f>F27+O25</f>
        <v>130</v>
      </c>
      <c r="H27" s="30">
        <f>MAX(0,C$4-G27)</f>
        <v>170</v>
      </c>
      <c r="I27" s="30">
        <v>140</v>
      </c>
      <c r="J27" s="30">
        <f t="shared" si="0"/>
        <v>-10</v>
      </c>
      <c r="K27" s="30">
        <f t="shared" si="1"/>
        <v>160</v>
      </c>
      <c r="L27" s="30"/>
      <c r="M27" s="30"/>
      <c r="N27" s="30"/>
      <c r="O27" s="38"/>
    </row>
    <row r="28" spans="2:15" ht="15.75" thickBot="1" x14ac:dyDescent="0.3">
      <c r="B28" s="51"/>
      <c r="C28" s="39" t="s">
        <v>5</v>
      </c>
      <c r="D28" s="39"/>
      <c r="E28" s="39">
        <f>H22+D28</f>
        <v>230</v>
      </c>
      <c r="F28" s="39">
        <f t="shared" si="2"/>
        <v>310</v>
      </c>
      <c r="G28" s="39">
        <f>F28+H25+G27+G26</f>
        <v>860</v>
      </c>
      <c r="H28" s="39">
        <f>MAX(0,C$5-G28)</f>
        <v>240</v>
      </c>
      <c r="I28" s="39">
        <f>H26+H27</f>
        <v>240</v>
      </c>
      <c r="J28" s="39">
        <f t="shared" si="0"/>
        <v>70</v>
      </c>
      <c r="K28" s="39">
        <f t="shared" si="1"/>
        <v>240</v>
      </c>
      <c r="L28" s="39">
        <f>MAX(MIN(F28,H26),0)+N25</f>
        <v>70</v>
      </c>
      <c r="M28" s="39">
        <f>MAX(MIN(F28-H26,H27),0)+O25</f>
        <v>170</v>
      </c>
      <c r="N28" s="39">
        <f t="shared" ref="N28" si="11">H26-MIN(F28,H26)</f>
        <v>0</v>
      </c>
      <c r="O28" s="40">
        <f t="shared" ref="O28" si="12">H27-MIN(F28-H26,H27)</f>
        <v>0</v>
      </c>
    </row>
    <row r="30" spans="2:15" x14ac:dyDescent="0.25">
      <c r="F30" t="s">
        <v>80</v>
      </c>
      <c r="G30" t="s">
        <v>79</v>
      </c>
      <c r="H30" t="s">
        <v>37</v>
      </c>
    </row>
    <row r="31" spans="2:15" x14ac:dyDescent="0.25">
      <c r="E31" t="s">
        <v>24</v>
      </c>
      <c r="F31">
        <f>SUM(L8:L28)</f>
        <v>640</v>
      </c>
      <c r="G31">
        <f>H8+H11+H14+H17+H20+H23+H26</f>
        <v>640</v>
      </c>
      <c r="H31">
        <f>I8+I11+I14+I17+I20+I23+I26</f>
        <v>740</v>
      </c>
      <c r="I31">
        <f>I27+I26+I24+I23+I21+I20+I18+I17+I15+I14+I12+I11+I9+I8</f>
        <v>1540</v>
      </c>
      <c r="K31">
        <f>K27+K26+K24+K23+K21+K20+K18+K17+K15+K14+K12+K11+K9+K8-J27</f>
        <v>1540</v>
      </c>
    </row>
    <row r="32" spans="2:15" x14ac:dyDescent="0.25">
      <c r="E32" t="s">
        <v>58</v>
      </c>
      <c r="F32">
        <f>SUM(M8:M28)</f>
        <v>540</v>
      </c>
      <c r="G32">
        <f>H9+H12+H15+H18+H21+H24+H27</f>
        <v>540</v>
      </c>
      <c r="H32">
        <f>I9+I12+I15+I18+I21+I24+I27</f>
        <v>800</v>
      </c>
    </row>
    <row r="33" spans="1:11" x14ac:dyDescent="0.25">
      <c r="G33">
        <f>G32+G31</f>
        <v>1180</v>
      </c>
      <c r="K33">
        <f>K28+K25+K22+K19+K16+K13+K10</f>
        <v>1180</v>
      </c>
    </row>
    <row r="36" spans="1:11" ht="45" x14ac:dyDescent="0.25">
      <c r="A36" s="1"/>
      <c r="B36" s="8" t="s">
        <v>16</v>
      </c>
      <c r="C36" s="8" t="s">
        <v>17</v>
      </c>
      <c r="D36" s="8" t="s">
        <v>18</v>
      </c>
      <c r="E36" s="8" t="s">
        <v>16</v>
      </c>
    </row>
    <row r="37" spans="1:11" x14ac:dyDescent="0.25">
      <c r="B37" t="s">
        <v>8</v>
      </c>
      <c r="C37">
        <v>2</v>
      </c>
      <c r="D37">
        <v>7</v>
      </c>
      <c r="E37" s="31">
        <f>1-C37/D37</f>
        <v>0.7142857142857143</v>
      </c>
    </row>
    <row r="38" spans="1:11" x14ac:dyDescent="0.25">
      <c r="B38" t="s">
        <v>9</v>
      </c>
      <c r="C38">
        <v>3</v>
      </c>
      <c r="D38">
        <v>7</v>
      </c>
      <c r="E38" s="31">
        <f>1-C38/D38</f>
        <v>0.5714285714285714</v>
      </c>
    </row>
    <row r="41" spans="1:11" ht="45" x14ac:dyDescent="0.25">
      <c r="B41" s="8" t="s">
        <v>20</v>
      </c>
      <c r="C41" s="8" t="s">
        <v>21</v>
      </c>
      <c r="D41" s="8" t="s">
        <v>22</v>
      </c>
      <c r="E41" s="8" t="s">
        <v>19</v>
      </c>
    </row>
    <row r="42" spans="1:11" x14ac:dyDescent="0.25">
      <c r="B42" t="s">
        <v>8</v>
      </c>
      <c r="C42">
        <v>20</v>
      </c>
      <c r="D42">
        <f>H31</f>
        <v>740</v>
      </c>
      <c r="E42" s="31">
        <f>1-C42/D42</f>
        <v>0.97297297297297303</v>
      </c>
    </row>
    <row r="43" spans="1:11" x14ac:dyDescent="0.25">
      <c r="B43" t="s">
        <v>9</v>
      </c>
      <c r="C43">
        <v>70</v>
      </c>
      <c r="D43">
        <f>H32</f>
        <v>800</v>
      </c>
      <c r="E43" s="31">
        <f>1-C43/D43</f>
        <v>0.91249999999999998</v>
      </c>
    </row>
  </sheetData>
  <mergeCells count="7">
    <mergeCell ref="B26:B28"/>
    <mergeCell ref="B8:B10"/>
    <mergeCell ref="B11:B13"/>
    <mergeCell ref="B14:B16"/>
    <mergeCell ref="B17:B19"/>
    <mergeCell ref="B20:B22"/>
    <mergeCell ref="B23:B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zoomScale="115" zoomScaleNormal="115" workbookViewId="0">
      <selection activeCell="P13" sqref="P13"/>
    </sheetView>
  </sheetViews>
  <sheetFormatPr defaultRowHeight="15" x14ac:dyDescent="0.25"/>
  <sheetData>
    <row r="1" spans="1:7" x14ac:dyDescent="0.25">
      <c r="B1" s="1" t="s">
        <v>28</v>
      </c>
      <c r="F1" s="1" t="s">
        <v>29</v>
      </c>
    </row>
    <row r="2" spans="1:7" x14ac:dyDescent="0.25">
      <c r="A2" t="s">
        <v>7</v>
      </c>
      <c r="B2">
        <v>2500</v>
      </c>
      <c r="C2" t="s">
        <v>23</v>
      </c>
    </row>
    <row r="3" spans="1:7" x14ac:dyDescent="0.25">
      <c r="A3" t="s">
        <v>24</v>
      </c>
      <c r="B3">
        <v>25</v>
      </c>
      <c r="C3" t="s">
        <v>25</v>
      </c>
      <c r="F3">
        <v>20</v>
      </c>
      <c r="G3" t="s">
        <v>25</v>
      </c>
    </row>
    <row r="4" spans="1:7" x14ac:dyDescent="0.25">
      <c r="A4" t="s">
        <v>26</v>
      </c>
      <c r="B4">
        <v>2.5</v>
      </c>
      <c r="C4" t="s">
        <v>27</v>
      </c>
      <c r="F4">
        <v>1.2</v>
      </c>
      <c r="G4" t="s">
        <v>27</v>
      </c>
    </row>
    <row r="7" spans="1:7" x14ac:dyDescent="0.25">
      <c r="A7" t="s">
        <v>30</v>
      </c>
      <c r="D7" t="s">
        <v>28</v>
      </c>
      <c r="E7" t="s">
        <v>29</v>
      </c>
      <c r="F7" t="s">
        <v>36</v>
      </c>
    </row>
    <row r="8" spans="1:7" x14ac:dyDescent="0.25">
      <c r="A8" t="s">
        <v>71</v>
      </c>
      <c r="C8" t="s">
        <v>31</v>
      </c>
      <c r="D8" s="29">
        <f>SQRT(2*B2*B3/B4)</f>
        <v>223.60679774997897</v>
      </c>
      <c r="E8">
        <f>SQRT(2*B2*F3/F4)</f>
        <v>288.6751345948129</v>
      </c>
    </row>
    <row r="9" spans="1:7" x14ac:dyDescent="0.25">
      <c r="C9" t="s">
        <v>32</v>
      </c>
      <c r="D9">
        <f>SQRT(2*B2*B3*B4)</f>
        <v>559.01699437494744</v>
      </c>
      <c r="E9">
        <f>SQRT(2*B2*F3*F4)</f>
        <v>346.41016151377545</v>
      </c>
      <c r="F9" s="28">
        <f>D9+E9</f>
        <v>905.42715588872284</v>
      </c>
    </row>
    <row r="11" spans="1:7" x14ac:dyDescent="0.25">
      <c r="A11" t="s">
        <v>33</v>
      </c>
      <c r="D11" t="s">
        <v>28</v>
      </c>
      <c r="E11" t="s">
        <v>29</v>
      </c>
    </row>
    <row r="12" spans="1:7" x14ac:dyDescent="0.25">
      <c r="C12" t="s">
        <v>31</v>
      </c>
      <c r="D12" s="29">
        <f>D8</f>
        <v>223.60679774997897</v>
      </c>
      <c r="E12">
        <f>D14*D12</f>
        <v>223.60679774997897</v>
      </c>
    </row>
    <row r="13" spans="1:7" x14ac:dyDescent="0.25">
      <c r="C13" t="s">
        <v>32</v>
      </c>
      <c r="D13">
        <f>B2/D12*B3+B4/2*D12</f>
        <v>559.01699437494744</v>
      </c>
      <c r="E13">
        <f>B2/(D14*D12)*F3+F4/2*D12*(D14-1)</f>
        <v>223.60679774997897</v>
      </c>
      <c r="F13" s="28">
        <f>D13+E13</f>
        <v>782.62379212492647</v>
      </c>
    </row>
    <row r="14" spans="1:7" x14ac:dyDescent="0.25">
      <c r="C14" t="s">
        <v>34</v>
      </c>
      <c r="D14">
        <v>1</v>
      </c>
      <c r="E14">
        <f>F3*B4/(B3*F4)</f>
        <v>1.6666666666666667</v>
      </c>
    </row>
    <row r="16" spans="1:7" x14ac:dyDescent="0.25">
      <c r="A16" t="s">
        <v>35</v>
      </c>
      <c r="D16" t="s">
        <v>28</v>
      </c>
      <c r="E16" t="s">
        <v>29</v>
      </c>
    </row>
    <row r="17" spans="3:6" x14ac:dyDescent="0.25">
      <c r="C17" t="s">
        <v>31</v>
      </c>
      <c r="D17">
        <f>SQRT(2*B2*(F3/D19+B3)/(D19*F4+B4-F4))</f>
        <v>300</v>
      </c>
      <c r="E17">
        <f>D19*D17</f>
        <v>300</v>
      </c>
    </row>
    <row r="18" spans="3:6" x14ac:dyDescent="0.25">
      <c r="C18" t="s">
        <v>32</v>
      </c>
      <c r="D18">
        <f>SQRT(2*B2*(F3/D19+B3)*(D19*F4+B4-F4))</f>
        <v>750</v>
      </c>
      <c r="F18" s="28">
        <f>D18</f>
        <v>750</v>
      </c>
    </row>
    <row r="19" spans="3:6" x14ac:dyDescent="0.25">
      <c r="C19" t="s">
        <v>34</v>
      </c>
      <c r="D19">
        <v>1</v>
      </c>
      <c r="E19">
        <f>F3/B3*(B4-F4)/F4</f>
        <v>0.8666666666666667</v>
      </c>
    </row>
  </sheetData>
  <pageMargins left="0.7" right="0.7" top="0.75" bottom="0.75" header="0.3" footer="0.3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"/>
  <sheetViews>
    <sheetView tabSelected="1" zoomScale="130" zoomScaleNormal="130" workbookViewId="0">
      <selection activeCell="N40" sqref="N40"/>
    </sheetView>
  </sheetViews>
  <sheetFormatPr defaultRowHeight="15" x14ac:dyDescent="0.25"/>
  <cols>
    <col min="1" max="1" width="14.7109375" customWidth="1"/>
    <col min="5" max="5" width="13.5703125" customWidth="1"/>
    <col min="14" max="14" width="11.28515625" customWidth="1"/>
  </cols>
  <sheetData>
    <row r="1" spans="1:10" ht="15.75" thickBot="1" x14ac:dyDescent="0.3">
      <c r="A1" s="3" t="s">
        <v>38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13"/>
    </row>
    <row r="2" spans="1:10" ht="15.75" thickBot="1" x14ac:dyDescent="0.3">
      <c r="A2" s="5" t="s">
        <v>39</v>
      </c>
      <c r="B2" s="5">
        <v>250</v>
      </c>
      <c r="C2" s="6">
        <v>350</v>
      </c>
      <c r="D2" s="6">
        <v>400</v>
      </c>
      <c r="E2" s="6">
        <v>150</v>
      </c>
      <c r="F2" s="6">
        <v>50</v>
      </c>
      <c r="G2" s="6">
        <v>200</v>
      </c>
      <c r="H2" s="6">
        <v>250</v>
      </c>
      <c r="I2" s="6">
        <v>100</v>
      </c>
      <c r="J2" s="14"/>
    </row>
    <row r="3" spans="1:10" ht="15.75" thickBot="1" x14ac:dyDescent="0.3">
      <c r="A3" s="5" t="s">
        <v>40</v>
      </c>
      <c r="B3" s="5">
        <v>200</v>
      </c>
      <c r="C3" s="6">
        <v>200</v>
      </c>
      <c r="D3" s="6">
        <v>50</v>
      </c>
      <c r="E3" s="6">
        <v>210</v>
      </c>
      <c r="F3" s="6">
        <v>330</v>
      </c>
      <c r="G3" s="6">
        <v>180</v>
      </c>
      <c r="H3" s="6">
        <v>80</v>
      </c>
      <c r="I3" s="6">
        <v>250</v>
      </c>
      <c r="J3" s="14"/>
    </row>
    <row r="6" spans="1:10" x14ac:dyDescent="0.25">
      <c r="B6">
        <f>AVERAGE(B2:I2)</f>
        <v>218.75</v>
      </c>
      <c r="E6" s="35">
        <f>_xlfn.STDEV.S(B2:I2)</f>
        <v>119.33596033288302</v>
      </c>
      <c r="H6">
        <f>CORREL(B2:I2,B3:I3)</f>
        <v>-0.79452720039958591</v>
      </c>
    </row>
    <row r="7" spans="1:10" x14ac:dyDescent="0.25">
      <c r="B7">
        <f>AVERAGE(B3:I3)</f>
        <v>187.5</v>
      </c>
      <c r="E7" s="35">
        <f>_xlfn.STDEV.S(B3:I3)</f>
        <v>89.082626172078506</v>
      </c>
      <c r="H7" s="34" t="s">
        <v>82</v>
      </c>
    </row>
    <row r="9" spans="1:10" ht="15.75" thickBot="1" x14ac:dyDescent="0.3"/>
    <row r="10" spans="1:10" ht="15.75" thickBot="1" x14ac:dyDescent="0.3">
      <c r="A10" s="3" t="s">
        <v>38</v>
      </c>
      <c r="B10" s="3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</row>
    <row r="11" spans="1:10" ht="15.75" thickBot="1" x14ac:dyDescent="0.3">
      <c r="A11" s="32" t="s">
        <v>64</v>
      </c>
      <c r="B11" s="32">
        <f>SUM(B2:B3)</f>
        <v>450</v>
      </c>
      <c r="C11" s="33">
        <f>SUM(C2:C3)</f>
        <v>550</v>
      </c>
      <c r="D11" s="33">
        <f t="shared" ref="D11:I11" si="0">SUM(D2:D3)</f>
        <v>450</v>
      </c>
      <c r="E11" s="33">
        <f t="shared" si="0"/>
        <v>360</v>
      </c>
      <c r="F11" s="33">
        <f t="shared" si="0"/>
        <v>380</v>
      </c>
      <c r="G11" s="33">
        <f t="shared" si="0"/>
        <v>380</v>
      </c>
      <c r="H11" s="33">
        <f t="shared" si="0"/>
        <v>330</v>
      </c>
      <c r="I11" s="33">
        <f t="shared" si="0"/>
        <v>350</v>
      </c>
    </row>
    <row r="13" spans="1:10" x14ac:dyDescent="0.25">
      <c r="B13">
        <f>AVERAGE(B11:I11)</f>
        <v>406.25</v>
      </c>
      <c r="E13">
        <f>_xlfn.STDEV.S(B11:I11)</f>
        <v>72.690636064272894</v>
      </c>
    </row>
    <row r="16" spans="1:10" x14ac:dyDescent="0.25">
      <c r="A16" t="s">
        <v>63</v>
      </c>
      <c r="C16">
        <f>(88-55)/(88-30)</f>
        <v>0.56896551724137934</v>
      </c>
    </row>
    <row r="18" spans="1:5" x14ac:dyDescent="0.25">
      <c r="A18" t="s">
        <v>42</v>
      </c>
    </row>
    <row r="19" spans="1:5" x14ac:dyDescent="0.25">
      <c r="C19" t="s">
        <v>39</v>
      </c>
      <c r="D19" t="s">
        <v>40</v>
      </c>
    </row>
    <row r="20" spans="1:5" x14ac:dyDescent="0.25">
      <c r="B20" t="s">
        <v>43</v>
      </c>
      <c r="C20">
        <f>(88-55)/(88-30)</f>
        <v>0.56896551724137934</v>
      </c>
      <c r="D20">
        <f>(88-55)/(88-30)</f>
        <v>0.56896551724137934</v>
      </c>
    </row>
    <row r="21" spans="1:5" x14ac:dyDescent="0.25">
      <c r="B21" t="s">
        <v>83</v>
      </c>
      <c r="C21">
        <f>NORMINV(C20,0,1)</f>
        <v>0.17374106191177294</v>
      </c>
      <c r="D21">
        <f>NORMINV(D20,0,1)</f>
        <v>0.17374106191177294</v>
      </c>
    </row>
    <row r="22" spans="1:5" x14ac:dyDescent="0.25">
      <c r="B22" s="1" t="s">
        <v>44</v>
      </c>
      <c r="C22" s="1">
        <f>B6+C21*E6</f>
        <v>239.4835564724963</v>
      </c>
      <c r="D22" s="1">
        <f>B7+D21*E7</f>
        <v>202.97731006902643</v>
      </c>
    </row>
    <row r="24" spans="1:5" x14ac:dyDescent="0.25">
      <c r="A24" t="s">
        <v>45</v>
      </c>
    </row>
    <row r="25" spans="1:5" x14ac:dyDescent="0.25">
      <c r="C25" t="s">
        <v>39</v>
      </c>
      <c r="D25" t="s">
        <v>40</v>
      </c>
    </row>
    <row r="26" spans="1:5" x14ac:dyDescent="0.25">
      <c r="B26" t="s">
        <v>84</v>
      </c>
      <c r="C26">
        <f>NORMDIST(C21,0,1,0)-C21*(1-NORMDIST(C21,0,1,1))</f>
        <v>0.31807787584810099</v>
      </c>
      <c r="D26">
        <f>NORMDIST(D21,0,1,0)-D21*(1-NORMDIST(D21,0,1,1))</f>
        <v>0.31807787584810099</v>
      </c>
    </row>
    <row r="27" spans="1:5" x14ac:dyDescent="0.25">
      <c r="B27" t="s">
        <v>46</v>
      </c>
      <c r="C27">
        <f>E6*C26</f>
        <v>37.958128774976672</v>
      </c>
      <c r="D27">
        <f>E7*D26</f>
        <v>28.33521250778518</v>
      </c>
    </row>
    <row r="28" spans="1:5" x14ac:dyDescent="0.25">
      <c r="B28" t="s">
        <v>47</v>
      </c>
      <c r="C28" s="7">
        <f>B6-C27</f>
        <v>180.79187122502333</v>
      </c>
      <c r="D28" s="7">
        <f>B7-D27</f>
        <v>159.16478749221483</v>
      </c>
    </row>
    <row r="29" spans="1:5" x14ac:dyDescent="0.25">
      <c r="B29" t="s">
        <v>48</v>
      </c>
      <c r="C29" s="7">
        <f>C22-C28</f>
        <v>58.691685247472975</v>
      </c>
      <c r="D29" s="7">
        <f>D22-D28</f>
        <v>43.812522576811602</v>
      </c>
    </row>
    <row r="30" spans="1:5" x14ac:dyDescent="0.25">
      <c r="B30" t="s">
        <v>49</v>
      </c>
      <c r="C30" s="7">
        <f>-55*C22+88*C28+30*C29</f>
        <v>4498.8396192389446</v>
      </c>
      <c r="D30" s="7">
        <f>-55*D22+88*D28+30*D29</f>
        <v>4157.1249228227989</v>
      </c>
    </row>
    <row r="32" spans="1:5" x14ac:dyDescent="0.25">
      <c r="B32" t="s">
        <v>50</v>
      </c>
      <c r="D32" s="24">
        <f>C30+D30</f>
        <v>8655.9645420617435</v>
      </c>
      <c r="E32" s="7"/>
    </row>
    <row r="34" spans="1:5" x14ac:dyDescent="0.25">
      <c r="A34" s="1" t="s">
        <v>51</v>
      </c>
    </row>
    <row r="35" spans="1:5" x14ac:dyDescent="0.25">
      <c r="A35" s="15" t="s">
        <v>41</v>
      </c>
      <c r="B35" s="17">
        <v>88</v>
      </c>
    </row>
    <row r="36" spans="1:5" x14ac:dyDescent="0.25">
      <c r="A36" s="18" t="s">
        <v>52</v>
      </c>
      <c r="B36" s="20">
        <v>50</v>
      </c>
    </row>
    <row r="37" spans="1:5" x14ac:dyDescent="0.25">
      <c r="A37" s="18" t="s">
        <v>53</v>
      </c>
      <c r="B37" s="20">
        <v>5</v>
      </c>
    </row>
    <row r="38" spans="1:5" x14ac:dyDescent="0.25">
      <c r="A38" s="21" t="s">
        <v>66</v>
      </c>
      <c r="B38" s="23">
        <v>29</v>
      </c>
    </row>
    <row r="41" spans="1:5" x14ac:dyDescent="0.25">
      <c r="C41" s="7">
        <f>B13</f>
        <v>406.25</v>
      </c>
      <c r="D41">
        <f>B6+B7</f>
        <v>406.25</v>
      </c>
    </row>
    <row r="42" spans="1:5" x14ac:dyDescent="0.25">
      <c r="C42">
        <f>E13</f>
        <v>72.690636064272894</v>
      </c>
      <c r="D42">
        <f>SQRT(E6^2+2*H6*E6*E7+E7^2)</f>
        <v>72.690636064272894</v>
      </c>
    </row>
    <row r="46" spans="1:5" x14ac:dyDescent="0.25">
      <c r="A46" t="s">
        <v>54</v>
      </c>
      <c r="C46">
        <f>B35-B36-B37</f>
        <v>33</v>
      </c>
      <c r="E46" t="s">
        <v>85</v>
      </c>
    </row>
    <row r="47" spans="1:5" x14ac:dyDescent="0.25">
      <c r="A47" t="s">
        <v>55</v>
      </c>
      <c r="C47">
        <f>B36-B38</f>
        <v>21</v>
      </c>
      <c r="E47" t="s">
        <v>86</v>
      </c>
    </row>
    <row r="48" spans="1:5" x14ac:dyDescent="0.25">
      <c r="A48" t="s">
        <v>43</v>
      </c>
      <c r="C48">
        <f>C46/(C46+C47)</f>
        <v>0.61111111111111116</v>
      </c>
    </row>
    <row r="49" spans="1:11" x14ac:dyDescent="0.25">
      <c r="A49" t="s">
        <v>83</v>
      </c>
      <c r="C49">
        <f>NORMINV(C48,0,1)</f>
        <v>0.28221614706250825</v>
      </c>
    </row>
    <row r="50" spans="1:11" x14ac:dyDescent="0.25">
      <c r="A50" s="1" t="s">
        <v>44</v>
      </c>
      <c r="B50" s="1"/>
      <c r="C50" s="1">
        <f>C41+C49*C42</f>
        <v>426.76447123758209</v>
      </c>
      <c r="E50" t="s">
        <v>65</v>
      </c>
    </row>
    <row r="52" spans="1:11" x14ac:dyDescent="0.25">
      <c r="A52" t="s">
        <v>84</v>
      </c>
      <c r="C52">
        <f>NORMDIST(C49,0,1,0)-C49*(1-NORMDIST(C49,0,1,1))</f>
        <v>0.27361666488681513</v>
      </c>
      <c r="E52" s="15" t="s">
        <v>67</v>
      </c>
      <c r="F52" s="16"/>
      <c r="G52" s="16"/>
      <c r="H52" s="16"/>
      <c r="I52" s="16"/>
      <c r="J52" s="16"/>
      <c r="K52" s="17"/>
    </row>
    <row r="53" spans="1:11" x14ac:dyDescent="0.25">
      <c r="A53" t="s">
        <v>46</v>
      </c>
      <c r="C53">
        <f>C42*C52</f>
        <v>19.889369408407596</v>
      </c>
      <c r="E53" s="18"/>
      <c r="F53" s="19"/>
      <c r="G53" s="19"/>
      <c r="H53" s="19"/>
      <c r="I53" s="19"/>
      <c r="J53" s="19"/>
      <c r="K53" s="20"/>
    </row>
    <row r="54" spans="1:11" x14ac:dyDescent="0.25">
      <c r="A54" t="s">
        <v>47</v>
      </c>
      <c r="C54" s="7">
        <f>C41-C53</f>
        <v>386.36063059159238</v>
      </c>
      <c r="E54" s="18"/>
      <c r="F54" s="19"/>
      <c r="G54" s="19"/>
      <c r="H54" s="19"/>
      <c r="I54" s="19"/>
      <c r="J54" s="19"/>
      <c r="K54" s="20"/>
    </row>
    <row r="55" spans="1:11" x14ac:dyDescent="0.25">
      <c r="A55" t="s">
        <v>48</v>
      </c>
      <c r="C55" s="7">
        <f>C50-C54</f>
        <v>40.403840645989703</v>
      </c>
      <c r="E55" s="18"/>
      <c r="F55" s="19"/>
      <c r="G55" s="19"/>
      <c r="H55" s="19"/>
      <c r="I55" s="19"/>
      <c r="J55" s="19"/>
      <c r="K55" s="20"/>
    </row>
    <row r="56" spans="1:11" x14ac:dyDescent="0.25">
      <c r="A56" t="s">
        <v>49</v>
      </c>
      <c r="C56" s="25">
        <f>(88-55)*C54+(29-50)*C55</f>
        <v>11901.420155956765</v>
      </c>
      <c r="E56" s="18"/>
      <c r="F56" s="19"/>
      <c r="G56" s="19"/>
      <c r="H56" s="19"/>
      <c r="I56" s="19"/>
      <c r="J56" s="19"/>
      <c r="K56" s="20"/>
    </row>
    <row r="57" spans="1:11" x14ac:dyDescent="0.25">
      <c r="E57" s="18" t="s">
        <v>68</v>
      </c>
      <c r="F57" s="19"/>
      <c r="G57" s="19"/>
      <c r="H57" s="19"/>
      <c r="I57" s="19"/>
      <c r="J57" s="19"/>
      <c r="K57" s="20"/>
    </row>
    <row r="58" spans="1:11" x14ac:dyDescent="0.25">
      <c r="E58" s="18"/>
      <c r="F58" s="19"/>
      <c r="G58" s="19"/>
      <c r="H58" s="19"/>
      <c r="I58" s="19"/>
      <c r="J58" s="19"/>
      <c r="K58" s="20"/>
    </row>
    <row r="59" spans="1:11" x14ac:dyDescent="0.25">
      <c r="E59" s="18"/>
      <c r="F59" s="19"/>
      <c r="G59" s="19"/>
      <c r="H59" s="19"/>
      <c r="I59" s="19"/>
      <c r="J59" s="19"/>
      <c r="K59" s="20"/>
    </row>
    <row r="60" spans="1:11" x14ac:dyDescent="0.25">
      <c r="E60" s="21"/>
      <c r="F60" s="22"/>
      <c r="G60" s="22"/>
      <c r="H60" s="22"/>
      <c r="I60" s="22"/>
      <c r="J60" s="22"/>
      <c r="K60" s="23"/>
    </row>
    <row r="62" spans="1:11" x14ac:dyDescent="0.25">
      <c r="A62" s="26" t="s">
        <v>56</v>
      </c>
      <c r="B62" s="27">
        <f>C56-D32</f>
        <v>3245.4556138950211</v>
      </c>
      <c r="D62" t="s">
        <v>57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4</xdr:col>
                <xdr:colOff>0</xdr:colOff>
                <xdr:row>52</xdr:row>
                <xdr:rowOff>38100</xdr:rowOff>
              </from>
              <to>
                <xdr:col>8</xdr:col>
                <xdr:colOff>266700</xdr:colOff>
                <xdr:row>53</xdr:row>
                <xdr:rowOff>133350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4</xdr:col>
                <xdr:colOff>0</xdr:colOff>
                <xdr:row>53</xdr:row>
                <xdr:rowOff>161925</xdr:rowOff>
              </from>
              <to>
                <xdr:col>6</xdr:col>
                <xdr:colOff>390525</xdr:colOff>
                <xdr:row>55</xdr:row>
                <xdr:rowOff>85725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</vt:lpstr>
      <vt:lpstr>Exercise 2a)</vt:lpstr>
      <vt:lpstr>Exercise 2b)c)</vt:lpstr>
      <vt:lpstr>Exercise 2d)</vt:lpstr>
      <vt:lpstr>Exercise 3</vt:lpstr>
      <vt:lpstr>Exercise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Anna-Lena</dc:creator>
  <cp:lastModifiedBy>pradmin</cp:lastModifiedBy>
  <cp:lastPrinted>2015-06-16T07:58:15Z</cp:lastPrinted>
  <dcterms:created xsi:type="dcterms:W3CDTF">2012-07-02T13:01:16Z</dcterms:created>
  <dcterms:modified xsi:type="dcterms:W3CDTF">2024-06-19T11:05:53Z</dcterms:modified>
</cp:coreProperties>
</file>