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mde-my.sharepoint.com/personal/patrick_helm_tum_de/Documents/Teaching/InvMan/Trial_Exam/Solutions_Moodle/"/>
    </mc:Choice>
  </mc:AlternateContent>
  <xr:revisionPtr revIDLastSave="12" documentId="13_ncr:1_{9DE78E90-187A-4B4F-9F74-7EDE6F8344A8}" xr6:coauthVersionLast="47" xr6:coauthVersionMax="47" xr10:uidLastSave="{82B59FFC-F9CC-4208-A294-CE4DC0A0D245}"/>
  <bookViews>
    <workbookView xWindow="-9765" yWindow="-16515" windowWidth="38730" windowHeight="15810" activeTab="2" xr2:uid="{00000000-000D-0000-FFFF-FFFF00000000}"/>
  </bookViews>
  <sheets>
    <sheet name="Question1" sheetId="1" r:id="rId1"/>
    <sheet name="Question2" sheetId="4" r:id="rId2"/>
    <sheet name="Question3" sheetId="3" r:id="rId3"/>
    <sheet name="Question 4" sheetId="2" r:id="rId4"/>
  </sheets>
  <definedNames>
    <definedName name="solver_adj" localSheetId="2" hidden="1">Question3!#REF!</definedName>
    <definedName name="solver_cvg" localSheetId="2" hidden="1">"""""""""""""""""""""""""""""""0,0001"""""""""""""""""""""""""""""""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Question3!#REF!</definedName>
    <definedName name="solver_lhs2" localSheetId="2" hidden="1">Question3!#REF!</definedName>
    <definedName name="solver_lhs3" localSheetId="2" hidden="1">Question3!#REF!</definedName>
    <definedName name="solver_mip" localSheetId="2" hidden="1">2147483647</definedName>
    <definedName name="solver_mni" localSheetId="2" hidden="1">30</definedName>
    <definedName name="solver_mrt" localSheetId="2" hidden="1">"""""""""""""""""""""""""""""""0,075"""""""""""""""""""""""""""""""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Question3!#REF!</definedName>
    <definedName name="solver_pre" localSheetId="2" hidden="1">"""""""""""""""""""""""""""""""0,000001"""""""""""""""""""""""""""""""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el3" localSheetId="2" hidden="1">1</definedName>
    <definedName name="solver_rhs1" localSheetId="2" hidden="1">Question3!#REF!</definedName>
    <definedName name="solver_rhs2" localSheetId="2" hidden="1">Question3!#REF!</definedName>
    <definedName name="solver_rhs3" localSheetId="2" hidden="1">Question3!#REF!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23" i="2"/>
  <c r="D23" i="2"/>
  <c r="E23" i="2"/>
  <c r="F23" i="2"/>
  <c r="G23" i="2"/>
  <c r="B23" i="2"/>
  <c r="D20" i="2"/>
  <c r="E20" i="2" s="1"/>
  <c r="F20" i="2" s="1"/>
  <c r="G20" i="2" s="1"/>
  <c r="C20" i="2"/>
  <c r="C22" i="2" s="1"/>
  <c r="B22" i="2"/>
  <c r="I32" i="3"/>
  <c r="E40" i="4"/>
  <c r="B40" i="4"/>
  <c r="E32" i="4"/>
  <c r="E33" i="4"/>
  <c r="E30" i="4"/>
  <c r="B30" i="4"/>
  <c r="B40" i="1"/>
  <c r="E7" i="4"/>
  <c r="E6" i="4"/>
  <c r="F20" i="4"/>
  <c r="C20" i="4"/>
  <c r="E28" i="4" l="1"/>
  <c r="B28" i="4"/>
  <c r="B33" i="4" s="1"/>
  <c r="J18" i="2"/>
  <c r="I18" i="3"/>
  <c r="E15" i="2"/>
  <c r="C10" i="2" l="1"/>
  <c r="C9" i="2"/>
  <c r="D9" i="2" s="1"/>
  <c r="B10" i="2"/>
  <c r="B9" i="2"/>
  <c r="B27" i="4"/>
  <c r="B21" i="1"/>
  <c r="D10" i="2" l="1"/>
  <c r="B39" i="1"/>
  <c r="G29" i="3" l="1"/>
  <c r="E12" i="3"/>
  <c r="E23" i="3" s="1"/>
  <c r="D12" i="3"/>
  <c r="B38" i="4"/>
  <c r="G12" i="3" l="1"/>
  <c r="D23" i="3"/>
  <c r="E41" i="4"/>
  <c r="E42" i="4"/>
  <c r="G23" i="3"/>
  <c r="B49" i="1" l="1"/>
  <c r="B48" i="1"/>
  <c r="C41" i="1"/>
  <c r="C42" i="1" s="1"/>
  <c r="B41" i="1"/>
  <c r="B42" i="1" s="1"/>
  <c r="B43" i="1" s="1"/>
  <c r="C39" i="1"/>
  <c r="B52" i="1" s="1"/>
  <c r="B34" i="1"/>
  <c r="B35" i="1" s="1"/>
  <c r="C15" i="1"/>
  <c r="C14" i="1"/>
  <c r="F10" i="1"/>
  <c r="E9" i="1"/>
  <c r="F9" i="1" s="1"/>
  <c r="E8" i="1"/>
  <c r="C43" i="1" l="1"/>
  <c r="C44" i="1"/>
  <c r="B44" i="1"/>
  <c r="B50" i="1"/>
  <c r="I18" i="2"/>
  <c r="H18" i="2"/>
  <c r="D14" i="3"/>
  <c r="D24" i="3" s="1"/>
  <c r="R39" i="2" l="1"/>
  <c r="E27" i="4" l="1"/>
  <c r="E29" i="4" s="1"/>
  <c r="B41" i="4" l="1"/>
  <c r="B42" i="4"/>
  <c r="E49" i="4"/>
  <c r="E50" i="4" s="1"/>
  <c r="B29" i="4"/>
  <c r="B32" i="4" s="1"/>
  <c r="E14" i="3"/>
  <c r="C14" i="3"/>
  <c r="K18" i="3"/>
  <c r="J18" i="3"/>
  <c r="J16" i="3"/>
  <c r="I16" i="3"/>
  <c r="J11" i="3"/>
  <c r="I11" i="3"/>
  <c r="J19" i="3" l="1"/>
  <c r="I22" i="3" s="1"/>
  <c r="I13" i="3"/>
  <c r="B49" i="4"/>
  <c r="B50" i="4" s="1"/>
  <c r="G14" i="3"/>
  <c r="E24" i="3"/>
  <c r="G24" i="3" s="1"/>
  <c r="J28" i="3" l="1"/>
  <c r="I30" i="3"/>
  <c r="I28" i="3"/>
  <c r="J30" i="3"/>
  <c r="I26" i="3"/>
  <c r="C24" i="2"/>
  <c r="B28" i="2"/>
  <c r="L30" i="3" l="1"/>
  <c r="C26" i="2"/>
  <c r="C28" i="2" s="1"/>
  <c r="S52" i="2"/>
  <c r="S54" i="2" s="1"/>
  <c r="X50" i="2"/>
  <c r="W50" i="2"/>
  <c r="R41" i="2"/>
  <c r="X37" i="2"/>
  <c r="W37" i="2"/>
  <c r="D22" i="2" l="1"/>
  <c r="E22" i="2"/>
  <c r="R42" i="2"/>
  <c r="S55" i="2"/>
  <c r="S39" i="2"/>
  <c r="T52" i="2"/>
  <c r="T54" i="2" s="1"/>
  <c r="T55" i="2" s="1"/>
  <c r="F22" i="2" l="1"/>
  <c r="X55" i="2"/>
  <c r="W55" i="2"/>
  <c r="S57" i="2"/>
  <c r="R44" i="2"/>
  <c r="S41" i="2"/>
  <c r="T39" i="2"/>
  <c r="T41" i="2" s="1"/>
  <c r="E24" i="2" l="1"/>
  <c r="D24" i="2"/>
  <c r="S59" i="2"/>
  <c r="T57" i="2"/>
  <c r="T59" i="2" s="1"/>
  <c r="T42" i="2"/>
  <c r="S42" i="2"/>
  <c r="S44" i="2" s="1"/>
  <c r="R46" i="2"/>
  <c r="R47" i="2" s="1"/>
  <c r="G24" i="2" l="1"/>
  <c r="G22" i="2"/>
  <c r="F24" i="2"/>
  <c r="D26" i="2"/>
  <c r="S46" i="2"/>
  <c r="S47" i="2" s="1"/>
  <c r="T44" i="2"/>
  <c r="T46" i="2" s="1"/>
  <c r="T60" i="2"/>
  <c r="S60" i="2"/>
  <c r="X42" i="2"/>
  <c r="W42" i="2"/>
  <c r="C29" i="2"/>
  <c r="J24" i="2" l="1"/>
  <c r="H24" i="2"/>
  <c r="I24" i="2"/>
  <c r="D28" i="2"/>
  <c r="D29" i="2" s="1"/>
  <c r="E26" i="2"/>
  <c r="T47" i="2"/>
  <c r="W47" i="2" s="1"/>
  <c r="X60" i="2"/>
  <c r="W60" i="2"/>
  <c r="X47" i="2" l="1"/>
  <c r="E28" i="2"/>
  <c r="E29" i="2" s="1"/>
  <c r="F26" i="2"/>
  <c r="F28" i="2" l="1"/>
  <c r="G26" i="2"/>
  <c r="G28" i="2" s="1"/>
  <c r="G29" i="2" l="1"/>
  <c r="F29" i="2"/>
  <c r="J29" i="2" l="1"/>
  <c r="H29" i="2"/>
  <c r="I29" i="2"/>
</calcChain>
</file>

<file path=xl/sharedStrings.xml><?xml version="1.0" encoding="utf-8"?>
<sst xmlns="http://schemas.openxmlformats.org/spreadsheetml/2006/main" count="219" uniqueCount="148">
  <si>
    <t>D</t>
  </si>
  <si>
    <t>A</t>
  </si>
  <si>
    <t>c</t>
  </si>
  <si>
    <t>i</t>
  </si>
  <si>
    <t>Q*</t>
  </si>
  <si>
    <t>b)</t>
  </si>
  <si>
    <t>c)</t>
  </si>
  <si>
    <t>Q</t>
  </si>
  <si>
    <t>not feasible</t>
  </si>
  <si>
    <t>Cost</t>
  </si>
  <si>
    <t>d)</t>
  </si>
  <si>
    <t>e)</t>
  </si>
  <si>
    <t>T*</t>
  </si>
  <si>
    <t>mean</t>
  </si>
  <si>
    <t>stdv</t>
  </si>
  <si>
    <t>Demand</t>
  </si>
  <si>
    <t>Retailer</t>
  </si>
  <si>
    <t>mu</t>
  </si>
  <si>
    <t>sigma</t>
  </si>
  <si>
    <t>SR</t>
  </si>
  <si>
    <t>qR</t>
  </si>
  <si>
    <t>Wholesaler</t>
  </si>
  <si>
    <t>SW</t>
  </si>
  <si>
    <t>qW</t>
  </si>
  <si>
    <t>Product</t>
  </si>
  <si>
    <t>d</t>
  </si>
  <si>
    <t>h</t>
  </si>
  <si>
    <t>a</t>
  </si>
  <si>
    <t>Common cycle model</t>
  </si>
  <si>
    <t>Solution with Lagrange</t>
  </si>
  <si>
    <t>ai*aj*di*dj</t>
  </si>
  <si>
    <t>W</t>
  </si>
  <si>
    <t>λ</t>
  </si>
  <si>
    <t>t</t>
  </si>
  <si>
    <t xml:space="preserve">W= </t>
  </si>
  <si>
    <t>W=</t>
  </si>
  <si>
    <t xml:space="preserve">price: </t>
  </si>
  <si>
    <t>g)</t>
  </si>
  <si>
    <t>Order quantity</t>
  </si>
  <si>
    <t>mean(annual)</t>
  </si>
  <si>
    <t>st(weekly)</t>
  </si>
  <si>
    <t>Lead Time (in weeks)</t>
  </si>
  <si>
    <t>purchase cost (euro/unit)</t>
  </si>
  <si>
    <t>penalty cost (per unit short)</t>
  </si>
  <si>
    <t>Existing</t>
  </si>
  <si>
    <t>L</t>
  </si>
  <si>
    <t>New Offer</t>
  </si>
  <si>
    <t>beta</t>
  </si>
  <si>
    <t>G(z)</t>
  </si>
  <si>
    <t>z</t>
  </si>
  <si>
    <t>(1-beta)Q</t>
  </si>
  <si>
    <t>SS</t>
  </si>
  <si>
    <t>TableLookup</t>
  </si>
  <si>
    <t>Expected
stockouts</t>
  </si>
  <si>
    <t>alpha</t>
  </si>
  <si>
    <t>ReorderPoint</t>
  </si>
  <si>
    <t>f)</t>
  </si>
  <si>
    <t>p</t>
  </si>
  <si>
    <t>CR</t>
  </si>
  <si>
    <t>B</t>
  </si>
  <si>
    <t>y</t>
  </si>
  <si>
    <t>ELS</t>
  </si>
  <si>
    <t xml:space="preserve">mu </t>
  </si>
  <si>
    <t xml:space="preserve">sigma </t>
  </si>
  <si>
    <t>ES</t>
  </si>
  <si>
    <t>ELO</t>
  </si>
  <si>
    <t>EP</t>
  </si>
  <si>
    <t>&lt;---Order 500</t>
  </si>
  <si>
    <t>Lead Time (months)</t>
  </si>
  <si>
    <t>Lead Time (years)</t>
  </si>
  <si>
    <t>&lt;---Order when 100 units are remanining</t>
  </si>
  <si>
    <t>g</t>
  </si>
  <si>
    <t>&lt;---Order quantities</t>
  </si>
  <si>
    <t>z (table)</t>
  </si>
  <si>
    <t>z (exact)</t>
  </si>
  <si>
    <t>G(0.53) (table)</t>
  </si>
  <si>
    <t>&lt;---Profit</t>
  </si>
  <si>
    <t>&lt;---Joint order quantity</t>
  </si>
  <si>
    <t>coefficient of correlation</t>
  </si>
  <si>
    <t>safety stock</t>
  </si>
  <si>
    <t>Cost(yearly)</t>
  </si>
  <si>
    <t>Cost(weekly)</t>
  </si>
  <si>
    <t>Cost (λ=0)</t>
  </si>
  <si>
    <t>Cost (λ=1)</t>
  </si>
  <si>
    <t xml:space="preserve">Total </t>
  </si>
  <si>
    <t>--&gt;space</t>
  </si>
  <si>
    <t>--&gt;</t>
  </si>
  <si>
    <t>T_unc</t>
  </si>
  <si>
    <t>T_cons</t>
  </si>
  <si>
    <t>–Increasing variability of demand/orders when moving upstream the supply chain</t>
  </si>
  <si>
    <t>Q*_1</t>
  </si>
  <si>
    <t>Q*_2</t>
  </si>
  <si>
    <t>c) All-unit Quantity Discounts</t>
  </si>
  <si>
    <t>q_2</t>
  </si>
  <si>
    <t>c1 (q &lt; 500)</t>
  </si>
  <si>
    <t>c2 (q &gt;= 500)</t>
  </si>
  <si>
    <t>Portfolio-Effect</t>
  </si>
  <si>
    <t>y'</t>
  </si>
  <si>
    <t>Inventory control: with constant lead time and aggregated demand</t>
  </si>
  <si>
    <t>alpha (non-stockout probability)</t>
  </si>
  <si>
    <t>sigma*sqrt(L)</t>
  </si>
  <si>
    <t>e) Reorder point</t>
  </si>
  <si>
    <t>2/12</t>
  </si>
  <si>
    <t>Deterministic demand</t>
  </si>
  <si>
    <t>Expected demand during Lead Time</t>
  </si>
  <si>
    <t>600/year</t>
  </si>
  <si>
    <t>y_A + y_B</t>
  </si>
  <si>
    <t>&lt;---Sum of individual order quantity</t>
  </si>
  <si>
    <t>Continuous review</t>
  </si>
  <si>
    <t>==&gt;</t>
  </si>
  <si>
    <t>(s,Q)</t>
  </si>
  <si>
    <t>vs.</t>
  </si>
  <si>
    <t>Trade-off</t>
  </si>
  <si>
    <t>Overage (with SS)</t>
  </si>
  <si>
    <t>Underage (stockout)</t>
  </si>
  <si>
    <t>exp. stockouts</t>
  </si>
  <si>
    <t>Case 1: no capacity constraint</t>
  </si>
  <si>
    <t>Case 2: constrainted</t>
  </si>
  <si>
    <t>λ = 1,2,3..</t>
  </si>
  <si>
    <t xml:space="preserve">Cost savings in case 1 compared to case 2 </t>
  </si>
  <si>
    <t xml:space="preserve">C= </t>
  </si>
  <si>
    <t>h*d</t>
  </si>
  <si>
    <t>a*d</t>
  </si>
  <si>
    <t>a) XYZ analysis</t>
  </si>
  <si>
    <t>Slide 27</t>
  </si>
  <si>
    <t>Product A</t>
  </si>
  <si>
    <t>Product B</t>
  </si>
  <si>
    <t>CV</t>
  </si>
  <si>
    <t>X-item</t>
  </si>
  <si>
    <t>Z-item</t>
  </si>
  <si>
    <t xml:space="preserve">(d)-(f) Adaptive Planning </t>
  </si>
  <si>
    <t>Non-stockout SL</t>
  </si>
  <si>
    <t>Variance</t>
  </si>
  <si>
    <t>more periods without demand than with demand</t>
  </si>
  <si>
    <t>1) calculate unconstraint case</t>
  </si>
  <si>
    <t>3) choose minimum T of 1) and 2)</t>
  </si>
  <si>
    <r>
      <t>Q</t>
    </r>
    <r>
      <rPr>
        <i/>
        <vertAlign val="subscript"/>
        <sz val="16"/>
        <color rgb="FF000000"/>
        <rFont val="Calibri"/>
        <family val="2"/>
        <scheme val="minor"/>
      </rPr>
      <t>i</t>
    </r>
    <r>
      <rPr>
        <sz val="16"/>
        <color rgb="FF000000"/>
        <rFont val="Calibri"/>
        <family val="2"/>
        <scheme val="minor"/>
      </rPr>
      <t>=</t>
    </r>
    <r>
      <rPr>
        <i/>
        <sz val="16"/>
        <color rgb="FF000000"/>
        <rFont val="Calibri"/>
        <family val="2"/>
        <scheme val="minor"/>
      </rPr>
      <t>d</t>
    </r>
    <r>
      <rPr>
        <i/>
        <vertAlign val="subscript"/>
        <sz val="16"/>
        <color rgb="FF000000"/>
        <rFont val="Calibri"/>
        <family val="2"/>
        <scheme val="minor"/>
      </rPr>
      <t>i</t>
    </r>
    <r>
      <rPr>
        <i/>
        <sz val="16"/>
        <color rgb="FF000000"/>
        <rFont val="Calibri"/>
        <family val="2"/>
        <scheme val="minor"/>
      </rPr>
      <t>T</t>
    </r>
  </si>
  <si>
    <t>2) calculate the constrainted case</t>
  </si>
  <si>
    <t>Coefficient</t>
  </si>
  <si>
    <t>t_i</t>
  </si>
  <si>
    <t>Q*_i</t>
  </si>
  <si>
    <t>y_1=Q_1-d_1*t_2</t>
  </si>
  <si>
    <t>convert to yearly</t>
  </si>
  <si>
    <t>(1-beta)Q/(sigma*sqrt(L))</t>
  </si>
  <si>
    <t>Do not accept</t>
  </si>
  <si>
    <t>SR_integer</t>
  </si>
  <si>
    <t>CV&lt;0.5</t>
  </si>
  <si>
    <t xml:space="preserve">Bullwhip Effect: Order variance increases upstream in the supply chain. Mitigation: Information Sharing, Centralized Planning,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</si>
</sst>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6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6"/>
      <color rgb="FF000000"/>
      <name val="Calibri"/>
      <family val="2"/>
      <scheme val="minor"/>
    </font>
    <font>
      <i/>
      <vertAlign val="subscript"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0000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2" borderId="0" applyNumberFormat="0" applyBorder="0" applyAlignment="0" applyProtection="0"/>
  </cellStyleXfs>
  <cellXfs count="108"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9" xfId="0" applyFont="1" applyBorder="1"/>
    <xf numFmtId="0" fontId="0" fillId="0" borderId="10" xfId="0" applyBorder="1"/>
    <xf numFmtId="0" fontId="4" fillId="0" borderId="4" xfId="0" applyFon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13" xfId="0" applyBorder="1"/>
    <xf numFmtId="0" fontId="0" fillId="0" borderId="1" xfId="0" applyBorder="1"/>
    <xf numFmtId="0" fontId="0" fillId="0" borderId="14" xfId="0" applyBorder="1" applyAlignment="1">
      <alignment horizontal="center"/>
    </xf>
    <xf numFmtId="0" fontId="0" fillId="0" borderId="7" xfId="0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1" xfId="0" applyFont="1" applyBorder="1"/>
    <xf numFmtId="0" fontId="5" fillId="0" borderId="9" xfId="0" applyFont="1" applyBorder="1"/>
    <xf numFmtId="0" fontId="6" fillId="0" borderId="12" xfId="0" applyFont="1" applyBorder="1"/>
    <xf numFmtId="0" fontId="5" fillId="0" borderId="0" xfId="0" applyFont="1"/>
    <xf numFmtId="0" fontId="6" fillId="0" borderId="11" xfId="0" applyFont="1" applyBorder="1"/>
    <xf numFmtId="0" fontId="5" fillId="0" borderId="12" xfId="0" applyFont="1" applyBorder="1"/>
    <xf numFmtId="0" fontId="6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2" fontId="5" fillId="0" borderId="21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2" xfId="0" applyBorder="1"/>
    <xf numFmtId="0" fontId="0" fillId="0" borderId="14" xfId="0" applyBorder="1"/>
    <xf numFmtId="0" fontId="0" fillId="0" borderId="8" xfId="0" applyBorder="1"/>
    <xf numFmtId="0" fontId="0" fillId="0" borderId="6" xfId="0" applyBorder="1"/>
    <xf numFmtId="2" fontId="0" fillId="0" borderId="0" xfId="0" applyNumberFormat="1"/>
    <xf numFmtId="0" fontId="0" fillId="0" borderId="25" xfId="0" applyBorder="1"/>
    <xf numFmtId="0" fontId="0" fillId="0" borderId="25" xfId="0" applyBorder="1" applyAlignment="1">
      <alignment horizontal="center"/>
    </xf>
    <xf numFmtId="0" fontId="3" fillId="0" borderId="25" xfId="0" applyFont="1" applyBorder="1"/>
    <xf numFmtId="2" fontId="0" fillId="0" borderId="25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9" fillId="0" borderId="25" xfId="0" applyFont="1" applyBorder="1"/>
    <xf numFmtId="0" fontId="9" fillId="0" borderId="25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5" xfId="0" applyFont="1" applyBorder="1"/>
    <xf numFmtId="0" fontId="4" fillId="0" borderId="0" xfId="0" applyFont="1"/>
    <xf numFmtId="1" fontId="0" fillId="0" borderId="0" xfId="0" applyNumberFormat="1"/>
    <xf numFmtId="164" fontId="0" fillId="0" borderId="0" xfId="0" applyNumberFormat="1"/>
    <xf numFmtId="0" fontId="4" fillId="0" borderId="0" xfId="0" quotePrefix="1" applyFont="1"/>
    <xf numFmtId="0" fontId="11" fillId="0" borderId="0" xfId="0" applyFont="1"/>
    <xf numFmtId="164" fontId="4" fillId="0" borderId="0" xfId="0" applyNumberFormat="1" applyFont="1"/>
    <xf numFmtId="2" fontId="2" fillId="0" borderId="0" xfId="0" applyNumberFormat="1" applyFont="1"/>
    <xf numFmtId="2" fontId="0" fillId="0" borderId="3" xfId="0" applyNumberFormat="1" applyBorder="1"/>
    <xf numFmtId="2" fontId="0" fillId="0" borderId="6" xfId="0" applyNumberFormat="1" applyBorder="1"/>
    <xf numFmtId="164" fontId="4" fillId="0" borderId="15" xfId="0" applyNumberFormat="1" applyFont="1" applyBorder="1"/>
    <xf numFmtId="0" fontId="4" fillId="0" borderId="25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2" fontId="4" fillId="0" borderId="29" xfId="0" applyNumberFormat="1" applyFont="1" applyBorder="1"/>
    <xf numFmtId="2" fontId="4" fillId="0" borderId="30" xfId="0" applyNumberFormat="1" applyFont="1" applyBorder="1"/>
    <xf numFmtId="2" fontId="4" fillId="0" borderId="31" xfId="0" applyNumberFormat="1" applyFont="1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1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0" xfId="0" applyBorder="1"/>
    <xf numFmtId="2" fontId="0" fillId="0" borderId="0" xfId="0" quotePrefix="1" applyNumberFormat="1" applyAlignment="1">
      <alignment horizontal="right"/>
    </xf>
    <xf numFmtId="0" fontId="0" fillId="0" borderId="0" xfId="0" quotePrefix="1"/>
    <xf numFmtId="0" fontId="1" fillId="0" borderId="0" xfId="0" applyFont="1"/>
    <xf numFmtId="0" fontId="1" fillId="0" borderId="29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0" borderId="25" xfId="0" applyFont="1" applyBorder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center"/>
    </xf>
    <xf numFmtId="2" fontId="17" fillId="0" borderId="0" xfId="0" applyNumberFormat="1" applyFont="1"/>
    <xf numFmtId="2" fontId="18" fillId="0" borderId="0" xfId="0" applyNumberFormat="1" applyFont="1"/>
    <xf numFmtId="0" fontId="19" fillId="0" borderId="0" xfId="1" applyFont="1" applyFill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32</xdr:row>
          <xdr:rowOff>31750</xdr:rowOff>
        </xdr:from>
        <xdr:to>
          <xdr:col>4</xdr:col>
          <xdr:colOff>31750</xdr:colOff>
          <xdr:row>35</xdr:row>
          <xdr:rowOff>0</xdr:rowOff>
        </xdr:to>
        <xdr:sp macro="" textlink="">
          <xdr:nvSpPr>
            <xdr:cNvPr id="6145" name="Object 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141847</xdr:colOff>
      <xdr:row>5</xdr:row>
      <xdr:rowOff>6785</xdr:rowOff>
    </xdr:from>
    <xdr:to>
      <xdr:col>8</xdr:col>
      <xdr:colOff>10719</xdr:colOff>
      <xdr:row>8</xdr:row>
      <xdr:rowOff>95375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5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 bwMode="auto">
            <a:xfrm>
              <a:off x="4666222" y="919598"/>
              <a:ext cx="1091247" cy="64421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n-US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𝑑𝐴</m:t>
                            </m:r>
                          </m:num>
                          <m:den>
                            <m:r>
                              <a:rPr lang="en-US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den>
                        </m:f>
                      </m:e>
                    </m:rad>
                  </m:oMath>
                </m:oMathPara>
              </a14:m>
              <a:br>
                <a:rPr lang="en-US" sz="1400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endParaRPr lang="en-US" sz="1400"/>
            </a:p>
          </xdr:txBody>
        </xdr:sp>
      </mc:Choice>
      <mc:Fallback xmlns="">
        <xdr:sp macro="" textlink="">
          <xdr:nvSpPr>
            <xdr:cNvPr id="3" name="Object 5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 bwMode="auto">
            <a:xfrm>
              <a:off x="4666222" y="919598"/>
              <a:ext cx="1091247" cy="64421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𝑄^∗=√(2𝑑𝐴/ℎ)</a:t>
              </a:r>
              <a:br>
                <a:rPr lang="en-US" sz="1400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endParaRPr lang="en-US" sz="1400"/>
            </a:p>
          </xdr:txBody>
        </xdr:sp>
      </mc:Fallback>
    </mc:AlternateContent>
    <xdr:clientData/>
  </xdr:twoCellAnchor>
  <xdr:twoCellAnchor>
    <xdr:from>
      <xdr:col>3</xdr:col>
      <xdr:colOff>601023</xdr:colOff>
      <xdr:row>1</xdr:row>
      <xdr:rowOff>171961</xdr:rowOff>
    </xdr:from>
    <xdr:to>
      <xdr:col>7</xdr:col>
      <xdr:colOff>447674</xdr:colOff>
      <xdr:row>4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 bwMode="auto">
            <a:xfrm>
              <a:off x="3291836" y="354524"/>
              <a:ext cx="2291401" cy="49955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𝑐𝑑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Objec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 bwMode="auto">
            <a:xfrm>
              <a:off x="3291836" y="354524"/>
              <a:ext cx="2291401" cy="49955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𝐶(𝑄)=𝑑/𝑄⋅𝐴+ℎ/2⋅𝑄+𝑐𝑑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5</xdr:col>
      <xdr:colOff>174468</xdr:colOff>
      <xdr:row>37</xdr:row>
      <xdr:rowOff>75446</xdr:rowOff>
    </xdr:from>
    <xdr:to>
      <xdr:col>8</xdr:col>
      <xdr:colOff>202333</xdr:colOff>
      <xdr:row>39</xdr:row>
      <xdr:rowOff>169752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4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 bwMode="auto">
            <a:xfrm>
              <a:off x="4008045" y="7073020"/>
              <a:ext cx="1852704" cy="47153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𝜇</m:t>
                    </m:r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×</m:t>
                    </m:r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6" name="Object 4"/>
            <xdr:cNvSpPr txBox="1"/>
          </xdr:nvSpPr>
          <xdr:spPr bwMode="auto">
            <a:xfrm>
              <a:off x="4008045" y="7073020"/>
              <a:ext cx="1852704" cy="47153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𝑦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=𝜇+𝑧×𝜎</a:t>
              </a:r>
              <a:endParaRPr lang="en-US" sz="1600"/>
            </a:p>
          </xdr:txBody>
        </xdr:sp>
      </mc:Fallback>
    </mc:AlternateContent>
    <xdr:clientData/>
  </xdr:twoCellAnchor>
  <xdr:twoCellAnchor editAs="oneCell">
    <xdr:from>
      <xdr:col>3</xdr:col>
      <xdr:colOff>165791</xdr:colOff>
      <xdr:row>39</xdr:row>
      <xdr:rowOff>51586</xdr:rowOff>
    </xdr:from>
    <xdr:to>
      <xdr:col>7</xdr:col>
      <xdr:colOff>579828</xdr:colOff>
      <xdr:row>41</xdr:row>
      <xdr:rowOff>68606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 l="19129"/>
        <a:stretch/>
      </xdr:blipFill>
      <xdr:spPr bwMode="auto">
        <a:xfrm>
          <a:off x="2856604" y="7187399"/>
          <a:ext cx="2855612" cy="38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551697</xdr:colOff>
      <xdr:row>40</xdr:row>
      <xdr:rowOff>160310</xdr:rowOff>
    </xdr:from>
    <xdr:to>
      <xdr:col>6</xdr:col>
      <xdr:colOff>457390</xdr:colOff>
      <xdr:row>42</xdr:row>
      <xdr:rowOff>117884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kt 9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 bwMode="auto">
            <a:xfrm>
              <a:off x="3168714" y="7723726"/>
              <a:ext cx="1730532" cy="334802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𝐸𝑆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𝜇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𝐸𝐿𝑆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nl-NL" sz="1000"/>
            </a:p>
          </xdr:txBody>
        </xdr:sp>
      </mc:Choice>
      <mc:Fallback xmlns="">
        <xdr:sp macro="" textlink="">
          <xdr:nvSpPr>
            <xdr:cNvPr id="8" name="Objekt 9"/>
            <xdr:cNvSpPr txBox="1"/>
          </xdr:nvSpPr>
          <xdr:spPr bwMode="auto">
            <a:xfrm>
              <a:off x="3168714" y="7723726"/>
              <a:ext cx="1730532" cy="334802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nl-NL" sz="1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𝐸𝑆(𝑦)=𝜇−𝐸𝐿𝑆(𝑦)</a:t>
              </a:r>
              <a:endParaRPr lang="nl-NL" sz="1000"/>
            </a:p>
          </xdr:txBody>
        </xdr:sp>
      </mc:Fallback>
    </mc:AlternateContent>
    <xdr:clientData/>
  </xdr:twoCellAnchor>
  <xdr:twoCellAnchor>
    <xdr:from>
      <xdr:col>4</xdr:col>
      <xdr:colOff>28291</xdr:colOff>
      <xdr:row>41</xdr:row>
      <xdr:rowOff>168943</xdr:rowOff>
    </xdr:from>
    <xdr:to>
      <xdr:col>6</xdr:col>
      <xdr:colOff>235767</xdr:colOff>
      <xdr:row>43</xdr:row>
      <xdr:rowOff>9431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kt 10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 bwMode="auto">
            <a:xfrm>
              <a:off x="3253588" y="7920973"/>
              <a:ext cx="1424035" cy="21771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𝐸𝐿𝑂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𝐸𝑆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nl-NL" sz="10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nl-NL" sz="1000"/>
            </a:p>
          </xdr:txBody>
        </xdr:sp>
      </mc:Choice>
      <mc:Fallback xmlns="">
        <xdr:sp macro="" textlink="">
          <xdr:nvSpPr>
            <xdr:cNvPr id="9" name="Objekt 10"/>
            <xdr:cNvSpPr txBox="1"/>
          </xdr:nvSpPr>
          <xdr:spPr bwMode="auto">
            <a:xfrm>
              <a:off x="3253588" y="7920973"/>
              <a:ext cx="1424035" cy="21771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nl-NL" sz="1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𝐸𝐿𝑂(𝑦)=𝑦−𝐸𝑆(𝑦)</a:t>
              </a:r>
              <a:endParaRPr lang="nl-NL" sz="1000"/>
            </a:p>
          </xdr:txBody>
        </xdr:sp>
      </mc:Fallback>
    </mc:AlternateContent>
    <xdr:clientData/>
  </xdr:twoCellAnchor>
  <xdr:twoCellAnchor editAs="oneCell">
    <xdr:from>
      <xdr:col>4</xdr:col>
      <xdr:colOff>170944</xdr:colOff>
      <xdr:row>43</xdr:row>
      <xdr:rowOff>15377</xdr:rowOff>
    </xdr:from>
    <xdr:to>
      <xdr:col>7</xdr:col>
      <xdr:colOff>579988</xdr:colOff>
      <xdr:row>44</xdr:row>
      <xdr:rowOff>38932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96241" y="8144634"/>
          <a:ext cx="2233883" cy="212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251421</xdr:colOff>
      <xdr:row>46</xdr:row>
      <xdr:rowOff>34517</xdr:rowOff>
    </xdr:from>
    <xdr:to>
      <xdr:col>8</xdr:col>
      <xdr:colOff>132028</xdr:colOff>
      <xdr:row>48</xdr:row>
      <xdr:rowOff>128823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 bwMode="auto">
            <a:xfrm>
              <a:off x="2260159" y="8541002"/>
              <a:ext cx="3530285" cy="47153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𝜇</m:t>
                    </m:r>
                    <m:r>
                      <a:rPr lang="en-US" sz="12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r>
                      <a:rPr 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US" sz="12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  <m:sSub>
                          <m:sSubPr>
                            <m:ctrlP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5" name="Object 4"/>
            <xdr:cNvSpPr txBox="1"/>
          </xdr:nvSpPr>
          <xdr:spPr bwMode="auto">
            <a:xfrm>
              <a:off x="2260159" y="8541002"/>
              <a:ext cx="3530285" cy="47153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𝜇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_1+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  </a:t>
              </a:r>
              <a:r>
                <a:rPr lang="en-US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𝜎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=√(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_1^2+2𝜌𝜎_1  𝜎_2+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200" b="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2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146050</xdr:colOff>
          <xdr:row>23</xdr:row>
          <xdr:rowOff>19050</xdr:rowOff>
        </xdr:from>
        <xdr:to>
          <xdr:col>5</xdr:col>
          <xdr:colOff>12700</xdr:colOff>
          <xdr:row>26</xdr:row>
          <xdr:rowOff>0</xdr:rowOff>
        </xdr:to>
        <xdr:sp macro="" textlink="">
          <xdr:nvSpPr>
            <xdr:cNvPr id="10242" name="Objekt 8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497898</xdr:colOff>
          <xdr:row>43</xdr:row>
          <xdr:rowOff>158750</xdr:rowOff>
        </xdr:from>
        <xdr:to>
          <xdr:col>4</xdr:col>
          <xdr:colOff>561398</xdr:colOff>
          <xdr:row>46</xdr:row>
          <xdr:rowOff>177800</xdr:rowOff>
        </xdr:to>
        <xdr:sp macro="" textlink="">
          <xdr:nvSpPr>
            <xdr:cNvPr id="10243" name="Object 4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350205</xdr:colOff>
      <xdr:row>32</xdr:row>
      <xdr:rowOff>171339</xdr:rowOff>
    </xdr:from>
    <xdr:to>
      <xdr:col>7</xdr:col>
      <xdr:colOff>232620</xdr:colOff>
      <xdr:row>35</xdr:row>
      <xdr:rowOff>85584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4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 bwMode="auto">
            <a:xfrm>
              <a:off x="4394000" y="5990248"/>
              <a:ext cx="1848029" cy="459768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zh-CN" sz="16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𝐸𝐿𝑆</m:t>
                    </m:r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rad>
                    <m:r>
                      <a:rPr lang="en-US" sz="16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𝐺</m:t>
                    </m:r>
                    <m:d>
                      <m:dPr>
                        <m:ctrlPr>
                          <a:rPr lang="en-US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  <m:r>
                      <a:rPr lang="en-US" sz="16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600" b="0" i="1">
                <a:solidFill>
                  <a:srgbClr val="000000"/>
                </a:solidFill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𝑆𝑆</m:t>
                    </m:r>
                    <m:r>
                      <a:rPr lang="en-US" sz="16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6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8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n-US" sz="18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</m:ra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8" name="Object 4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 bwMode="auto">
            <a:xfrm>
              <a:off x="4394000" y="5990248"/>
              <a:ext cx="1848029" cy="459768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zh-CN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𝐸𝐿𝑆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=𝜎√</a:t>
              </a:r>
              <a:r>
                <a:rPr lang="en-US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𝐿 𝐺(𝑧)  </a:t>
              </a:r>
              <a:endParaRPr lang="en-US" sz="1600" b="0" i="1">
                <a:solidFill>
                  <a:srgbClr val="000000"/>
                </a:solidFill>
                <a:latin typeface="Cambria Math" panose="02040503050406030204" pitchFamily="18" charset="0"/>
              </a:endParaRPr>
            </a:p>
            <a:p>
              <a:pPr/>
              <a:r>
                <a:rPr lang="en-US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𝑆𝑆=𝑧⋅</a:t>
              </a:r>
              <a:r>
                <a:rPr lang="en-US" sz="18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𝜎√</a:t>
              </a:r>
              <a:r>
                <a:rPr lang="en-U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endParaRPr lang="en-US" sz="16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381000</xdr:colOff>
          <xdr:row>11</xdr:row>
          <xdr:rowOff>57150</xdr:rowOff>
        </xdr:from>
        <xdr:to>
          <xdr:col>6</xdr:col>
          <xdr:colOff>76200</xdr:colOff>
          <xdr:row>14</xdr:row>
          <xdr:rowOff>171450</xdr:rowOff>
        </xdr:to>
        <xdr:sp macro="" textlink="">
          <xdr:nvSpPr>
            <xdr:cNvPr id="10245" name="Object 4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1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21981</xdr:colOff>
      <xdr:row>11</xdr:row>
      <xdr:rowOff>60371</xdr:rowOff>
    </xdr:from>
    <xdr:to>
      <xdr:col>3</xdr:col>
      <xdr:colOff>187816</xdr:colOff>
      <xdr:row>14</xdr:row>
      <xdr:rowOff>167693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839058" y="1965371"/>
          <a:ext cx="1660527" cy="67882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362219</xdr:colOff>
      <xdr:row>11</xdr:row>
      <xdr:rowOff>33540</xdr:rowOff>
    </xdr:from>
    <xdr:to>
      <xdr:col>6</xdr:col>
      <xdr:colOff>46955</xdr:colOff>
      <xdr:row>14</xdr:row>
      <xdr:rowOff>167693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675846" y="1911709"/>
          <a:ext cx="1623274" cy="697604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43</xdr:row>
      <xdr:rowOff>188024</xdr:rowOff>
    </xdr:from>
    <xdr:to>
      <xdr:col>1</xdr:col>
      <xdr:colOff>615461</xdr:colOff>
      <xdr:row>46</xdr:row>
      <xdr:rowOff>102577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817077" y="7998524"/>
          <a:ext cx="615461" cy="486053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372022</xdr:colOff>
      <xdr:row>43</xdr:row>
      <xdr:rowOff>183173</xdr:rowOff>
    </xdr:from>
    <xdr:to>
      <xdr:col>4</xdr:col>
      <xdr:colOff>73269</xdr:colOff>
      <xdr:row>46</xdr:row>
      <xdr:rowOff>124558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75657" y="7993673"/>
          <a:ext cx="917516" cy="51288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717550</xdr:colOff>
          <xdr:row>5</xdr:row>
          <xdr:rowOff>63500</xdr:rowOff>
        </xdr:from>
        <xdr:to>
          <xdr:col>4</xdr:col>
          <xdr:colOff>679450</xdr:colOff>
          <xdr:row>8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836839</xdr:colOff>
      <xdr:row>17</xdr:row>
      <xdr:rowOff>142875</xdr:rowOff>
    </xdr:from>
    <xdr:to>
      <xdr:col>5</xdr:col>
      <xdr:colOff>723219</xdr:colOff>
      <xdr:row>21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0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 bwMode="auto">
            <a:xfrm>
              <a:off x="4218214" y="3394982"/>
              <a:ext cx="2315255" cy="714375"/>
            </a:xfrm>
            <a:prstGeom prst="rect">
              <a:avLst/>
            </a:prstGeom>
            <a:noFill/>
          </xdr:spPr>
          <xdr:txBody>
            <a:bodyPr wrap="square">
              <a:normAutofit fontScale="92500"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nl-NL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US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  <m:d>
                          <m:dPr>
                            <m:ctrlPr>
                              <a:rPr lang="en-US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n-US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</m:fName>
                      <m:e>
                        <m:nary>
                          <m:naryPr>
                            <m:chr m:val="∑"/>
                            <m:ctrlPr>
                              <a:rPr lang="nl-NL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nl-NL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nl-NL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nl-NL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nl-NL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nl-NL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nl-NL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nl-NL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𝑑</m:t>
                                        </m:r>
                                      </m:e>
                                      <m:sub>
                                        <m:r>
                                          <a:rPr lang="nl-NL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nl-NL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nl-NL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𝑄</m:t>
                                        </m:r>
                                      </m:e>
                                      <m:sub>
                                        <m:r>
                                          <a:rPr lang="nl-NL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nl-NL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nl-NL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nl-NL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nl-NL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nl-NL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nl-NL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nl-NL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nl-NL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nl-NL" sz="1400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nl-NL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nl-NL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nl-NL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nl-NL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𝑄</m:t>
                                    </m:r>
                                  </m:e>
                                  <m:sub>
                                    <m:r>
                                      <a:rPr lang="nl-NL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e>
                    </m:func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7" name="Object 0"/>
            <xdr:cNvSpPr txBox="1"/>
          </xdr:nvSpPr>
          <xdr:spPr bwMode="auto">
            <a:xfrm>
              <a:off x="4218214" y="3394982"/>
              <a:ext cx="2315255" cy="714375"/>
            </a:xfrm>
            <a:prstGeom prst="rect">
              <a:avLst/>
            </a:prstGeom>
            <a:noFill/>
          </xdr:spPr>
          <xdr:txBody>
            <a:bodyPr wrap="square">
              <a:normAutofit fontScale="92500"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nl-NL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𝐶(𝑄_𝑖 )=</a:t>
              </a:r>
              <a:r>
                <a:rPr lang="nl-NL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〗⁡∑_(</a:t>
              </a:r>
              <a:r>
                <a:rPr lang="nl-NL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𝑖=1)^𝑁▒[𝑑_𝑖/𝑄_𝑖 ⋅𝐴_𝑖+ℎ_𝑖/2⋅𝑄_𝑖 ] </a:t>
              </a:r>
              <a:endParaRPr lang="nl-NL" sz="14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482600</xdr:colOff>
          <xdr:row>19</xdr:row>
          <xdr:rowOff>69850</xdr:rowOff>
        </xdr:from>
        <xdr:to>
          <xdr:col>12</xdr:col>
          <xdr:colOff>965200</xdr:colOff>
          <xdr:row>24</xdr:row>
          <xdr:rowOff>101600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654326</xdr:colOff>
      <xdr:row>28</xdr:row>
      <xdr:rowOff>56342</xdr:rowOff>
    </xdr:from>
    <xdr:to>
      <xdr:col>12</xdr:col>
      <xdr:colOff>8284</xdr:colOff>
      <xdr:row>33</xdr:row>
      <xdr:rowOff>124982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0435" y="5531146"/>
          <a:ext cx="1051892" cy="1023073"/>
        </a:xfrm>
        <a:prstGeom prst="rect">
          <a:avLst/>
        </a:prstGeom>
      </xdr:spPr>
    </xdr:pic>
    <xdr:clientData/>
  </xdr:twoCellAnchor>
  <xdr:twoCellAnchor editAs="oneCell">
    <xdr:from>
      <xdr:col>7</xdr:col>
      <xdr:colOff>273259</xdr:colOff>
      <xdr:row>33</xdr:row>
      <xdr:rowOff>6350</xdr:rowOff>
    </xdr:from>
    <xdr:to>
      <xdr:col>10</xdr:col>
      <xdr:colOff>221595</xdr:colOff>
      <xdr:row>43</xdr:row>
      <xdr:rowOff>151126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5824" y="6193459"/>
          <a:ext cx="2988054" cy="1966950"/>
        </a:xfrm>
        <a:prstGeom prst="rect">
          <a:avLst/>
        </a:prstGeom>
      </xdr:spPr>
    </xdr:pic>
    <xdr:clientData/>
  </xdr:twoCellAnchor>
  <xdr:twoCellAnchor>
    <xdr:from>
      <xdr:col>8</xdr:col>
      <xdr:colOff>243365</xdr:colOff>
      <xdr:row>40</xdr:row>
      <xdr:rowOff>63086</xdr:rowOff>
    </xdr:from>
    <xdr:to>
      <xdr:col>8</xdr:col>
      <xdr:colOff>301343</xdr:colOff>
      <xdr:row>40</xdr:row>
      <xdr:rowOff>137629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7159343" y="7525716"/>
          <a:ext cx="57978" cy="74543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612907</xdr:colOff>
      <xdr:row>40</xdr:row>
      <xdr:rowOff>91108</xdr:rowOff>
    </xdr:from>
    <xdr:to>
      <xdr:col>8</xdr:col>
      <xdr:colOff>259931</xdr:colOff>
      <xdr:row>40</xdr:row>
      <xdr:rowOff>100358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725472" y="7553738"/>
          <a:ext cx="450437" cy="9250"/>
        </a:xfrm>
        <a:prstGeom prst="line">
          <a:avLst/>
        </a:prstGeom>
        <a:ln w="19050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14</xdr:row>
          <xdr:rowOff>44450</xdr:rowOff>
        </xdr:from>
        <xdr:to>
          <xdr:col>2</xdr:col>
          <xdr:colOff>127000</xdr:colOff>
          <xdr:row>15</xdr:row>
          <xdr:rowOff>133350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8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40" zoomScale="158" zoomScaleNormal="120" workbookViewId="0">
      <selection activeCell="C49" sqref="C49"/>
    </sheetView>
  </sheetViews>
  <sheetFormatPr defaultRowHeight="14.5" x14ac:dyDescent="0.35"/>
  <cols>
    <col min="1" max="1" width="21" bestFit="1" customWidth="1"/>
  </cols>
  <sheetData>
    <row r="1" spans="1:7" x14ac:dyDescent="0.35">
      <c r="A1" s="70" t="s">
        <v>0</v>
      </c>
      <c r="B1" s="83">
        <v>600</v>
      </c>
    </row>
    <row r="2" spans="1:7" x14ac:dyDescent="0.35">
      <c r="A2" s="79" t="s">
        <v>1</v>
      </c>
      <c r="B2" s="84">
        <v>8</v>
      </c>
    </row>
    <row r="3" spans="1:7" x14ac:dyDescent="0.35">
      <c r="A3" s="79" t="s">
        <v>3</v>
      </c>
      <c r="B3" s="84">
        <v>0.2</v>
      </c>
    </row>
    <row r="4" spans="1:7" x14ac:dyDescent="0.35">
      <c r="A4" s="81" t="s">
        <v>2</v>
      </c>
      <c r="B4" s="85">
        <v>0.3</v>
      </c>
    </row>
    <row r="7" spans="1:7" ht="15" thickBot="1" x14ac:dyDescent="0.4">
      <c r="A7" s="59" t="s">
        <v>92</v>
      </c>
      <c r="E7" s="48" t="s">
        <v>7</v>
      </c>
      <c r="F7" s="48" t="s">
        <v>9</v>
      </c>
    </row>
    <row r="8" spans="1:7" x14ac:dyDescent="0.35">
      <c r="A8" t="s">
        <v>94</v>
      </c>
      <c r="B8">
        <v>0.3</v>
      </c>
      <c r="D8" t="s">
        <v>91</v>
      </c>
      <c r="E8" s="49">
        <f>SQRT(2*$B$2*$B$1/($B$3*$B$9))</f>
        <v>406.83810217248623</v>
      </c>
      <c r="F8" t="s">
        <v>8</v>
      </c>
    </row>
    <row r="9" spans="1:7" x14ac:dyDescent="0.35">
      <c r="A9" t="s">
        <v>95</v>
      </c>
      <c r="B9">
        <v>0.28999999999999998</v>
      </c>
      <c r="D9" t="s">
        <v>90</v>
      </c>
      <c r="E9" s="49">
        <f>SQRT(2*$B$2*$B$1/($B$3*$B$4))</f>
        <v>400</v>
      </c>
      <c r="F9" s="49">
        <f>$B$1/E9*$B$2+$B$3*B8*E9/2+B8*$B$1</f>
        <v>204</v>
      </c>
    </row>
    <row r="10" spans="1:7" x14ac:dyDescent="0.35">
      <c r="D10" t="s">
        <v>93</v>
      </c>
      <c r="E10" s="60">
        <v>500</v>
      </c>
      <c r="F10" s="49">
        <f>$B$1/E10*$B$2+$B$3*B9*E10/2+B9*$B$1</f>
        <v>198.1</v>
      </c>
      <c r="G10" s="62" t="s">
        <v>67</v>
      </c>
    </row>
    <row r="12" spans="1:7" ht="15" thickBot="1" x14ac:dyDescent="0.4">
      <c r="A12" s="59" t="s">
        <v>10</v>
      </c>
      <c r="B12" s="48" t="s">
        <v>7</v>
      </c>
      <c r="C12" s="48" t="s">
        <v>9</v>
      </c>
    </row>
    <row r="13" spans="1:7" x14ac:dyDescent="0.35">
      <c r="B13">
        <v>250</v>
      </c>
      <c r="C13" s="49">
        <f>$B$1/B13*$B$2+$B$3*$B$4*B13/2+$B$4*$B$1</f>
        <v>206.7</v>
      </c>
    </row>
    <row r="14" spans="1:7" x14ac:dyDescent="0.35">
      <c r="B14">
        <v>500</v>
      </c>
      <c r="C14" s="49">
        <f>$B$1/B14*$B$2+$B$3*$B$4*B14/2+$B$4*$B$1</f>
        <v>204.6</v>
      </c>
      <c r="D14" s="62" t="s">
        <v>67</v>
      </c>
    </row>
    <row r="15" spans="1:7" x14ac:dyDescent="0.35">
      <c r="B15">
        <v>750</v>
      </c>
      <c r="C15" s="49">
        <f>$B$1/B15*$B$2+$B$3*$B$4*B15/2+$B$4*$B$1</f>
        <v>208.9</v>
      </c>
    </row>
    <row r="16" spans="1:7" x14ac:dyDescent="0.35">
      <c r="C16" s="49"/>
    </row>
    <row r="17" spans="1:7" x14ac:dyDescent="0.35">
      <c r="A17" s="59" t="s">
        <v>101</v>
      </c>
    </row>
    <row r="18" spans="1:7" x14ac:dyDescent="0.35">
      <c r="A18" t="s">
        <v>104</v>
      </c>
      <c r="D18" t="s">
        <v>103</v>
      </c>
      <c r="G18" t="s">
        <v>105</v>
      </c>
    </row>
    <row r="19" spans="1:7" x14ac:dyDescent="0.35">
      <c r="A19" t="s">
        <v>68</v>
      </c>
      <c r="B19">
        <v>2</v>
      </c>
    </row>
    <row r="20" spans="1:7" x14ac:dyDescent="0.35">
      <c r="A20" t="s">
        <v>69</v>
      </c>
      <c r="B20" s="87" t="s">
        <v>102</v>
      </c>
    </row>
    <row r="21" spans="1:7" x14ac:dyDescent="0.35">
      <c r="A21" t="s">
        <v>55</v>
      </c>
      <c r="B21">
        <f>2/12*B1</f>
        <v>100</v>
      </c>
      <c r="C21" s="62" t="s">
        <v>70</v>
      </c>
    </row>
    <row r="23" spans="1:7" s="103" customFormat="1" x14ac:dyDescent="0.35"/>
    <row r="24" spans="1:7" x14ac:dyDescent="0.35">
      <c r="A24" s="59" t="s">
        <v>56</v>
      </c>
    </row>
    <row r="25" spans="1:7" x14ac:dyDescent="0.35">
      <c r="A25" s="70"/>
      <c r="B25" s="71" t="s">
        <v>1</v>
      </c>
      <c r="C25" s="72" t="s">
        <v>59</v>
      </c>
    </row>
    <row r="26" spans="1:7" x14ac:dyDescent="0.35">
      <c r="A26" s="70" t="s">
        <v>62</v>
      </c>
      <c r="B26" s="71">
        <v>80</v>
      </c>
      <c r="C26" s="72">
        <v>60</v>
      </c>
    </row>
    <row r="27" spans="1:7" x14ac:dyDescent="0.35">
      <c r="A27" s="79" t="s">
        <v>63</v>
      </c>
      <c r="B27">
        <v>20</v>
      </c>
      <c r="C27" s="80">
        <v>20</v>
      </c>
    </row>
    <row r="28" spans="1:7" x14ac:dyDescent="0.35">
      <c r="A28" s="81" t="s">
        <v>78</v>
      </c>
      <c r="B28" s="104">
        <v>-0.5</v>
      </c>
      <c r="C28" s="105"/>
    </row>
    <row r="29" spans="1:7" x14ac:dyDescent="0.35">
      <c r="A29" s="70" t="s">
        <v>57</v>
      </c>
      <c r="B29" s="72">
        <v>100</v>
      </c>
    </row>
    <row r="30" spans="1:7" x14ac:dyDescent="0.35">
      <c r="A30" s="79" t="s">
        <v>2</v>
      </c>
      <c r="B30" s="80">
        <v>30</v>
      </c>
    </row>
    <row r="31" spans="1:7" x14ac:dyDescent="0.35">
      <c r="A31" s="81" t="s">
        <v>71</v>
      </c>
      <c r="B31" s="82">
        <v>0</v>
      </c>
    </row>
    <row r="33" spans="1:4" x14ac:dyDescent="0.35">
      <c r="A33" s="59"/>
    </row>
    <row r="34" spans="1:4" x14ac:dyDescent="0.35">
      <c r="A34" t="s">
        <v>58</v>
      </c>
      <c r="B34" s="49">
        <f>(B29-B30)/(B29)</f>
        <v>0.7</v>
      </c>
    </row>
    <row r="35" spans="1:4" x14ac:dyDescent="0.35">
      <c r="A35" t="s">
        <v>74</v>
      </c>
      <c r="B35" s="61">
        <f>_xlfn.NORM.S.INV(B34)</f>
        <v>0.52440051270804078</v>
      </c>
    </row>
    <row r="36" spans="1:4" x14ac:dyDescent="0.35">
      <c r="A36" t="s">
        <v>73</v>
      </c>
      <c r="B36">
        <v>0.53</v>
      </c>
    </row>
    <row r="38" spans="1:4" x14ac:dyDescent="0.35">
      <c r="B38" t="s">
        <v>1</v>
      </c>
      <c r="C38" t="s">
        <v>59</v>
      </c>
    </row>
    <row r="39" spans="1:4" x14ac:dyDescent="0.35">
      <c r="A39" t="s">
        <v>60</v>
      </c>
      <c r="B39" s="49">
        <f>B26+B36*B27</f>
        <v>90.6</v>
      </c>
      <c r="C39" s="49">
        <f>C26+B36*C27</f>
        <v>70.599999999999994</v>
      </c>
      <c r="D39" s="62" t="s">
        <v>72</v>
      </c>
    </row>
    <row r="40" spans="1:4" x14ac:dyDescent="0.35">
      <c r="A40" t="s">
        <v>75</v>
      </c>
      <c r="B40">
        <f>_xlfn.NORM.DIST(B36, 0, 1, 0)-B36*(1-_xlfn.NORM.DIST(B36,0,1,1))</f>
        <v>0.18869805967650713</v>
      </c>
      <c r="C40" s="49"/>
    </row>
    <row r="41" spans="1:4" x14ac:dyDescent="0.35">
      <c r="A41" t="s">
        <v>61</v>
      </c>
      <c r="B41" s="49">
        <f>B27*$B$40</f>
        <v>3.7739611935301425</v>
      </c>
      <c r="C41" s="49">
        <f>C27*$B$40</f>
        <v>3.7739611935301425</v>
      </c>
    </row>
    <row r="42" spans="1:4" x14ac:dyDescent="0.35">
      <c r="A42" t="s">
        <v>64</v>
      </c>
      <c r="B42" s="49">
        <f>B26-B41</f>
        <v>76.226038806469859</v>
      </c>
      <c r="C42" s="49">
        <f>C26-C41</f>
        <v>56.226038806469859</v>
      </c>
    </row>
    <row r="43" spans="1:4" x14ac:dyDescent="0.35">
      <c r="A43" t="s">
        <v>65</v>
      </c>
      <c r="B43" s="49">
        <f>B39-B42</f>
        <v>14.373961193530135</v>
      </c>
      <c r="C43" s="49">
        <f>C39-C42</f>
        <v>14.373961193530135</v>
      </c>
    </row>
    <row r="44" spans="1:4" x14ac:dyDescent="0.35">
      <c r="A44" t="s">
        <v>66</v>
      </c>
      <c r="B44" s="49">
        <f>-B30*B39+B29*B42</f>
        <v>4904.603880646986</v>
      </c>
      <c r="C44" s="49">
        <f>-B30*C39+B29*C42</f>
        <v>3504.603880646986</v>
      </c>
      <c r="D44" s="62" t="s">
        <v>76</v>
      </c>
    </row>
    <row r="45" spans="1:4" x14ac:dyDescent="0.35">
      <c r="B45" s="49"/>
      <c r="C45" s="49"/>
      <c r="D45" s="62"/>
    </row>
    <row r="47" spans="1:4" x14ac:dyDescent="0.35">
      <c r="A47" s="59" t="s">
        <v>37</v>
      </c>
    </row>
    <row r="48" spans="1:4" x14ac:dyDescent="0.35">
      <c r="A48" t="s">
        <v>17</v>
      </c>
      <c r="B48">
        <f>B26+C26</f>
        <v>140</v>
      </c>
    </row>
    <row r="49" spans="1:7" x14ac:dyDescent="0.35">
      <c r="A49" t="s">
        <v>18</v>
      </c>
      <c r="B49">
        <f>SQRT(B27^2+C27^2+2*(-0.5)*B27*C27)</f>
        <v>20</v>
      </c>
    </row>
    <row r="50" spans="1:7" x14ac:dyDescent="0.35">
      <c r="A50" t="s">
        <v>97</v>
      </c>
      <c r="B50" s="49">
        <f>B48+B35*B49</f>
        <v>150.48801025416083</v>
      </c>
      <c r="C50" s="62" t="s">
        <v>77</v>
      </c>
    </row>
    <row r="51" spans="1:7" x14ac:dyDescent="0.35">
      <c r="G51" t="s">
        <v>96</v>
      </c>
    </row>
    <row r="52" spans="1:7" x14ac:dyDescent="0.35">
      <c r="A52" t="s">
        <v>106</v>
      </c>
      <c r="B52" s="49">
        <f>B39+C39</f>
        <v>161.19999999999999</v>
      </c>
      <c r="C52" s="62" t="s">
        <v>107</v>
      </c>
    </row>
  </sheetData>
  <mergeCells count="1">
    <mergeCell ref="B28:C2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2</xdr:col>
                <xdr:colOff>114300</xdr:colOff>
                <xdr:row>32</xdr:row>
                <xdr:rowOff>31750</xdr:rowOff>
              </from>
              <to>
                <xdr:col>4</xdr:col>
                <xdr:colOff>31750</xdr:colOff>
                <xdr:row>35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opLeftCell="A46" zoomScale="220" zoomScaleNormal="110" workbookViewId="0">
      <selection activeCell="F44" sqref="F44"/>
    </sheetView>
  </sheetViews>
  <sheetFormatPr defaultRowHeight="14.5" x14ac:dyDescent="0.35"/>
  <cols>
    <col min="1" max="1" width="27.26953125" customWidth="1"/>
    <col min="2" max="2" width="13.26953125" customWidth="1"/>
    <col min="5" max="5" width="10.7265625" bestFit="1" customWidth="1"/>
    <col min="11" max="11" width="10.26953125" customWidth="1"/>
  </cols>
  <sheetData>
    <row r="1" spans="1:5" x14ac:dyDescent="0.35">
      <c r="A1" t="s">
        <v>98</v>
      </c>
    </row>
    <row r="2" spans="1:5" x14ac:dyDescent="0.35">
      <c r="A2" t="s">
        <v>108</v>
      </c>
      <c r="D2" s="106" t="s">
        <v>109</v>
      </c>
    </row>
    <row r="3" spans="1:5" x14ac:dyDescent="0.35">
      <c r="A3" s="70" t="s">
        <v>38</v>
      </c>
      <c r="B3" s="71"/>
      <c r="C3" s="72">
        <v>200</v>
      </c>
      <c r="D3" s="107"/>
      <c r="E3" t="s">
        <v>110</v>
      </c>
    </row>
    <row r="4" spans="1:5" x14ac:dyDescent="0.35">
      <c r="A4" s="79" t="s">
        <v>15</v>
      </c>
      <c r="C4" s="80"/>
    </row>
    <row r="5" spans="1:5" x14ac:dyDescent="0.35">
      <c r="A5" s="79" t="s">
        <v>39</v>
      </c>
      <c r="C5" s="80">
        <v>1000</v>
      </c>
      <c r="E5" t="s">
        <v>142</v>
      </c>
    </row>
    <row r="6" spans="1:5" x14ac:dyDescent="0.35">
      <c r="A6" s="79" t="s">
        <v>40</v>
      </c>
      <c r="C6" s="80">
        <v>50</v>
      </c>
      <c r="D6" s="100" t="s">
        <v>86</v>
      </c>
      <c r="E6">
        <f>50*SQRT(52)</f>
        <v>360.55512754639892</v>
      </c>
    </row>
    <row r="7" spans="1:5" x14ac:dyDescent="0.35">
      <c r="A7" s="79" t="s">
        <v>41</v>
      </c>
      <c r="C7" s="80">
        <v>4</v>
      </c>
      <c r="D7" s="100" t="s">
        <v>86</v>
      </c>
      <c r="E7" s="88">
        <f>4/52</f>
        <v>7.6923076923076927E-2</v>
      </c>
    </row>
    <row r="8" spans="1:5" x14ac:dyDescent="0.35">
      <c r="A8" s="79" t="s">
        <v>42</v>
      </c>
      <c r="C8" s="80">
        <v>1</v>
      </c>
    </row>
    <row r="9" spans="1:5" x14ac:dyDescent="0.35">
      <c r="A9" s="79" t="s">
        <v>3</v>
      </c>
      <c r="C9" s="80">
        <v>0.2</v>
      </c>
    </row>
    <row r="10" spans="1:5" x14ac:dyDescent="0.35">
      <c r="A10" s="81" t="s">
        <v>43</v>
      </c>
      <c r="B10" s="86"/>
      <c r="C10" s="82">
        <v>0.5</v>
      </c>
    </row>
    <row r="13" spans="1:5" x14ac:dyDescent="0.35">
      <c r="A13" s="59" t="s">
        <v>5</v>
      </c>
    </row>
    <row r="16" spans="1:5" x14ac:dyDescent="0.35">
      <c r="A16" t="s">
        <v>112</v>
      </c>
      <c r="B16" t="s">
        <v>113</v>
      </c>
      <c r="D16" t="s">
        <v>111</v>
      </c>
      <c r="E16" t="s">
        <v>114</v>
      </c>
    </row>
    <row r="18" spans="1:6" x14ac:dyDescent="0.35">
      <c r="A18" s="59" t="s">
        <v>6</v>
      </c>
    </row>
    <row r="19" spans="1:6" x14ac:dyDescent="0.35">
      <c r="B19" t="s">
        <v>44</v>
      </c>
      <c r="E19" t="s">
        <v>46</v>
      </c>
    </row>
    <row r="20" spans="1:6" x14ac:dyDescent="0.35">
      <c r="A20" t="s">
        <v>45</v>
      </c>
      <c r="B20">
        <v>4</v>
      </c>
      <c r="C20" s="99">
        <f>4/52</f>
        <v>7.6923076923076927E-2</v>
      </c>
      <c r="E20">
        <v>1</v>
      </c>
      <c r="F20" s="99">
        <f>1/52</f>
        <v>1.9230769230769232E-2</v>
      </c>
    </row>
    <row r="21" spans="1:6" x14ac:dyDescent="0.35">
      <c r="A21" t="s">
        <v>2</v>
      </c>
      <c r="B21">
        <v>1</v>
      </c>
      <c r="E21">
        <v>1.05</v>
      </c>
    </row>
    <row r="25" spans="1:6" x14ac:dyDescent="0.35">
      <c r="A25" s="63" t="s">
        <v>47</v>
      </c>
      <c r="B25" s="63">
        <v>0.94</v>
      </c>
    </row>
    <row r="27" spans="1:6" x14ac:dyDescent="0.35">
      <c r="A27" t="s">
        <v>50</v>
      </c>
      <c r="B27">
        <f>(1-B25)*C3</f>
        <v>12.000000000000011</v>
      </c>
      <c r="E27">
        <f>B27</f>
        <v>12.000000000000011</v>
      </c>
    </row>
    <row r="28" spans="1:6" x14ac:dyDescent="0.35">
      <c r="A28" t="s">
        <v>100</v>
      </c>
      <c r="B28">
        <f>$E$6*SQRT(C20)</f>
        <v>100</v>
      </c>
      <c r="E28">
        <f>$E$6*SQRT(F20)</f>
        <v>50</v>
      </c>
    </row>
    <row r="29" spans="1:6" x14ac:dyDescent="0.35">
      <c r="A29" t="s">
        <v>143</v>
      </c>
      <c r="B29">
        <f>B27/B28</f>
        <v>0.12000000000000011</v>
      </c>
      <c r="E29">
        <f>E27/E28</f>
        <v>0.24000000000000021</v>
      </c>
    </row>
    <row r="30" spans="1:6" x14ac:dyDescent="0.35">
      <c r="A30" t="s">
        <v>48</v>
      </c>
      <c r="B30">
        <f>_xlfn.NORM.DIST(B31, 0, 1, 0)-B31*(1-_xlfn.NORM.DIST(B31,0,1,1))</f>
        <v>0.11982780500928833</v>
      </c>
      <c r="E30">
        <f>_xlfn.NORM.DIST(E31, 0, 1, 0)-E31*(1-_xlfn.NORM.DIST(E31,0,1,1))</f>
        <v>0.2400544943651462</v>
      </c>
    </row>
    <row r="31" spans="1:6" x14ac:dyDescent="0.35">
      <c r="A31" t="s">
        <v>49</v>
      </c>
      <c r="B31">
        <v>0.80179317787015425</v>
      </c>
      <c r="C31" t="s">
        <v>52</v>
      </c>
      <c r="E31">
        <v>0.3725</v>
      </c>
    </row>
    <row r="32" spans="1:6" x14ac:dyDescent="0.35">
      <c r="A32" t="s">
        <v>53</v>
      </c>
      <c r="B32" s="70">
        <f>B29*B28</f>
        <v>12.000000000000011</v>
      </c>
      <c r="C32" s="71"/>
      <c r="D32" s="71"/>
      <c r="E32" s="72">
        <f>E29*E28</f>
        <v>12.000000000000011</v>
      </c>
    </row>
    <row r="33" spans="1:6" x14ac:dyDescent="0.35">
      <c r="A33" t="s">
        <v>51</v>
      </c>
      <c r="B33" s="73">
        <f>B31*B28</f>
        <v>80.179317787015421</v>
      </c>
      <c r="C33" s="74"/>
      <c r="D33" s="74"/>
      <c r="E33" s="75">
        <f>E31*E28</f>
        <v>18.625</v>
      </c>
    </row>
    <row r="35" spans="1:6" x14ac:dyDescent="0.35">
      <c r="A35" s="59" t="s">
        <v>10</v>
      </c>
    </row>
    <row r="36" spans="1:6" x14ac:dyDescent="0.35">
      <c r="A36" s="63" t="s">
        <v>99</v>
      </c>
      <c r="B36" s="63">
        <v>0.9</v>
      </c>
    </row>
    <row r="37" spans="1:6" x14ac:dyDescent="0.35">
      <c r="A37" s="63"/>
      <c r="B37" s="63"/>
    </row>
    <row r="38" spans="1:6" x14ac:dyDescent="0.35">
      <c r="A38" t="s">
        <v>74</v>
      </c>
      <c r="B38" s="61">
        <f>_xlfn.NORM.S.INV(B36)</f>
        <v>1.2815515655446006</v>
      </c>
    </row>
    <row r="39" spans="1:6" x14ac:dyDescent="0.35">
      <c r="A39" t="s">
        <v>73</v>
      </c>
      <c r="B39">
        <v>1.29</v>
      </c>
    </row>
    <row r="40" spans="1:6" x14ac:dyDescent="0.35">
      <c r="A40" t="s">
        <v>48</v>
      </c>
      <c r="B40">
        <f>_xlfn.NORM.DIST(B38, 0, 1, 0)-B38*(1-_xlfn.NORM.DIST(B38,0,1,1))</f>
        <v>4.7343175378026764E-2</v>
      </c>
      <c r="C40" t="s">
        <v>52</v>
      </c>
      <c r="E40">
        <f>_xlfn.NORM.DIST(B38, 0, 1, 0)-B38*(1-_xlfn.NORM.DIST(B38,0,1,1))</f>
        <v>4.7343175378026764E-2</v>
      </c>
    </row>
    <row r="41" spans="1:6" x14ac:dyDescent="0.35">
      <c r="A41" t="s">
        <v>53</v>
      </c>
      <c r="B41" s="70">
        <f>B28*B40</f>
        <v>4.7343175378026761</v>
      </c>
      <c r="C41" s="71"/>
      <c r="D41" s="71"/>
      <c r="E41" s="72">
        <f>E28*E40</f>
        <v>2.367158768901338</v>
      </c>
    </row>
    <row r="42" spans="1:6" x14ac:dyDescent="0.35">
      <c r="A42" t="s">
        <v>51</v>
      </c>
      <c r="B42" s="76">
        <f>B39*B28</f>
        <v>129</v>
      </c>
      <c r="C42" s="77"/>
      <c r="D42" s="77"/>
      <c r="E42" s="78">
        <f>B39*E28</f>
        <v>64.5</v>
      </c>
    </row>
    <row r="44" spans="1:6" x14ac:dyDescent="0.35">
      <c r="A44" s="59" t="s">
        <v>11</v>
      </c>
    </row>
    <row r="48" spans="1:6" x14ac:dyDescent="0.35">
      <c r="B48" t="s">
        <v>79</v>
      </c>
      <c r="D48" t="s">
        <v>115</v>
      </c>
      <c r="F48" t="s">
        <v>144</v>
      </c>
    </row>
    <row r="49" spans="1:5" x14ac:dyDescent="0.35">
      <c r="A49" t="s">
        <v>80</v>
      </c>
      <c r="B49" s="59">
        <f>B21*$C$9*($C$3/2+B33)+($C$5/$C$3)*($C$10*B32)+$C$5*B21</f>
        <v>1066.035863557403</v>
      </c>
      <c r="C49" s="59"/>
      <c r="D49" s="59"/>
      <c r="E49" s="59">
        <f>E21*$C$9*($C$3/2+E33)+($C$5/$C$3)*($C$10*E32)+$C$5*E21</f>
        <v>1104.9112500000001</v>
      </c>
    </row>
    <row r="50" spans="1:5" x14ac:dyDescent="0.35">
      <c r="A50" t="s">
        <v>81</v>
      </c>
      <c r="B50" s="65">
        <f>B49/52</f>
        <v>20.50068968379621</v>
      </c>
      <c r="C50" s="65"/>
      <c r="D50" s="65"/>
      <c r="E50" s="65">
        <f>E49/52</f>
        <v>21.248293269230771</v>
      </c>
    </row>
  </sheetData>
  <mergeCells count="1">
    <mergeCell ref="D2:D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42" r:id="rId4">
          <objectPr defaultSize="0" autoPict="0" r:id="rId5">
            <anchor moveWithCells="1" sizeWithCells="1">
              <from>
                <xdr:col>2</xdr:col>
                <xdr:colOff>146050</xdr:colOff>
                <xdr:row>23</xdr:row>
                <xdr:rowOff>19050</xdr:rowOff>
              </from>
              <to>
                <xdr:col>5</xdr:col>
                <xdr:colOff>12700</xdr:colOff>
                <xdr:row>26</xdr:row>
                <xdr:rowOff>0</xdr:rowOff>
              </to>
            </anchor>
          </objectPr>
        </oleObject>
      </mc:Choice>
      <mc:Fallback>
        <oleObject progId="Equation.DSMT4" shapeId="10242" r:id="rId4"/>
      </mc:Fallback>
    </mc:AlternateContent>
    <mc:AlternateContent xmlns:mc="http://schemas.openxmlformats.org/markup-compatibility/2006">
      <mc:Choice Requires="x14">
        <oleObject progId="Equation.DSMT4" shapeId="10243" r:id="rId6">
          <objectPr defaultSize="0" autoPict="0" r:id="rId7">
            <anchor moveWithCells="1" sizeWithCells="1">
              <from>
                <xdr:col>0</xdr:col>
                <xdr:colOff>495300</xdr:colOff>
                <xdr:row>43</xdr:row>
                <xdr:rowOff>158750</xdr:rowOff>
              </from>
              <to>
                <xdr:col>4</xdr:col>
                <xdr:colOff>558800</xdr:colOff>
                <xdr:row>46</xdr:row>
                <xdr:rowOff>177800</xdr:rowOff>
              </to>
            </anchor>
          </objectPr>
        </oleObject>
      </mc:Choice>
      <mc:Fallback>
        <oleObject progId="Equation.DSMT4" shapeId="10243" r:id="rId6"/>
      </mc:Fallback>
    </mc:AlternateContent>
    <mc:AlternateContent xmlns:mc="http://schemas.openxmlformats.org/markup-compatibility/2006">
      <mc:Choice Requires="x14">
        <oleObject progId="Equation.DSMT4" shapeId="10245" r:id="rId8">
          <objectPr defaultSize="0" autoPict="0" r:id="rId9">
            <anchor moveWithCells="1" sizeWithCells="1">
              <from>
                <xdr:col>0</xdr:col>
                <xdr:colOff>381000</xdr:colOff>
                <xdr:row>11</xdr:row>
                <xdr:rowOff>57150</xdr:rowOff>
              </from>
              <to>
                <xdr:col>6</xdr:col>
                <xdr:colOff>76200</xdr:colOff>
                <xdr:row>14</xdr:row>
                <xdr:rowOff>171450</xdr:rowOff>
              </to>
            </anchor>
          </objectPr>
        </oleObject>
      </mc:Choice>
      <mc:Fallback>
        <oleObject progId="Equation.DSMT4" shapeId="10245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abSelected="1" zoomScale="115" zoomScaleNormal="115" workbookViewId="0">
      <selection activeCell="F36" sqref="F36"/>
    </sheetView>
  </sheetViews>
  <sheetFormatPr defaultColWidth="11.453125" defaultRowHeight="14.5" x14ac:dyDescent="0.35"/>
  <cols>
    <col min="2" max="2" width="16.453125" customWidth="1"/>
    <col min="3" max="3" width="13.54296875" customWidth="1"/>
    <col min="8" max="8" width="20.453125" customWidth="1"/>
    <col min="12" max="12" width="14" customWidth="1"/>
    <col min="13" max="13" width="15.81640625" customWidth="1"/>
    <col min="14" max="14" width="15.26953125" bestFit="1" customWidth="1"/>
  </cols>
  <sheetData>
    <row r="1" spans="1:10" x14ac:dyDescent="0.35">
      <c r="C1" s="59" t="s">
        <v>24</v>
      </c>
      <c r="D1" s="59">
        <v>1</v>
      </c>
      <c r="E1" s="59">
        <v>2</v>
      </c>
      <c r="H1" s="59" t="s">
        <v>24</v>
      </c>
      <c r="I1" s="59">
        <v>1</v>
      </c>
      <c r="J1" s="59">
        <v>2</v>
      </c>
    </row>
    <row r="2" spans="1:10" x14ac:dyDescent="0.35">
      <c r="C2" t="s">
        <v>25</v>
      </c>
      <c r="D2">
        <v>300</v>
      </c>
      <c r="E2">
        <v>350</v>
      </c>
      <c r="H2" t="s">
        <v>25</v>
      </c>
      <c r="I2">
        <v>300</v>
      </c>
      <c r="J2">
        <v>350</v>
      </c>
    </row>
    <row r="3" spans="1:10" x14ac:dyDescent="0.35">
      <c r="C3" t="s">
        <v>1</v>
      </c>
      <c r="D3">
        <v>150</v>
      </c>
      <c r="E3">
        <v>111</v>
      </c>
      <c r="H3" t="s">
        <v>1</v>
      </c>
      <c r="I3">
        <v>150</v>
      </c>
      <c r="J3">
        <v>111</v>
      </c>
    </row>
    <row r="4" spans="1:10" x14ac:dyDescent="0.35">
      <c r="C4" t="s">
        <v>26</v>
      </c>
      <c r="D4">
        <v>1.5</v>
      </c>
      <c r="E4">
        <v>2</v>
      </c>
      <c r="H4" t="s">
        <v>26</v>
      </c>
      <c r="I4">
        <v>1.5</v>
      </c>
      <c r="J4">
        <v>2</v>
      </c>
    </row>
    <row r="5" spans="1:10" x14ac:dyDescent="0.35">
      <c r="C5" t="s">
        <v>27</v>
      </c>
      <c r="D5">
        <v>3</v>
      </c>
      <c r="E5">
        <v>1</v>
      </c>
      <c r="H5" t="s">
        <v>27</v>
      </c>
      <c r="I5">
        <v>3</v>
      </c>
      <c r="J5">
        <v>1</v>
      </c>
    </row>
    <row r="8" spans="1:10" x14ac:dyDescent="0.35">
      <c r="H8" s="59" t="s">
        <v>10</v>
      </c>
    </row>
    <row r="9" spans="1:10" ht="15.5" x14ac:dyDescent="0.35">
      <c r="H9" s="43" t="s">
        <v>28</v>
      </c>
    </row>
    <row r="10" spans="1:10" ht="15.5" x14ac:dyDescent="0.35">
      <c r="A10" s="59" t="s">
        <v>5</v>
      </c>
      <c r="B10" s="43" t="s">
        <v>29</v>
      </c>
      <c r="H10" s="95" t="s">
        <v>134</v>
      </c>
    </row>
    <row r="11" spans="1:10" x14ac:dyDescent="0.35">
      <c r="A11" t="s">
        <v>116</v>
      </c>
      <c r="B11" s="59"/>
      <c r="C11" s="44" t="s">
        <v>32</v>
      </c>
      <c r="D11">
        <v>0</v>
      </c>
      <c r="G11" s="6" t="s">
        <v>84</v>
      </c>
      <c r="H11" t="s">
        <v>121</v>
      </c>
      <c r="I11">
        <f>I4*I2</f>
        <v>450</v>
      </c>
      <c r="J11">
        <f>J4*J2</f>
        <v>700</v>
      </c>
    </row>
    <row r="12" spans="1:10" x14ac:dyDescent="0.35">
      <c r="C12" t="s">
        <v>4</v>
      </c>
      <c r="D12" s="49">
        <f>SQRT((2*D2*D3)/(D4+2*$D$11*D5))</f>
        <v>244.94897427831782</v>
      </c>
      <c r="E12" s="49">
        <f>SQRT((2*E2*E3)/(E4+2*$D$11*E5))</f>
        <v>197.10403344427024</v>
      </c>
      <c r="F12" s="62" t="s">
        <v>85</v>
      </c>
      <c r="G12" s="101">
        <f>D12*$D$5+E12*$E$5</f>
        <v>931.95095627922376</v>
      </c>
    </row>
    <row r="13" spans="1:10" x14ac:dyDescent="0.35">
      <c r="A13" t="s">
        <v>117</v>
      </c>
      <c r="C13" s="44" t="s">
        <v>32</v>
      </c>
      <c r="D13">
        <v>1</v>
      </c>
      <c r="H13" t="s">
        <v>87</v>
      </c>
      <c r="I13" s="64">
        <f>SQRT((2*SUM(I3:J3))/SUM(I11:J11))</f>
        <v>0.67373069061625868</v>
      </c>
    </row>
    <row r="14" spans="1:10" x14ac:dyDescent="0.35">
      <c r="A14" s="44" t="s">
        <v>118</v>
      </c>
      <c r="C14" t="str">
        <f>C12</f>
        <v>Q*</v>
      </c>
      <c r="D14" s="49">
        <f>SQRT((2*D2*D3)/(D4+2*$D$13*D5))</f>
        <v>109.54451150103323</v>
      </c>
      <c r="E14" s="49">
        <f>SQRT((2*E2*E3)/(E4+2*$D$13*E5))</f>
        <v>139.37359864766353</v>
      </c>
      <c r="F14" s="62" t="s">
        <v>85</v>
      </c>
      <c r="G14" s="102">
        <f>D14*$D$5+E14*$E$5</f>
        <v>468.0071331507632</v>
      </c>
    </row>
    <row r="15" spans="1:10" x14ac:dyDescent="0.35">
      <c r="D15" s="49"/>
      <c r="E15" s="49"/>
      <c r="G15" s="49"/>
      <c r="H15" t="s">
        <v>137</v>
      </c>
    </row>
    <row r="16" spans="1:10" x14ac:dyDescent="0.35">
      <c r="D16" s="49"/>
      <c r="E16" s="49"/>
      <c r="G16" s="49"/>
      <c r="H16" t="s">
        <v>122</v>
      </c>
      <c r="I16">
        <f>I5*I2</f>
        <v>900</v>
      </c>
      <c r="J16">
        <f>J5*J2</f>
        <v>350</v>
      </c>
    </row>
    <row r="18" spans="1:12" x14ac:dyDescent="0.35">
      <c r="H18" t="s">
        <v>30</v>
      </c>
      <c r="I18">
        <f>I5*I5*I2*I2</f>
        <v>810000</v>
      </c>
      <c r="J18">
        <f>J5*J5*J2*J2</f>
        <v>122500</v>
      </c>
      <c r="K18">
        <f>J5*I5*J2*I2</f>
        <v>315000</v>
      </c>
    </row>
    <row r="19" spans="1:12" x14ac:dyDescent="0.35">
      <c r="H19" t="s">
        <v>138</v>
      </c>
      <c r="J19">
        <f>SUM(I16:J16)/SUM(I18:J18,K18)</f>
        <v>1.002004008016032E-3</v>
      </c>
    </row>
    <row r="20" spans="1:12" x14ac:dyDescent="0.35">
      <c r="A20" s="59" t="s">
        <v>6</v>
      </c>
      <c r="B20" s="59"/>
    </row>
    <row r="21" spans="1:12" x14ac:dyDescent="0.35">
      <c r="A21" s="59" t="s">
        <v>119</v>
      </c>
      <c r="H21" s="97" t="s">
        <v>31</v>
      </c>
      <c r="I21" s="98">
        <v>500</v>
      </c>
    </row>
    <row r="22" spans="1:12" x14ac:dyDescent="0.35">
      <c r="H22" t="s">
        <v>88</v>
      </c>
      <c r="I22" s="64">
        <f>J19*I21</f>
        <v>0.50100200400801598</v>
      </c>
    </row>
    <row r="23" spans="1:12" x14ac:dyDescent="0.35">
      <c r="A23" t="s">
        <v>116</v>
      </c>
      <c r="C23" t="s">
        <v>82</v>
      </c>
      <c r="D23" s="49">
        <f>D$2/D12*D$3+D$4/2*D12</f>
        <v>367.42346141747669</v>
      </c>
      <c r="E23" s="49">
        <f>E$2/E12*E$3+E$4/2*E12</f>
        <v>394.20806688854043</v>
      </c>
      <c r="F23" s="62" t="s">
        <v>86</v>
      </c>
      <c r="G23" s="49">
        <f>SUM(D23:E23)</f>
        <v>761.63152830601712</v>
      </c>
    </row>
    <row r="24" spans="1:12" x14ac:dyDescent="0.35">
      <c r="A24" t="s">
        <v>117</v>
      </c>
      <c r="C24" t="s">
        <v>83</v>
      </c>
      <c r="D24" s="49">
        <f>D$2/D14*D$3+D$4/2*D14</f>
        <v>492.95030175464956</v>
      </c>
      <c r="E24" s="49">
        <f>E$2/E14*E$3+E$4/2*E14</f>
        <v>418.12079594299064</v>
      </c>
      <c r="F24" s="62" t="s">
        <v>86</v>
      </c>
      <c r="G24" s="49">
        <f>SUM(D24:E24)</f>
        <v>911.0710976976402</v>
      </c>
    </row>
    <row r="25" spans="1:12" x14ac:dyDescent="0.35">
      <c r="D25" s="49"/>
      <c r="E25" s="49"/>
      <c r="G25" s="49"/>
      <c r="H25" t="s">
        <v>135</v>
      </c>
    </row>
    <row r="26" spans="1:12" ht="15" thickBot="1" x14ac:dyDescent="0.4">
      <c r="D26" s="49"/>
      <c r="E26" s="49"/>
      <c r="G26" s="49"/>
      <c r="H26" t="s">
        <v>12</v>
      </c>
      <c r="I26" s="64">
        <f>MIN(I22,I13)</f>
        <v>0.50100200400801598</v>
      </c>
    </row>
    <row r="27" spans="1:12" x14ac:dyDescent="0.35">
      <c r="A27" s="18" t="s">
        <v>34</v>
      </c>
      <c r="B27" s="17">
        <v>500</v>
      </c>
      <c r="C27" s="17"/>
      <c r="D27" s="17" t="s">
        <v>120</v>
      </c>
      <c r="E27" s="66">
        <v>911.07109769763997</v>
      </c>
      <c r="F27" s="17"/>
      <c r="G27" s="19"/>
      <c r="H27" s="59" t="s">
        <v>11</v>
      </c>
    </row>
    <row r="28" spans="1:12" ht="24" x14ac:dyDescent="0.65">
      <c r="A28" s="45"/>
      <c r="E28" s="49"/>
      <c r="G28" s="46"/>
      <c r="H28" t="s">
        <v>140</v>
      </c>
      <c r="I28" s="49">
        <f>I22*I2</f>
        <v>150.30060120240481</v>
      </c>
      <c r="J28" s="49">
        <f>I22*J2</f>
        <v>175.35070140280558</v>
      </c>
      <c r="L28" s="96" t="s">
        <v>136</v>
      </c>
    </row>
    <row r="29" spans="1:12" ht="15" thickBot="1" x14ac:dyDescent="0.4">
      <c r="A29" s="47" t="s">
        <v>35</v>
      </c>
      <c r="B29" s="48">
        <v>1000</v>
      </c>
      <c r="C29" s="48"/>
      <c r="D29" s="48" t="s">
        <v>120</v>
      </c>
      <c r="E29" s="67">
        <v>761.631528306017</v>
      </c>
      <c r="F29" s="48" t="s">
        <v>36</v>
      </c>
      <c r="G29" s="68">
        <f>E27-E29</f>
        <v>149.43956939162297</v>
      </c>
    </row>
    <row r="30" spans="1:12" x14ac:dyDescent="0.35">
      <c r="H30" t="s">
        <v>139</v>
      </c>
      <c r="I30" s="49">
        <f>I16/SUM(I16:J16)*I22</f>
        <v>0.36072144288577151</v>
      </c>
      <c r="J30" s="49">
        <f>J16/SUM(I16:J16)*I22</f>
        <v>0.14028056112224449</v>
      </c>
      <c r="L30" s="61">
        <f>I30+J30</f>
        <v>0.50100200400801598</v>
      </c>
    </row>
    <row r="32" spans="1:12" x14ac:dyDescent="0.35">
      <c r="H32" t="s">
        <v>141</v>
      </c>
      <c r="I32" s="64">
        <f>I28-I2*J30</f>
        <v>108.21643286573146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2</xdr:col>
                <xdr:colOff>717550</xdr:colOff>
                <xdr:row>5</xdr:row>
                <xdr:rowOff>63500</xdr:rowOff>
              </from>
              <to>
                <xdr:col>4</xdr:col>
                <xdr:colOff>679450</xdr:colOff>
                <xdr:row>8</xdr:row>
                <xdr:rowOff>95250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shapeId="3074" r:id="rId6">
          <objectPr defaultSize="0" autoPict="0" r:id="rId7">
            <anchor moveWithCells="1">
              <from>
                <xdr:col>9</xdr:col>
                <xdr:colOff>482600</xdr:colOff>
                <xdr:row>19</xdr:row>
                <xdr:rowOff>69850</xdr:rowOff>
              </from>
              <to>
                <xdr:col>12</xdr:col>
                <xdr:colOff>965200</xdr:colOff>
                <xdr:row>24</xdr:row>
                <xdr:rowOff>101600</xdr:rowOff>
              </to>
            </anchor>
          </objectPr>
        </oleObject>
      </mc:Choice>
      <mc:Fallback>
        <oleObject shapeId="3074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94"/>
  <sheetViews>
    <sheetView topLeftCell="A16" zoomScale="130" zoomScaleNormal="130" workbookViewId="0">
      <selection activeCell="F11" sqref="A11:F11"/>
    </sheetView>
  </sheetViews>
  <sheetFormatPr defaultColWidth="11.54296875" defaultRowHeight="14.5" x14ac:dyDescent="0.35"/>
  <cols>
    <col min="6" max="6" width="12.54296875" customWidth="1"/>
    <col min="15" max="15" width="11.54296875" customWidth="1"/>
    <col min="16" max="16" width="19.54296875" customWidth="1"/>
    <col min="27" max="27" width="4.7265625" customWidth="1"/>
  </cols>
  <sheetData>
    <row r="2" spans="1:11" x14ac:dyDescent="0.35">
      <c r="A2" s="59" t="s">
        <v>123</v>
      </c>
      <c r="C2" t="s">
        <v>124</v>
      </c>
    </row>
    <row r="4" spans="1:11" x14ac:dyDescent="0.35">
      <c r="A4" s="91" t="s">
        <v>33</v>
      </c>
      <c r="B4" s="92">
        <v>1</v>
      </c>
      <c r="C4" s="92">
        <v>2</v>
      </c>
      <c r="D4" s="92">
        <v>3</v>
      </c>
      <c r="E4" s="92">
        <v>4</v>
      </c>
      <c r="F4" s="92">
        <v>5</v>
      </c>
      <c r="G4" s="92">
        <v>6</v>
      </c>
      <c r="H4" s="92">
        <v>7</v>
      </c>
      <c r="I4" s="92">
        <v>8</v>
      </c>
      <c r="J4" s="92">
        <v>9</v>
      </c>
      <c r="K4" s="93">
        <v>10</v>
      </c>
    </row>
    <row r="5" spans="1:11" x14ac:dyDescent="0.35">
      <c r="A5" s="79" t="s">
        <v>125</v>
      </c>
      <c r="B5">
        <v>4</v>
      </c>
      <c r="C5">
        <v>8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4</v>
      </c>
      <c r="K5" s="80">
        <v>0</v>
      </c>
    </row>
    <row r="6" spans="1:11" x14ac:dyDescent="0.35">
      <c r="A6" s="90" t="s">
        <v>126</v>
      </c>
      <c r="B6" s="86">
        <v>99</v>
      </c>
      <c r="C6" s="86">
        <v>155</v>
      </c>
      <c r="D6" s="86">
        <v>75</v>
      </c>
      <c r="E6" s="86">
        <v>81</v>
      </c>
      <c r="F6" s="86">
        <v>88</v>
      </c>
      <c r="G6" s="86">
        <v>150</v>
      </c>
      <c r="H6" s="86">
        <v>101</v>
      </c>
      <c r="I6" s="86">
        <v>74</v>
      </c>
      <c r="J6" s="86">
        <v>65</v>
      </c>
      <c r="K6" s="82">
        <v>48</v>
      </c>
    </row>
    <row r="8" spans="1:11" x14ac:dyDescent="0.35">
      <c r="B8" t="s">
        <v>17</v>
      </c>
      <c r="C8" t="s">
        <v>18</v>
      </c>
      <c r="D8" t="s">
        <v>127</v>
      </c>
    </row>
    <row r="9" spans="1:11" x14ac:dyDescent="0.35">
      <c r="A9" s="79" t="s">
        <v>125</v>
      </c>
      <c r="B9">
        <f>AVERAGE(B5:K5)</f>
        <v>1.9</v>
      </c>
      <c r="C9">
        <f>_xlfn.STDEV.S(B5:K5)</f>
        <v>2.766867462592951</v>
      </c>
      <c r="D9">
        <f>C9/B9</f>
        <v>1.4562460329436584</v>
      </c>
      <c r="F9" t="s">
        <v>129</v>
      </c>
      <c r="G9" t="s">
        <v>133</v>
      </c>
    </row>
    <row r="10" spans="1:11" x14ac:dyDescent="0.35">
      <c r="A10" s="89" t="s">
        <v>126</v>
      </c>
      <c r="B10">
        <f>AVERAGE(B6:K6)</f>
        <v>93.6</v>
      </c>
      <c r="C10">
        <f>_xlfn.STDEV.S(B6:K6)</f>
        <v>34.72495100388511</v>
      </c>
      <c r="D10">
        <f>C10/B10</f>
        <v>0.37099306628082385</v>
      </c>
      <c r="F10" t="s">
        <v>128</v>
      </c>
      <c r="G10" t="s">
        <v>146</v>
      </c>
    </row>
    <row r="12" spans="1:11" x14ac:dyDescent="0.35">
      <c r="A12" s="59" t="s">
        <v>130</v>
      </c>
    </row>
    <row r="14" spans="1:11" x14ac:dyDescent="0.35">
      <c r="A14" t="s">
        <v>54</v>
      </c>
      <c r="B14">
        <v>0.1</v>
      </c>
      <c r="D14" s="89" t="s">
        <v>131</v>
      </c>
      <c r="E14">
        <v>0.95</v>
      </c>
    </row>
    <row r="15" spans="1:11" x14ac:dyDescent="0.35">
      <c r="D15" t="s">
        <v>49</v>
      </c>
      <c r="E15" s="61">
        <f>_xlfn.NORM.INV(E14,0,1)</f>
        <v>1.6448536269514715</v>
      </c>
    </row>
    <row r="17" spans="1:10" x14ac:dyDescent="0.35">
      <c r="A17" s="55"/>
      <c r="B17" s="56"/>
      <c r="C17" s="56">
        <v>1</v>
      </c>
      <c r="D17" s="56">
        <v>2</v>
      </c>
      <c r="E17" s="56">
        <v>3</v>
      </c>
      <c r="F17" s="56">
        <v>4</v>
      </c>
      <c r="G17" s="56">
        <v>5</v>
      </c>
      <c r="H17" s="57" t="s">
        <v>13</v>
      </c>
      <c r="I17" s="57" t="s">
        <v>14</v>
      </c>
      <c r="J17" s="57" t="s">
        <v>132</v>
      </c>
    </row>
    <row r="18" spans="1:10" x14ac:dyDescent="0.35">
      <c r="A18" s="52" t="s">
        <v>15</v>
      </c>
      <c r="B18" s="51"/>
      <c r="C18" s="51">
        <v>56</v>
      </c>
      <c r="D18" s="51">
        <v>40</v>
      </c>
      <c r="E18" s="51">
        <v>61</v>
      </c>
      <c r="F18" s="51">
        <v>42</v>
      </c>
      <c r="G18" s="51">
        <v>51</v>
      </c>
      <c r="H18" s="51">
        <f>AVERAGE(C18:G18)</f>
        <v>50</v>
      </c>
      <c r="I18" s="53">
        <f>STDEV(C18:G18)</f>
        <v>8.9721792224631809</v>
      </c>
      <c r="J18" s="94">
        <f>VARA(C18:G18)</f>
        <v>80.5</v>
      </c>
    </row>
    <row r="19" spans="1:10" x14ac:dyDescent="0.35">
      <c r="A19" s="58" t="s">
        <v>16</v>
      </c>
      <c r="B19" s="51"/>
      <c r="C19" s="51"/>
      <c r="D19" s="51"/>
      <c r="E19" s="51"/>
      <c r="F19" s="51"/>
      <c r="G19" s="51"/>
      <c r="H19" s="51"/>
      <c r="I19" s="51"/>
      <c r="J19" s="50"/>
    </row>
    <row r="20" spans="1:10" x14ac:dyDescent="0.35">
      <c r="A20" s="50" t="s">
        <v>17</v>
      </c>
      <c r="B20" s="51">
        <v>50</v>
      </c>
      <c r="C20" s="53">
        <f>B20*(1-$B$14)+$B$14*C18</f>
        <v>50.6</v>
      </c>
      <c r="D20" s="53">
        <f t="shared" ref="D20:G20" si="0">C20*(1-$B$14)+$B$14*D18</f>
        <v>49.54</v>
      </c>
      <c r="E20" s="53">
        <f t="shared" si="0"/>
        <v>50.686</v>
      </c>
      <c r="F20" s="53">
        <f t="shared" si="0"/>
        <v>49.817400000000006</v>
      </c>
      <c r="G20" s="53">
        <f t="shared" si="0"/>
        <v>49.935660000000006</v>
      </c>
      <c r="H20" s="51"/>
      <c r="I20" s="51"/>
      <c r="J20" s="50"/>
    </row>
    <row r="21" spans="1:10" x14ac:dyDescent="0.35">
      <c r="A21" s="50" t="s">
        <v>18</v>
      </c>
      <c r="B21" s="51">
        <v>15</v>
      </c>
      <c r="C21" s="54">
        <v>15</v>
      </c>
      <c r="D21" s="54">
        <v>15</v>
      </c>
      <c r="E21" s="54">
        <v>15</v>
      </c>
      <c r="F21" s="54">
        <v>15</v>
      </c>
      <c r="G21" s="54">
        <v>15</v>
      </c>
      <c r="H21" s="51"/>
      <c r="I21" s="51"/>
      <c r="J21" s="50"/>
    </row>
    <row r="22" spans="1:10" x14ac:dyDescent="0.35">
      <c r="A22" s="50" t="s">
        <v>19</v>
      </c>
      <c r="B22" s="53">
        <f>B20+$E$15*B21</f>
        <v>74.672804404272071</v>
      </c>
      <c r="C22" s="53">
        <f t="shared" ref="C22:G22" si="1">C20+$E$15*C21</f>
        <v>75.27280440427208</v>
      </c>
      <c r="D22" s="53">
        <f t="shared" si="1"/>
        <v>74.212804404272077</v>
      </c>
      <c r="E22" s="53">
        <f t="shared" si="1"/>
        <v>75.358804404272064</v>
      </c>
      <c r="F22" s="53">
        <f t="shared" si="1"/>
        <v>74.490204404272077</v>
      </c>
      <c r="G22" s="53">
        <f t="shared" si="1"/>
        <v>74.60846440427207</v>
      </c>
      <c r="H22" s="51"/>
      <c r="I22" s="51"/>
      <c r="J22" s="50"/>
    </row>
    <row r="23" spans="1:10" x14ac:dyDescent="0.35">
      <c r="A23" s="52" t="s">
        <v>145</v>
      </c>
      <c r="B23" s="53">
        <f>ROUND(B22+0.5,0)</f>
        <v>75</v>
      </c>
      <c r="C23" s="53">
        <f t="shared" ref="C23:G23" si="2">ROUND(C22+0.5,0)</f>
        <v>76</v>
      </c>
      <c r="D23" s="53">
        <f t="shared" si="2"/>
        <v>75</v>
      </c>
      <c r="E23" s="53">
        <f t="shared" si="2"/>
        <v>76</v>
      </c>
      <c r="F23" s="53">
        <f t="shared" si="2"/>
        <v>75</v>
      </c>
      <c r="G23" s="53">
        <f t="shared" si="2"/>
        <v>75</v>
      </c>
      <c r="H23" s="51"/>
      <c r="I23" s="51"/>
      <c r="J23" s="50"/>
    </row>
    <row r="24" spans="1:10" x14ac:dyDescent="0.35">
      <c r="A24" s="52" t="s">
        <v>20</v>
      </c>
      <c r="B24" s="51"/>
      <c r="C24" s="69">
        <f>C18-B23+C23</f>
        <v>57</v>
      </c>
      <c r="D24" s="69">
        <f>D18-C23+D23</f>
        <v>39</v>
      </c>
      <c r="E24" s="69">
        <f>E18-D23+E23</f>
        <v>62</v>
      </c>
      <c r="F24" s="69">
        <f>F18-E23+F23</f>
        <v>41</v>
      </c>
      <c r="G24" s="69">
        <f>G18-F23+G23</f>
        <v>51</v>
      </c>
      <c r="H24" s="51">
        <f>AVERAGE(C24:G24)</f>
        <v>50</v>
      </c>
      <c r="I24" s="53">
        <f>STDEV(C24:G24)</f>
        <v>9.9498743710661994</v>
      </c>
      <c r="J24" s="94">
        <f>VARA(C24:G24)</f>
        <v>99</v>
      </c>
    </row>
    <row r="25" spans="1:10" x14ac:dyDescent="0.35">
      <c r="A25" s="58" t="s">
        <v>21</v>
      </c>
      <c r="B25" s="51"/>
      <c r="C25" s="51"/>
      <c r="D25" s="51"/>
      <c r="E25" s="51"/>
      <c r="F25" s="51"/>
      <c r="G25" s="51"/>
      <c r="H25" s="51"/>
      <c r="I25" s="53"/>
      <c r="J25" s="50"/>
    </row>
    <row r="26" spans="1:10" x14ac:dyDescent="0.35">
      <c r="A26" s="50" t="s">
        <v>17</v>
      </c>
      <c r="B26" s="51">
        <v>50</v>
      </c>
      <c r="C26" s="53">
        <f>B26*0.9+0.1*C24</f>
        <v>50.7</v>
      </c>
      <c r="D26" s="53">
        <f>C26*0.9+0.1*D24</f>
        <v>49.53</v>
      </c>
      <c r="E26" s="53">
        <f>D26*0.9+0.1*E24</f>
        <v>50.777000000000008</v>
      </c>
      <c r="F26" s="53">
        <f>E26*0.9+0.1*F24</f>
        <v>49.799300000000009</v>
      </c>
      <c r="G26" s="53">
        <f>F26*0.9+0.1*G24</f>
        <v>49.919370000000008</v>
      </c>
      <c r="H26" s="51"/>
      <c r="I26" s="53"/>
      <c r="J26" s="50"/>
    </row>
    <row r="27" spans="1:10" x14ac:dyDescent="0.35">
      <c r="A27" s="50" t="s">
        <v>18</v>
      </c>
      <c r="B27" s="51">
        <v>15</v>
      </c>
      <c r="C27" s="54">
        <v>15</v>
      </c>
      <c r="D27" s="54">
        <v>15</v>
      </c>
      <c r="E27" s="54">
        <v>15</v>
      </c>
      <c r="F27" s="54">
        <v>15</v>
      </c>
      <c r="G27" s="54">
        <v>15</v>
      </c>
      <c r="H27" s="51"/>
      <c r="I27" s="53"/>
      <c r="J27" s="50"/>
    </row>
    <row r="28" spans="1:10" x14ac:dyDescent="0.35">
      <c r="A28" s="52" t="s">
        <v>22</v>
      </c>
      <c r="B28" s="51">
        <f t="shared" ref="B28:G28" si="3">ROUND(B26+1.645*B27+0.5,0)</f>
        <v>75</v>
      </c>
      <c r="C28" s="51">
        <f t="shared" si="3"/>
        <v>76</v>
      </c>
      <c r="D28" s="51">
        <f t="shared" si="3"/>
        <v>75</v>
      </c>
      <c r="E28" s="51">
        <f t="shared" si="3"/>
        <v>76</v>
      </c>
      <c r="F28" s="51">
        <f t="shared" si="3"/>
        <v>75</v>
      </c>
      <c r="G28" s="51">
        <f t="shared" si="3"/>
        <v>75</v>
      </c>
      <c r="H28" s="51"/>
      <c r="I28" s="53"/>
      <c r="J28" s="50"/>
    </row>
    <row r="29" spans="1:10" x14ac:dyDescent="0.35">
      <c r="A29" s="52" t="s">
        <v>23</v>
      </c>
      <c r="B29" s="51"/>
      <c r="C29" s="69">
        <f>C24-B28+C28</f>
        <v>58</v>
      </c>
      <c r="D29" s="69">
        <f>D24-C28+D28</f>
        <v>38</v>
      </c>
      <c r="E29" s="69">
        <f>E24-D28+E28</f>
        <v>63</v>
      </c>
      <c r="F29" s="69">
        <f>F24-E28+F28</f>
        <v>40</v>
      </c>
      <c r="G29" s="69">
        <f>G24-F28+G28</f>
        <v>51</v>
      </c>
      <c r="H29" s="51">
        <f>AVERAGE(C29:G29)</f>
        <v>50</v>
      </c>
      <c r="I29" s="53">
        <f>STDEV(C29:G29)</f>
        <v>10.931605554537724</v>
      </c>
      <c r="J29" s="94">
        <f>VARA(C29:G29)</f>
        <v>119.5</v>
      </c>
    </row>
    <row r="32" spans="1:10" x14ac:dyDescent="0.35">
      <c r="A32" s="59" t="s">
        <v>37</v>
      </c>
      <c r="B32" t="s">
        <v>147</v>
      </c>
    </row>
    <row r="34" spans="2:24" hidden="1" x14ac:dyDescent="0.35">
      <c r="B34" t="s">
        <v>89</v>
      </c>
    </row>
    <row r="35" spans="2:24" hidden="1" x14ac:dyDescent="0.35"/>
    <row r="36" spans="2:24" ht="15" hidden="1" thickBot="1" x14ac:dyDescent="0.4">
      <c r="P36" s="9"/>
      <c r="Q36" s="9"/>
      <c r="R36" s="10">
        <v>1</v>
      </c>
      <c r="S36" s="10">
        <v>2</v>
      </c>
      <c r="T36" s="10">
        <v>3</v>
      </c>
      <c r="U36" s="10"/>
      <c r="V36" s="10"/>
      <c r="W36" s="11" t="s">
        <v>13</v>
      </c>
      <c r="X36" s="12" t="s">
        <v>14</v>
      </c>
    </row>
    <row r="37" spans="2:24" ht="15" hidden="1" thickBot="1" x14ac:dyDescent="0.4">
      <c r="P37" s="13" t="s">
        <v>15</v>
      </c>
      <c r="Q37" s="9"/>
      <c r="R37" s="14">
        <v>95</v>
      </c>
      <c r="S37" s="14">
        <v>129</v>
      </c>
      <c r="T37" s="14">
        <v>101</v>
      </c>
      <c r="U37" s="17"/>
      <c r="V37" s="17"/>
      <c r="W37" s="2">
        <f>AVERAGE(R37:T37)</f>
        <v>108.33333333333333</v>
      </c>
      <c r="X37" s="1">
        <f>STDEV(R37:T37)</f>
        <v>18.147543451754899</v>
      </c>
    </row>
    <row r="38" spans="2:24" hidden="1" x14ac:dyDescent="0.35">
      <c r="P38" s="15" t="s">
        <v>16</v>
      </c>
      <c r="Q38" s="16"/>
      <c r="R38" s="17"/>
      <c r="S38" s="17"/>
      <c r="T38" s="17"/>
      <c r="U38" s="17"/>
      <c r="V38" s="17"/>
      <c r="W38" s="18"/>
      <c r="X38" s="19"/>
    </row>
    <row r="39" spans="2:24" hidden="1" x14ac:dyDescent="0.35">
      <c r="P39" s="20" t="s">
        <v>17</v>
      </c>
      <c r="Q39" s="20">
        <v>100</v>
      </c>
      <c r="R39" s="3">
        <f>Q39*0.9+0.1*R37</f>
        <v>99.5</v>
      </c>
      <c r="S39" s="3">
        <f>R39*0.9+0.1*S37</f>
        <v>102.45</v>
      </c>
      <c r="T39" s="3">
        <f>S39*0.9+0.1*T37</f>
        <v>102.30500000000001</v>
      </c>
      <c r="U39" s="3"/>
      <c r="V39" s="3"/>
      <c r="W39" s="4"/>
      <c r="X39" s="21"/>
    </row>
    <row r="40" spans="2:24" hidden="1" x14ac:dyDescent="0.35">
      <c r="P40" s="20" t="s">
        <v>18</v>
      </c>
      <c r="Q40" s="20">
        <v>30</v>
      </c>
      <c r="R40" s="5">
        <v>30</v>
      </c>
      <c r="S40" s="5">
        <v>30</v>
      </c>
      <c r="T40" s="5">
        <v>30</v>
      </c>
      <c r="U40" s="5"/>
      <c r="V40" s="5"/>
      <c r="W40" s="4"/>
      <c r="X40" s="21"/>
    </row>
    <row r="41" spans="2:24" hidden="1" x14ac:dyDescent="0.35">
      <c r="P41" s="20" t="s">
        <v>19</v>
      </c>
      <c r="Q41" s="20">
        <v>150</v>
      </c>
      <c r="R41" s="6">
        <f>ROUND(R39+1.645*R40+0.5,0)</f>
        <v>149</v>
      </c>
      <c r="S41" s="6">
        <f>ROUND(S39+1.645*S40+0.5,0)</f>
        <v>152</v>
      </c>
      <c r="T41" s="6">
        <f>ROUND(T39+1.645*T40+0.5,0)</f>
        <v>152</v>
      </c>
      <c r="U41" s="6"/>
      <c r="V41" s="6"/>
      <c r="W41" s="4"/>
      <c r="X41" s="21"/>
    </row>
    <row r="42" spans="2:24" ht="15" hidden="1" thickBot="1" x14ac:dyDescent="0.4">
      <c r="P42" s="22" t="s">
        <v>20</v>
      </c>
      <c r="Q42" s="22"/>
      <c r="R42" s="7">
        <f>R37-Q41+R41</f>
        <v>94</v>
      </c>
      <c r="S42" s="7">
        <f>S37-R41+S41</f>
        <v>132</v>
      </c>
      <c r="T42" s="7">
        <f>T37-S41+T41</f>
        <v>101</v>
      </c>
      <c r="U42" s="7"/>
      <c r="V42" s="7"/>
      <c r="W42" s="8">
        <f>AVERAGE(R42:T42)</f>
        <v>109</v>
      </c>
      <c r="X42" s="23">
        <f>STDEV(R42:T42)</f>
        <v>20.223748416156685</v>
      </c>
    </row>
    <row r="43" spans="2:24" hidden="1" x14ac:dyDescent="0.35">
      <c r="P43" s="15" t="s">
        <v>21</v>
      </c>
      <c r="Q43" s="16"/>
      <c r="R43" s="1"/>
      <c r="S43" s="1"/>
      <c r="T43" s="1"/>
      <c r="U43" s="1"/>
      <c r="V43" s="1"/>
      <c r="W43" s="2"/>
      <c r="X43" s="24"/>
    </row>
    <row r="44" spans="2:24" hidden="1" x14ac:dyDescent="0.35">
      <c r="P44" s="20" t="s">
        <v>17</v>
      </c>
      <c r="Q44" s="20">
        <v>100</v>
      </c>
      <c r="R44" s="3">
        <f>Q44*0.9+0.1*R42</f>
        <v>99.4</v>
      </c>
      <c r="S44" s="3">
        <f>R44*0.9+0.1*S42</f>
        <v>102.66000000000001</v>
      </c>
      <c r="T44" s="3">
        <f>S44*0.9+0.1*T42</f>
        <v>102.494</v>
      </c>
      <c r="U44" s="3"/>
      <c r="V44" s="3"/>
      <c r="W44" s="4"/>
      <c r="X44" s="21"/>
    </row>
    <row r="45" spans="2:24" hidden="1" x14ac:dyDescent="0.35">
      <c r="P45" s="20" t="s">
        <v>18</v>
      </c>
      <c r="Q45" s="20">
        <v>30</v>
      </c>
      <c r="R45" s="5">
        <v>30</v>
      </c>
      <c r="S45" s="5">
        <v>30</v>
      </c>
      <c r="T45" s="5">
        <v>30</v>
      </c>
      <c r="U45" s="5"/>
      <c r="V45" s="5"/>
      <c r="W45" s="4"/>
      <c r="X45" s="21"/>
    </row>
    <row r="46" spans="2:24" hidden="1" x14ac:dyDescent="0.35">
      <c r="P46" s="20" t="s">
        <v>22</v>
      </c>
      <c r="Q46" s="20">
        <v>150</v>
      </c>
      <c r="R46" s="6">
        <f>ROUND(R44+1.645*R45+0.5,0)</f>
        <v>149</v>
      </c>
      <c r="S46" s="6">
        <f>ROUND(S44+1.645*S45+0.5,0)</f>
        <v>153</v>
      </c>
      <c r="T46" s="6">
        <f>ROUND(T44+1.645*T45+0.5,0)</f>
        <v>152</v>
      </c>
      <c r="U46" s="6"/>
      <c r="V46" s="6"/>
      <c r="W46" s="4"/>
      <c r="X46" s="21"/>
    </row>
    <row r="47" spans="2:24" ht="15" hidden="1" thickBot="1" x14ac:dyDescent="0.4">
      <c r="P47" s="22" t="s">
        <v>23</v>
      </c>
      <c r="Q47" s="22"/>
      <c r="R47" s="7">
        <f>R42-Q46+R46</f>
        <v>93</v>
      </c>
      <c r="S47" s="7">
        <f>S42-R46+S46</f>
        <v>136</v>
      </c>
      <c r="T47" s="7">
        <f>T42-S46+T46</f>
        <v>100</v>
      </c>
      <c r="U47" s="7"/>
      <c r="V47" s="7"/>
      <c r="W47" s="8">
        <f>AVERAGE(R47:T47)</f>
        <v>109.66666666666667</v>
      </c>
      <c r="X47" s="23">
        <f>STDEV(R47:T47)</f>
        <v>23.072349974229589</v>
      </c>
    </row>
    <row r="48" spans="2:24" hidden="1" x14ac:dyDescent="0.35"/>
    <row r="49" spans="1:24" ht="15" hidden="1" thickBot="1" x14ac:dyDescent="0.4">
      <c r="S49" s="10">
        <v>2</v>
      </c>
      <c r="T49" s="10">
        <v>3</v>
      </c>
      <c r="U49" s="10"/>
      <c r="V49" s="10"/>
      <c r="W49" s="11" t="s">
        <v>13</v>
      </c>
      <c r="X49" s="12" t="s">
        <v>14</v>
      </c>
    </row>
    <row r="50" spans="1:24" ht="15" hidden="1" thickBot="1" x14ac:dyDescent="0.4">
      <c r="S50" s="14">
        <v>129</v>
      </c>
      <c r="T50" s="14">
        <v>101</v>
      </c>
      <c r="U50" s="17"/>
      <c r="V50" s="17"/>
      <c r="W50" s="2">
        <f>AVERAGE(R50:T50)</f>
        <v>115</v>
      </c>
      <c r="X50" s="1">
        <f>STDEV(R50:T50)</f>
        <v>19.798989873223331</v>
      </c>
    </row>
    <row r="51" spans="1:24" hidden="1" x14ac:dyDescent="0.35">
      <c r="S51" s="17"/>
      <c r="T51" s="17"/>
      <c r="U51" s="17"/>
      <c r="V51" s="17"/>
      <c r="W51" s="18"/>
      <c r="X51" s="19"/>
    </row>
    <row r="52" spans="1:24" hidden="1" x14ac:dyDescent="0.35">
      <c r="S52" s="3">
        <f>R66*0.9+0.1*S50</f>
        <v>12.9</v>
      </c>
      <c r="T52" s="3">
        <f>S52*0.9+0.1*T50</f>
        <v>21.71</v>
      </c>
      <c r="U52" s="3"/>
      <c r="V52" s="3"/>
      <c r="W52" s="4"/>
      <c r="X52" s="21"/>
    </row>
    <row r="53" spans="1:24" hidden="1" x14ac:dyDescent="0.35">
      <c r="S53" s="5">
        <v>30</v>
      </c>
      <c r="T53" s="5">
        <v>30</v>
      </c>
      <c r="U53" s="5"/>
      <c r="V53" s="5"/>
      <c r="W53" s="4"/>
      <c r="X53" s="21"/>
    </row>
    <row r="54" spans="1:24" hidden="1" x14ac:dyDescent="0.35">
      <c r="S54" s="6">
        <f>ROUND(S52+1.645*S53+0.5,0)</f>
        <v>63</v>
      </c>
      <c r="T54" s="6">
        <f>ROUND(T52+1.645*T53+0.5,0)</f>
        <v>72</v>
      </c>
      <c r="U54" s="6"/>
      <c r="V54" s="6"/>
      <c r="W54" s="4"/>
      <c r="X54" s="21"/>
    </row>
    <row r="55" spans="1:24" ht="15" hidden="1" thickBot="1" x14ac:dyDescent="0.4">
      <c r="S55" s="7">
        <f>S50-R68+S54</f>
        <v>192</v>
      </c>
      <c r="T55" s="7">
        <f>T50-S54+T54</f>
        <v>110</v>
      </c>
      <c r="U55" s="7"/>
      <c r="V55" s="7"/>
      <c r="W55" s="8">
        <f>AVERAGE(R55:T55)</f>
        <v>151</v>
      </c>
      <c r="X55" s="23">
        <f>STDEV(R55:T55)</f>
        <v>57.982756057296896</v>
      </c>
    </row>
    <row r="56" spans="1:24" hidden="1" x14ac:dyDescent="0.35">
      <c r="S56" s="1"/>
      <c r="T56" s="1"/>
      <c r="U56" s="1"/>
      <c r="V56" s="1"/>
      <c r="W56" s="2"/>
      <c r="X56" s="24"/>
    </row>
    <row r="57" spans="1:24" hidden="1" x14ac:dyDescent="0.35">
      <c r="S57" s="3">
        <f>R71*0.9+0.1*S55</f>
        <v>19.200000000000003</v>
      </c>
      <c r="T57" s="3">
        <f>S57*0.9+0.1*T55</f>
        <v>28.280000000000005</v>
      </c>
      <c r="U57" s="3"/>
      <c r="V57" s="3"/>
      <c r="W57" s="4"/>
      <c r="X57" s="21"/>
    </row>
    <row r="58" spans="1:24" hidden="1" x14ac:dyDescent="0.35">
      <c r="S58" s="5">
        <v>30</v>
      </c>
      <c r="T58" s="5">
        <v>30</v>
      </c>
      <c r="U58" s="5"/>
      <c r="V58" s="5"/>
      <c r="W58" s="4"/>
      <c r="X58" s="21"/>
    </row>
    <row r="59" spans="1:24" hidden="1" x14ac:dyDescent="0.35">
      <c r="S59" s="6">
        <f>ROUND(S57+1.645*S58+0.5,0)</f>
        <v>69</v>
      </c>
      <c r="T59" s="6">
        <f>ROUND(T57+1.645*T58+0.5,0)</f>
        <v>78</v>
      </c>
      <c r="U59" s="6"/>
      <c r="V59" s="6"/>
      <c r="W59" s="4"/>
      <c r="X59" s="21"/>
    </row>
    <row r="60" spans="1:24" ht="15" hidden="1" thickBot="1" x14ac:dyDescent="0.4">
      <c r="S60" s="7">
        <f>S55-R73+S59</f>
        <v>261</v>
      </c>
      <c r="T60" s="7">
        <f>T55-S59+T59</f>
        <v>119</v>
      </c>
      <c r="U60" s="7"/>
      <c r="V60" s="7"/>
      <c r="W60" s="8">
        <f>AVERAGE(R60:T60)</f>
        <v>190</v>
      </c>
      <c r="X60" s="23">
        <f>STDEV(R60:T60)</f>
        <v>100.40916292848975</v>
      </c>
    </row>
    <row r="61" spans="1:24" hidden="1" x14ac:dyDescent="0.35"/>
    <row r="62" spans="1:24" hidden="1" x14ac:dyDescent="0.35"/>
    <row r="63" spans="1:24" s="28" customFormat="1" ht="25" hidden="1" customHeight="1" thickBot="1" x14ac:dyDescent="0.55000000000000004">
      <c r="A63"/>
      <c r="B63"/>
      <c r="C63"/>
      <c r="D63"/>
      <c r="E63"/>
      <c r="F63"/>
      <c r="G63"/>
      <c r="H63"/>
      <c r="I63"/>
      <c r="J63"/>
      <c r="K63"/>
      <c r="P63" s="25"/>
      <c r="Q63" s="26"/>
      <c r="R63" s="27">
        <v>1</v>
      </c>
    </row>
    <row r="64" spans="1:24" s="28" customFormat="1" ht="25" hidden="1" customHeight="1" thickBot="1" x14ac:dyDescent="0.55000000000000004">
      <c r="A64"/>
      <c r="B64"/>
      <c r="C64"/>
      <c r="D64"/>
      <c r="E64"/>
      <c r="F64"/>
      <c r="G64"/>
      <c r="H64"/>
      <c r="I64"/>
      <c r="J64"/>
      <c r="K64"/>
      <c r="P64" s="29" t="s">
        <v>15</v>
      </c>
      <c r="Q64" s="26"/>
      <c r="R64" s="30">
        <v>95</v>
      </c>
    </row>
    <row r="65" spans="1:18" s="28" customFormat="1" ht="21" hidden="1" x14ac:dyDescent="0.5">
      <c r="A65"/>
      <c r="B65"/>
      <c r="C65"/>
      <c r="D65"/>
      <c r="E65"/>
      <c r="F65"/>
      <c r="G65"/>
      <c r="H65"/>
      <c r="I65"/>
      <c r="J65"/>
      <c r="K65"/>
      <c r="P65" s="31" t="s">
        <v>16</v>
      </c>
      <c r="Q65" s="32"/>
      <c r="R65" s="33"/>
    </row>
    <row r="66" spans="1:18" s="28" customFormat="1" ht="21" hidden="1" x14ac:dyDescent="0.5">
      <c r="A66"/>
      <c r="B66"/>
      <c r="C66"/>
      <c r="D66"/>
      <c r="E66"/>
      <c r="F66"/>
      <c r="G66"/>
      <c r="H66"/>
      <c r="I66"/>
      <c r="J66"/>
      <c r="K66"/>
      <c r="P66" s="34" t="s">
        <v>17</v>
      </c>
      <c r="Q66" s="35">
        <v>100</v>
      </c>
      <c r="R66" s="36"/>
    </row>
    <row r="67" spans="1:18" s="28" customFormat="1" ht="21" hidden="1" x14ac:dyDescent="0.5">
      <c r="A67"/>
      <c r="B67"/>
      <c r="C67"/>
      <c r="D67"/>
      <c r="E67"/>
      <c r="F67"/>
      <c r="G67"/>
      <c r="H67"/>
      <c r="I67"/>
      <c r="J67"/>
      <c r="K67"/>
      <c r="P67" s="34" t="s">
        <v>18</v>
      </c>
      <c r="Q67" s="35">
        <v>30</v>
      </c>
      <c r="R67" s="37"/>
    </row>
    <row r="68" spans="1:18" s="28" customFormat="1" ht="21" hidden="1" x14ac:dyDescent="0.5">
      <c r="A68"/>
      <c r="B68"/>
      <c r="C68"/>
      <c r="D68"/>
      <c r="E68"/>
      <c r="F68"/>
      <c r="G68"/>
      <c r="H68"/>
      <c r="I68"/>
      <c r="J68"/>
      <c r="K68"/>
      <c r="P68" s="34" t="s">
        <v>19</v>
      </c>
      <c r="Q68" s="35">
        <v>150</v>
      </c>
      <c r="R68" s="38"/>
    </row>
    <row r="69" spans="1:18" s="28" customFormat="1" ht="21.5" hidden="1" thickBot="1" x14ac:dyDescent="0.55000000000000004">
      <c r="A69"/>
      <c r="B69"/>
      <c r="C69"/>
      <c r="D69"/>
      <c r="E69"/>
      <c r="F69"/>
      <c r="G69"/>
      <c r="H69"/>
      <c r="I69"/>
      <c r="J69"/>
      <c r="K69"/>
      <c r="P69" s="39" t="s">
        <v>20</v>
      </c>
      <c r="Q69" s="40"/>
      <c r="R69" s="41"/>
    </row>
    <row r="70" spans="1:18" s="28" customFormat="1" ht="21" hidden="1" x14ac:dyDescent="0.5">
      <c r="A70"/>
      <c r="B70"/>
      <c r="C70"/>
      <c r="D70"/>
      <c r="E70"/>
      <c r="F70"/>
      <c r="G70"/>
      <c r="H70"/>
      <c r="I70"/>
      <c r="J70"/>
      <c r="K70"/>
      <c r="P70" s="31" t="s">
        <v>21</v>
      </c>
      <c r="Q70" s="32"/>
      <c r="R70" s="42"/>
    </row>
    <row r="71" spans="1:18" s="28" customFormat="1" ht="21" hidden="1" x14ac:dyDescent="0.5">
      <c r="A71"/>
      <c r="B71"/>
      <c r="C71"/>
      <c r="D71"/>
      <c r="E71"/>
      <c r="F71"/>
      <c r="G71"/>
      <c r="H71"/>
      <c r="I71"/>
      <c r="J71"/>
      <c r="K71"/>
      <c r="P71" s="34" t="s">
        <v>17</v>
      </c>
      <c r="Q71" s="35">
        <v>100</v>
      </c>
      <c r="R71" s="36"/>
    </row>
    <row r="72" spans="1:18" s="28" customFormat="1" ht="21" hidden="1" x14ac:dyDescent="0.5">
      <c r="A72"/>
      <c r="B72"/>
      <c r="C72"/>
      <c r="D72"/>
      <c r="E72"/>
      <c r="F72"/>
      <c r="G72"/>
      <c r="H72"/>
      <c r="I72"/>
      <c r="J72"/>
      <c r="K72"/>
      <c r="P72" s="34" t="s">
        <v>18</v>
      </c>
      <c r="Q72" s="35">
        <v>30</v>
      </c>
      <c r="R72" s="37"/>
    </row>
    <row r="73" spans="1:18" s="28" customFormat="1" ht="21" hidden="1" x14ac:dyDescent="0.5">
      <c r="A73"/>
      <c r="B73"/>
      <c r="C73"/>
      <c r="D73"/>
      <c r="E73"/>
      <c r="F73"/>
      <c r="G73"/>
      <c r="H73"/>
      <c r="I73"/>
      <c r="J73"/>
      <c r="K73"/>
      <c r="P73" s="34" t="s">
        <v>22</v>
      </c>
      <c r="Q73" s="35">
        <v>150</v>
      </c>
      <c r="R73" s="38"/>
    </row>
    <row r="74" spans="1:18" s="28" customFormat="1" ht="21.5" hidden="1" thickBot="1" x14ac:dyDescent="0.55000000000000004">
      <c r="A74"/>
      <c r="B74"/>
      <c r="C74"/>
      <c r="D74"/>
      <c r="E74"/>
      <c r="F74"/>
      <c r="G74"/>
      <c r="H74"/>
      <c r="I74"/>
      <c r="J74"/>
      <c r="K74"/>
      <c r="P74" s="39" t="s">
        <v>23</v>
      </c>
      <c r="Q74" s="40"/>
      <c r="R74" s="41"/>
    </row>
    <row r="88" spans="1:2" x14ac:dyDescent="0.35">
      <c r="A88" s="59"/>
    </row>
    <row r="94" spans="1:2" x14ac:dyDescent="0.35">
      <c r="B94" s="89"/>
    </row>
  </sheetData>
  <pageMargins left="0.7" right="0.7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shapeId="12290" r:id="rId4">
          <objectPr defaultSize="0" autoPict="0" r:id="rId5">
            <anchor moveWithCells="1">
              <from>
                <xdr:col>0</xdr:col>
                <xdr:colOff>57150</xdr:colOff>
                <xdr:row>14</xdr:row>
                <xdr:rowOff>44450</xdr:rowOff>
              </from>
              <to>
                <xdr:col>2</xdr:col>
                <xdr:colOff>127000</xdr:colOff>
                <xdr:row>15</xdr:row>
                <xdr:rowOff>133350</xdr:rowOff>
              </to>
            </anchor>
          </objectPr>
        </oleObject>
      </mc:Choice>
      <mc:Fallback>
        <oleObject shapeId="1229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Question1</vt:lpstr>
      <vt:lpstr>Question2</vt:lpstr>
      <vt:lpstr>Question3</vt:lpstr>
      <vt:lpstr>Question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Miray</dc:creator>
  <cp:lastModifiedBy>Patrick Helm</cp:lastModifiedBy>
  <cp:lastPrinted>2025-07-08T19:24:18Z</cp:lastPrinted>
  <dcterms:created xsi:type="dcterms:W3CDTF">2013-07-13T11:33:50Z</dcterms:created>
  <dcterms:modified xsi:type="dcterms:W3CDTF">2025-07-09T12:28:39Z</dcterms:modified>
</cp:coreProperties>
</file>