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4595" windowHeight="7680"/>
  </bookViews>
  <sheets>
    <sheet name="Analysis" sheetId="4" r:id="rId1"/>
    <sheet name="Graphs" sheetId="5" r:id="rId2"/>
  </sheets>
  <externalReferences>
    <externalReference r:id="rId3"/>
    <externalReference r:id="rId4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/>
</workbook>
</file>

<file path=xl/calcChain.xml><?xml version="1.0" encoding="utf-8"?>
<calcChain xmlns="http://schemas.openxmlformats.org/spreadsheetml/2006/main">
  <c r="B12" i="4" l="1"/>
  <c r="I51" i="4" l="1"/>
  <c r="H51" i="4"/>
  <c r="C52" i="4"/>
  <c r="B52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25" i="4"/>
  <c r="J51" i="4" l="1"/>
  <c r="J52" i="4" s="1"/>
  <c r="AI45" i="4"/>
  <c r="C45" i="4" s="1"/>
  <c r="G21" i="4"/>
  <c r="G20" i="4"/>
  <c r="B44" i="4"/>
  <c r="AD44" i="4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 l="1"/>
  <c r="G26" i="4" s="1"/>
  <c r="X26" i="4" s="1"/>
  <c r="C36" i="4"/>
  <c r="G36" i="4" s="1"/>
  <c r="X36" i="4" s="1"/>
  <c r="C25" i="4"/>
  <c r="C30" i="4"/>
  <c r="G30" i="4" s="1"/>
  <c r="X30" i="4" s="1"/>
  <c r="C29" i="4"/>
  <c r="G29" i="4" s="1"/>
  <c r="C28" i="4"/>
  <c r="C32" i="4"/>
  <c r="G32" i="4" s="1"/>
  <c r="X32" i="4" s="1"/>
  <c r="C40" i="4"/>
  <c r="G40" i="4" s="1"/>
  <c r="C37" i="4"/>
  <c r="C44" i="4"/>
  <c r="G44" i="4" s="1"/>
  <c r="C33" i="4"/>
  <c r="G33" i="4" s="1"/>
  <c r="C41" i="4"/>
  <c r="G41" i="4" s="1"/>
  <c r="C34" i="4"/>
  <c r="G34" i="4" s="1"/>
  <c r="X34" i="4" s="1"/>
  <c r="C38" i="4"/>
  <c r="G38" i="4" s="1"/>
  <c r="X38" i="4" s="1"/>
  <c r="C42" i="4"/>
  <c r="G42" i="4" s="1"/>
  <c r="X42" i="4" s="1"/>
  <c r="C27" i="4"/>
  <c r="G27" i="4" s="1"/>
  <c r="C31" i="4"/>
  <c r="G31" i="4" s="1"/>
  <c r="X31" i="4" s="1"/>
  <c r="C35" i="4"/>
  <c r="G35" i="4" s="1"/>
  <c r="X35" i="4" s="1"/>
  <c r="C39" i="4"/>
  <c r="G39" i="4" s="1"/>
  <c r="X39" i="4" s="1"/>
  <c r="C43" i="4"/>
  <c r="G43" i="4" s="1"/>
  <c r="X43" i="4" s="1"/>
  <c r="AD43" i="4"/>
  <c r="G28" i="4"/>
  <c r="X28" i="4" s="1"/>
  <c r="G25" i="4"/>
  <c r="X25" i="4" s="1"/>
  <c r="B45" i="4"/>
  <c r="G37" i="4"/>
  <c r="X37" i="4" s="1"/>
  <c r="X44" i="4" l="1"/>
  <c r="AG44" i="4" s="1"/>
  <c r="AG43" i="4" s="1"/>
  <c r="AG42" i="4" s="1"/>
  <c r="M44" i="4"/>
  <c r="W44" i="4" s="1"/>
  <c r="M36" i="4"/>
  <c r="W36" i="4" s="1"/>
  <c r="AB36" i="4" s="1"/>
  <c r="AA36" i="4" s="1"/>
  <c r="D36" i="4" s="1"/>
  <c r="M28" i="4"/>
  <c r="W28" i="4" s="1"/>
  <c r="AB28" i="4" s="1"/>
  <c r="AA28" i="4" s="1"/>
  <c r="D28" i="4" s="1"/>
  <c r="M39" i="4"/>
  <c r="W39" i="4" s="1"/>
  <c r="AB39" i="4" s="1"/>
  <c r="AA39" i="4" s="1"/>
  <c r="D39" i="4" s="1"/>
  <c r="AD42" i="4"/>
  <c r="M32" i="4"/>
  <c r="W32" i="4" s="1"/>
  <c r="AB32" i="4" s="1"/>
  <c r="AA32" i="4" s="1"/>
  <c r="D32" i="4" s="1"/>
  <c r="M31" i="4"/>
  <c r="W31" i="4" s="1"/>
  <c r="AB31" i="4" s="1"/>
  <c r="AA31" i="4" s="1"/>
  <c r="D31" i="4" s="1"/>
  <c r="M43" i="4"/>
  <c r="W43" i="4" s="1"/>
  <c r="AB43" i="4" s="1"/>
  <c r="AA43" i="4" s="1"/>
  <c r="D43" i="4" s="1"/>
  <c r="AF44" i="4"/>
  <c r="M35" i="4"/>
  <c r="W35" i="4" s="1"/>
  <c r="M27" i="4"/>
  <c r="W27" i="4" s="1"/>
  <c r="X27" i="4"/>
  <c r="M33" i="4"/>
  <c r="W33" i="4" s="1"/>
  <c r="X33" i="4"/>
  <c r="M41" i="4"/>
  <c r="W41" i="4" s="1"/>
  <c r="X41" i="4"/>
  <c r="M40" i="4"/>
  <c r="W40" i="4" s="1"/>
  <c r="X40" i="4"/>
  <c r="M29" i="4"/>
  <c r="W29" i="4" s="1"/>
  <c r="X29" i="4"/>
  <c r="G46" i="4"/>
  <c r="H44" i="4" s="1"/>
  <c r="G45" i="4"/>
  <c r="C46" i="4" s="1"/>
  <c r="H31" i="4"/>
  <c r="M37" i="4"/>
  <c r="W37" i="4" s="1"/>
  <c r="M26" i="4"/>
  <c r="W26" i="4" s="1"/>
  <c r="M30" i="4"/>
  <c r="W30" i="4" s="1"/>
  <c r="M34" i="4"/>
  <c r="W34" i="4" s="1"/>
  <c r="M38" i="4"/>
  <c r="W38" i="4" s="1"/>
  <c r="M42" i="4"/>
  <c r="W42" i="4" s="1"/>
  <c r="Y31" i="4" l="1"/>
  <c r="AB44" i="4"/>
  <c r="AA44" i="4" s="1"/>
  <c r="D44" i="4" s="1"/>
  <c r="H34" i="4"/>
  <c r="AF43" i="4"/>
  <c r="AF42" i="4" s="1"/>
  <c r="AF41" i="4" s="1"/>
  <c r="AF40" i="4" s="1"/>
  <c r="AF39" i="4" s="1"/>
  <c r="AF38" i="4" s="1"/>
  <c r="AF37" i="4" s="1"/>
  <c r="AF36" i="4" s="1"/>
  <c r="AF35" i="4" s="1"/>
  <c r="AF34" i="4" s="1"/>
  <c r="AF33" i="4" s="1"/>
  <c r="AF32" i="4" s="1"/>
  <c r="AF31" i="4" s="1"/>
  <c r="AF30" i="4" s="1"/>
  <c r="AF29" i="4" s="1"/>
  <c r="AF28" i="4" s="1"/>
  <c r="AF27" i="4" s="1"/>
  <c r="AF26" i="4" s="1"/>
  <c r="Y36" i="4"/>
  <c r="P36" i="4"/>
  <c r="F36" i="4"/>
  <c r="E36" i="4"/>
  <c r="P28" i="4"/>
  <c r="F28" i="4"/>
  <c r="E28" i="4"/>
  <c r="F43" i="4"/>
  <c r="E43" i="4"/>
  <c r="P43" i="4"/>
  <c r="F32" i="4"/>
  <c r="E32" i="4"/>
  <c r="P32" i="4"/>
  <c r="P31" i="4"/>
  <c r="E31" i="4"/>
  <c r="F31" i="4"/>
  <c r="P39" i="4"/>
  <c r="E39" i="4"/>
  <c r="F39" i="4"/>
  <c r="Z31" i="4"/>
  <c r="Z43" i="4"/>
  <c r="Z28" i="4"/>
  <c r="Y39" i="4"/>
  <c r="Y28" i="4"/>
  <c r="Y43" i="4"/>
  <c r="AC44" i="4"/>
  <c r="AC43" i="4" s="1"/>
  <c r="Y32" i="4"/>
  <c r="Z32" i="4"/>
  <c r="Z36" i="4"/>
  <c r="Z39" i="4"/>
  <c r="H36" i="4"/>
  <c r="H27" i="4"/>
  <c r="H26" i="4"/>
  <c r="X45" i="4"/>
  <c r="B15" i="4" s="1"/>
  <c r="AG41" i="4"/>
  <c r="AG40" i="4" s="1"/>
  <c r="AG39" i="4" s="1"/>
  <c r="AG38" i="4" s="1"/>
  <c r="AG37" i="4" s="1"/>
  <c r="AG36" i="4" s="1"/>
  <c r="AG35" i="4" s="1"/>
  <c r="AG34" i="4" s="1"/>
  <c r="AG33" i="4" s="1"/>
  <c r="AG32" i="4" s="1"/>
  <c r="AG31" i="4" s="1"/>
  <c r="AG30" i="4" s="1"/>
  <c r="AG29" i="4" s="1"/>
  <c r="AG28" i="4" s="1"/>
  <c r="AG27" i="4" s="1"/>
  <c r="AG26" i="4" s="1"/>
  <c r="AG25" i="4" s="1"/>
  <c r="AD41" i="4"/>
  <c r="AB42" i="4"/>
  <c r="AA42" i="4" s="1"/>
  <c r="D42" i="4" s="1"/>
  <c r="AB34" i="4"/>
  <c r="AA34" i="4" s="1"/>
  <c r="D34" i="4" s="1"/>
  <c r="AB26" i="4"/>
  <c r="AA26" i="4" s="1"/>
  <c r="D26" i="4" s="1"/>
  <c r="AB37" i="4"/>
  <c r="AA37" i="4" s="1"/>
  <c r="D37" i="4" s="1"/>
  <c r="AB35" i="4"/>
  <c r="AA35" i="4" s="1"/>
  <c r="D35" i="4" s="1"/>
  <c r="AB38" i="4"/>
  <c r="AA38" i="4" s="1"/>
  <c r="D38" i="4" s="1"/>
  <c r="Y38" i="4" s="1"/>
  <c r="AB30" i="4"/>
  <c r="AA30" i="4" s="1"/>
  <c r="D30" i="4" s="1"/>
  <c r="Y30" i="4" s="1"/>
  <c r="AB29" i="4"/>
  <c r="AA29" i="4" s="1"/>
  <c r="D29" i="4" s="1"/>
  <c r="Y29" i="4" s="1"/>
  <c r="AB40" i="4"/>
  <c r="AA40" i="4" s="1"/>
  <c r="D40" i="4" s="1"/>
  <c r="Z40" i="4" s="1"/>
  <c r="AB41" i="4"/>
  <c r="AA41" i="4" s="1"/>
  <c r="D41" i="4" s="1"/>
  <c r="Y41" i="4" s="1"/>
  <c r="AB33" i="4"/>
  <c r="AA33" i="4" s="1"/>
  <c r="D33" i="4" s="1"/>
  <c r="Z33" i="4" s="1"/>
  <c r="AB27" i="4"/>
  <c r="AA27" i="4" s="1"/>
  <c r="D27" i="4" s="1"/>
  <c r="Y27" i="4" s="1"/>
  <c r="H33" i="4"/>
  <c r="H30" i="4"/>
  <c r="H35" i="4"/>
  <c r="H32" i="4"/>
  <c r="J32" i="4" s="1"/>
  <c r="H25" i="4"/>
  <c r="J25" i="4" s="1"/>
  <c r="J31" i="4"/>
  <c r="J36" i="4"/>
  <c r="H28" i="4"/>
  <c r="J28" i="4" s="1"/>
  <c r="H29" i="4"/>
  <c r="AC42" i="4" l="1"/>
  <c r="AC41" i="4" s="1"/>
  <c r="AC40" i="4" s="1"/>
  <c r="AC39" i="4" s="1"/>
  <c r="AC38" i="4" s="1"/>
  <c r="AC37" i="4" s="1"/>
  <c r="AC36" i="4" s="1"/>
  <c r="AC35" i="4" s="1"/>
  <c r="AC34" i="4" s="1"/>
  <c r="AC33" i="4" s="1"/>
  <c r="AC32" i="4" s="1"/>
  <c r="AC31" i="4" s="1"/>
  <c r="AC30" i="4" s="1"/>
  <c r="AC29" i="4" s="1"/>
  <c r="AC28" i="4" s="1"/>
  <c r="AC27" i="4" s="1"/>
  <c r="AC26" i="4" s="1"/>
  <c r="J35" i="4"/>
  <c r="J34" i="4"/>
  <c r="O32" i="4"/>
  <c r="O43" i="4"/>
  <c r="O28" i="4"/>
  <c r="O36" i="4"/>
  <c r="Y33" i="4"/>
  <c r="Y40" i="4"/>
  <c r="F35" i="4"/>
  <c r="E35" i="4"/>
  <c r="P35" i="4"/>
  <c r="Z35" i="4"/>
  <c r="F37" i="4"/>
  <c r="P37" i="4"/>
  <c r="E37" i="4"/>
  <c r="Z37" i="4"/>
  <c r="E26" i="4"/>
  <c r="P26" i="4"/>
  <c r="F26" i="4"/>
  <c r="O26" i="4" s="1"/>
  <c r="Z26" i="4"/>
  <c r="F34" i="4"/>
  <c r="E34" i="4"/>
  <c r="P34" i="4"/>
  <c r="Z34" i="4"/>
  <c r="P42" i="4"/>
  <c r="E42" i="4"/>
  <c r="F42" i="4"/>
  <c r="Z42" i="4"/>
  <c r="P27" i="4"/>
  <c r="F27" i="4"/>
  <c r="E27" i="4"/>
  <c r="F33" i="4"/>
  <c r="P33" i="4"/>
  <c r="E33" i="4"/>
  <c r="F41" i="4"/>
  <c r="P41" i="4"/>
  <c r="E41" i="4"/>
  <c r="P40" i="4"/>
  <c r="F40" i="4"/>
  <c r="E40" i="4"/>
  <c r="P29" i="4"/>
  <c r="F29" i="4"/>
  <c r="E29" i="4"/>
  <c r="P30" i="4"/>
  <c r="E30" i="4"/>
  <c r="F30" i="4"/>
  <c r="Z30" i="4"/>
  <c r="P38" i="4"/>
  <c r="E38" i="4"/>
  <c r="F38" i="4"/>
  <c r="Z38" i="4"/>
  <c r="Y35" i="4"/>
  <c r="Y37" i="4"/>
  <c r="Y26" i="4"/>
  <c r="Y34" i="4"/>
  <c r="Y42" i="4"/>
  <c r="P44" i="4"/>
  <c r="E44" i="4"/>
  <c r="F44" i="4"/>
  <c r="Y44" i="4"/>
  <c r="Z44" i="4"/>
  <c r="O39" i="4"/>
  <c r="O31" i="4"/>
  <c r="Z27" i="4"/>
  <c r="Z41" i="4"/>
  <c r="Z29" i="4"/>
  <c r="J27" i="4"/>
  <c r="AD40" i="4"/>
  <c r="J33" i="4"/>
  <c r="J26" i="4"/>
  <c r="J29" i="4"/>
  <c r="J30" i="4"/>
  <c r="O44" i="4" l="1"/>
  <c r="O38" i="4"/>
  <c r="O29" i="4"/>
  <c r="O40" i="4"/>
  <c r="O27" i="4"/>
  <c r="O33" i="4"/>
  <c r="O30" i="4"/>
  <c r="O41" i="4"/>
  <c r="O42" i="4"/>
  <c r="O34" i="4"/>
  <c r="O37" i="4"/>
  <c r="O35" i="4"/>
  <c r="AD39" i="4"/>
  <c r="AD38" i="4" l="1"/>
  <c r="M25" i="4"/>
  <c r="W25" i="4" s="1"/>
  <c r="AD37" i="4" l="1"/>
  <c r="AB25" i="4"/>
  <c r="W45" i="4"/>
  <c r="B16" i="4" s="1"/>
  <c r="B17" i="4" s="1"/>
  <c r="AF25" i="4"/>
  <c r="M45" i="4"/>
  <c r="N42" i="4" s="1"/>
  <c r="H43" i="4"/>
  <c r="H41" i="4"/>
  <c r="H39" i="4"/>
  <c r="H37" i="4"/>
  <c r="J37" i="4" s="1"/>
  <c r="H42" i="4"/>
  <c r="H40" i="4"/>
  <c r="H38" i="4"/>
  <c r="J38" i="4" l="1"/>
  <c r="AC25" i="4"/>
  <c r="AA25" i="4"/>
  <c r="D25" i="4" s="1"/>
  <c r="J42" i="4"/>
  <c r="AD36" i="4"/>
  <c r="J43" i="4"/>
  <c r="J44" i="4"/>
  <c r="N27" i="4"/>
  <c r="J40" i="4"/>
  <c r="J41" i="4"/>
  <c r="N26" i="4"/>
  <c r="N25" i="4"/>
  <c r="N30" i="4"/>
  <c r="N29" i="4"/>
  <c r="N37" i="4"/>
  <c r="N41" i="4"/>
  <c r="I42" i="4" s="1"/>
  <c r="K42" i="4" s="1"/>
  <c r="N28" i="4"/>
  <c r="N33" i="4"/>
  <c r="N36" i="4"/>
  <c r="I37" i="4" s="1"/>
  <c r="K37" i="4" s="1"/>
  <c r="N40" i="4"/>
  <c r="I41" i="4" s="1"/>
  <c r="K41" i="4" s="1"/>
  <c r="N44" i="4"/>
  <c r="J39" i="4"/>
  <c r="N32" i="4"/>
  <c r="N35" i="4"/>
  <c r="N39" i="4"/>
  <c r="N43" i="4"/>
  <c r="N31" i="4"/>
  <c r="I32" i="4" s="1"/>
  <c r="K32" i="4" s="1"/>
  <c r="N34" i="4"/>
  <c r="I35" i="4" s="1"/>
  <c r="K35" i="4" s="1"/>
  <c r="N38" i="4"/>
  <c r="I39" i="4" s="1"/>
  <c r="E25" i="4" l="1"/>
  <c r="E45" i="4" s="1"/>
  <c r="P25" i="4"/>
  <c r="F25" i="4"/>
  <c r="Z25" i="4"/>
  <c r="Z45" i="4" s="1"/>
  <c r="B19" i="4" s="1"/>
  <c r="A52" i="4" s="1"/>
  <c r="Y25" i="4"/>
  <c r="Y45" i="4" s="1"/>
  <c r="B20" i="4" s="1"/>
  <c r="I36" i="4"/>
  <c r="K36" i="4" s="1"/>
  <c r="I30" i="4"/>
  <c r="K30" i="4" s="1"/>
  <c r="AD35" i="4"/>
  <c r="I44" i="4"/>
  <c r="K44" i="4" s="1"/>
  <c r="I28" i="4"/>
  <c r="K28" i="4" s="1"/>
  <c r="K39" i="4"/>
  <c r="I40" i="4"/>
  <c r="K40" i="4" s="1"/>
  <c r="I33" i="4"/>
  <c r="K33" i="4" s="1"/>
  <c r="I29" i="4"/>
  <c r="K29" i="4" s="1"/>
  <c r="I38" i="4"/>
  <c r="K38" i="4" s="1"/>
  <c r="I31" i="4"/>
  <c r="K31" i="4" s="1"/>
  <c r="I27" i="4"/>
  <c r="K27" i="4" s="1"/>
  <c r="I43" i="4"/>
  <c r="K43" i="4" s="1"/>
  <c r="I25" i="4"/>
  <c r="K25" i="4" s="1"/>
  <c r="I26" i="4"/>
  <c r="K26" i="4" s="1"/>
  <c r="I34" i="4"/>
  <c r="K34" i="4" s="1"/>
  <c r="P45" i="4" l="1"/>
  <c r="R44" i="4" s="1"/>
  <c r="B21" i="4"/>
  <c r="E52" i="4" s="1"/>
  <c r="F45" i="4"/>
  <c r="B13" i="4" s="1"/>
  <c r="F52" i="4" s="1"/>
  <c r="O25" i="4"/>
  <c r="AD34" i="4"/>
  <c r="K45" i="4"/>
  <c r="K46" i="4" s="1"/>
  <c r="R43" i="4" l="1"/>
  <c r="R41" i="4"/>
  <c r="R39" i="4"/>
  <c r="R37" i="4"/>
  <c r="R35" i="4"/>
  <c r="T35" i="4" s="1"/>
  <c r="R33" i="4"/>
  <c r="R31" i="4"/>
  <c r="R29" i="4"/>
  <c r="R27" i="4"/>
  <c r="T28" i="4" s="1"/>
  <c r="R25" i="4"/>
  <c r="T25" i="4" s="1"/>
  <c r="R42" i="4"/>
  <c r="T42" i="4" s="1"/>
  <c r="R40" i="4"/>
  <c r="R38" i="4"/>
  <c r="T38" i="4" s="1"/>
  <c r="R36" i="4"/>
  <c r="R34" i="4"/>
  <c r="R32" i="4"/>
  <c r="R30" i="4"/>
  <c r="R28" i="4"/>
  <c r="R26" i="4"/>
  <c r="T34" i="4"/>
  <c r="T33" i="4"/>
  <c r="T27" i="4"/>
  <c r="T37" i="4"/>
  <c r="T30" i="4"/>
  <c r="O45" i="4"/>
  <c r="Q26" i="4" s="1"/>
  <c r="T26" i="4"/>
  <c r="B8" i="4"/>
  <c r="D52" i="4"/>
  <c r="AD33" i="4"/>
  <c r="Q43" i="4" l="1"/>
  <c r="S43" i="4" s="1"/>
  <c r="Q41" i="4"/>
  <c r="Q39" i="4"/>
  <c r="Q37" i="4"/>
  <c r="Q35" i="4"/>
  <c r="S35" i="4" s="1"/>
  <c r="U35" i="4" s="1"/>
  <c r="Q33" i="4"/>
  <c r="Q31" i="4"/>
  <c r="Q29" i="4"/>
  <c r="Q27" i="4"/>
  <c r="S27" i="4" s="1"/>
  <c r="U27" i="4" s="1"/>
  <c r="Q25" i="4"/>
  <c r="S25" i="4" s="1"/>
  <c r="U25" i="4" s="1"/>
  <c r="Q44" i="4"/>
  <c r="Q42" i="4"/>
  <c r="Q40" i="4"/>
  <c r="S40" i="4" s="1"/>
  <c r="Q38" i="4"/>
  <c r="Q36" i="4"/>
  <c r="Q34" i="4"/>
  <c r="Q32" i="4"/>
  <c r="Q30" i="4"/>
  <c r="Q28" i="4"/>
  <c r="T44" i="4"/>
  <c r="T31" i="4"/>
  <c r="T32" i="4"/>
  <c r="S28" i="4"/>
  <c r="U28" i="4" s="1"/>
  <c r="T29" i="4"/>
  <c r="T40" i="4"/>
  <c r="T36" i="4"/>
  <c r="T41" i="4"/>
  <c r="T39" i="4"/>
  <c r="T43" i="4"/>
  <c r="S41" i="4"/>
  <c r="S34" i="4"/>
  <c r="U34" i="4" s="1"/>
  <c r="S26" i="4"/>
  <c r="U26" i="4" s="1"/>
  <c r="AD32" i="4"/>
  <c r="S39" i="4" l="1"/>
  <c r="U39" i="4" s="1"/>
  <c r="U43" i="4"/>
  <c r="S29" i="4"/>
  <c r="U29" i="4" s="1"/>
  <c r="U40" i="4"/>
  <c r="S31" i="4"/>
  <c r="U31" i="4" s="1"/>
  <c r="S37" i="4"/>
  <c r="U37" i="4" s="1"/>
  <c r="U41" i="4"/>
  <c r="S36" i="4"/>
  <c r="U36" i="4" s="1"/>
  <c r="S38" i="4"/>
  <c r="U38" i="4" s="1"/>
  <c r="S42" i="4"/>
  <c r="U42" i="4" s="1"/>
  <c r="S32" i="4"/>
  <c r="U32" i="4" s="1"/>
  <c r="S30" i="4"/>
  <c r="U30" i="4" s="1"/>
  <c r="S44" i="4"/>
  <c r="U44" i="4" s="1"/>
  <c r="S33" i="4"/>
  <c r="U33" i="4" s="1"/>
  <c r="AD31" i="4"/>
  <c r="U45" i="4" l="1"/>
  <c r="U46" i="4" s="1"/>
  <c r="B9" i="4" s="1"/>
  <c r="AD30" i="4"/>
  <c r="AD29" i="4" l="1"/>
  <c r="AD28" i="4" l="1"/>
  <c r="AD27" i="4" l="1"/>
  <c r="AD26" i="4" l="1"/>
  <c r="AD25" i="4" l="1"/>
  <c r="AE25" i="4" l="1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</calcChain>
</file>

<file path=xl/sharedStrings.xml><?xml version="1.0" encoding="utf-8"?>
<sst xmlns="http://schemas.openxmlformats.org/spreadsheetml/2006/main" count="73" uniqueCount="59">
  <si>
    <t>Number of applications per month</t>
  </si>
  <si>
    <t>Average loan amount</t>
  </si>
  <si>
    <t>Provision charged on disbursement day</t>
  </si>
  <si>
    <t>Global risk in market (default12)</t>
  </si>
  <si>
    <t>Accepted risk</t>
  </si>
  <si>
    <t>Acceptance rate</t>
  </si>
  <si>
    <t>Global loss</t>
  </si>
  <si>
    <t>Global income</t>
  </si>
  <si>
    <t>Global profit</t>
  </si>
  <si>
    <t>Accepted loss</t>
  </si>
  <si>
    <t>Accepted income</t>
  </si>
  <si>
    <t>Accepted profit</t>
  </si>
  <si>
    <t>Score bands</t>
  </si>
  <si>
    <t>Number of applications</t>
  </si>
  <si>
    <t>Observed default12 ratio (bad rate)</t>
  </si>
  <si>
    <t>Accepted flag</t>
  </si>
  <si>
    <t>Accepted</t>
  </si>
  <si>
    <t>a</t>
  </si>
  <si>
    <t>b</t>
  </si>
  <si>
    <t>Risk weighted of accepted (bads)</t>
  </si>
  <si>
    <t>Accepted goods</t>
  </si>
  <si>
    <t>Goods</t>
  </si>
  <si>
    <t>Average number of installments</t>
  </si>
  <si>
    <t>LGD (Loss Given Default)</t>
  </si>
  <si>
    <t>Annual percentage rate (or net margin)</t>
  </si>
  <si>
    <t>Z</t>
  </si>
  <si>
    <t>Gini global</t>
  </si>
  <si>
    <t>Gini on accepted</t>
  </si>
  <si>
    <t>Gini</t>
  </si>
  <si>
    <t>Opt Acc rate</t>
  </si>
  <si>
    <t>PLN</t>
  </si>
  <si>
    <t xml:space="preserve">of Gini </t>
  </si>
  <si>
    <t>of Gini</t>
  </si>
  <si>
    <t>Charge provision</t>
  </si>
  <si>
    <t>Income from interest rates</t>
  </si>
  <si>
    <t>Bads</t>
  </si>
  <si>
    <t>Cum bads(%)</t>
  </si>
  <si>
    <t>Goods+</t>
  </si>
  <si>
    <t>Bads-</t>
  </si>
  <si>
    <t>Cum good(%)</t>
  </si>
  <si>
    <t>For accepted</t>
  </si>
  <si>
    <t>Acc bads</t>
  </si>
  <si>
    <t>Cum goods</t>
  </si>
  <si>
    <t>Cum bads</t>
  </si>
  <si>
    <t>Income</t>
  </si>
  <si>
    <t>Loss</t>
  </si>
  <si>
    <t>Acc income</t>
  </si>
  <si>
    <t>Acc loss</t>
  </si>
  <si>
    <t>Profit</t>
  </si>
  <si>
    <t>Profit cum</t>
  </si>
  <si>
    <t>All cum</t>
  </si>
  <si>
    <t>Acc rate</t>
  </si>
  <si>
    <t>Income cum</t>
  </si>
  <si>
    <t>Loss cum</t>
  </si>
  <si>
    <t>Sum bads</t>
  </si>
  <si>
    <t>Sum Z</t>
  </si>
  <si>
    <t xml:space="preserve">Gini </t>
  </si>
  <si>
    <t>Sum goods</t>
  </si>
  <si>
    <t>Optimal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</si>
</sst>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[Red]\-#,##0.00\ "/>
  </numFmts>
  <fonts count="4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3" fontId="0" fillId="0" borderId="0" xfId="0" applyNumberFormat="1" applyFill="1" applyAlignment="1">
      <alignment vertical="center" wrapText="1"/>
    </xf>
    <xf numFmtId="10" fontId="2" fillId="4" borderId="0" xfId="1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0" fillId="0" borderId="2" xfId="0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9" fontId="0" fillId="2" borderId="2" xfId="0" applyNumberFormat="1" applyFill="1" applyBorder="1" applyAlignment="1">
      <alignment vertical="center" wrapText="1"/>
    </xf>
    <xf numFmtId="10" fontId="0" fillId="3" borderId="2" xfId="1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3" fontId="0" fillId="3" borderId="2" xfId="0" applyNumberFormat="1" applyFill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0" fontId="0" fillId="2" borderId="1" xfId="1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2" xfId="0" applyFill="1" applyBorder="1" applyAlignment="1">
      <alignment vertical="center" wrapText="1"/>
    </xf>
    <xf numFmtId="10" fontId="0" fillId="3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0" fontId="0" fillId="0" borderId="2" xfId="0" applyNumberForma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9" fontId="0" fillId="3" borderId="0" xfId="0" applyNumberForma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9" fontId="0" fillId="6" borderId="2" xfId="0" applyNumberForma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3" fontId="0" fillId="6" borderId="2" xfId="0" applyNumberForma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0" fontId="1" fillId="0" borderId="0" xfId="1" applyNumberFormat="1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Bad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Analysis!$C$25:$C$44</c:f>
              <c:numCache>
                <c:formatCode>0.00%</c:formatCode>
                <c:ptCount val="20"/>
                <c:pt idx="0">
                  <c:v>0.99344259242678268</c:v>
                </c:pt>
                <c:pt idx="1">
                  <c:v>0.93694313841872712</c:v>
                </c:pt>
                <c:pt idx="2">
                  <c:v>0.87721480014063191</c:v>
                </c:pt>
                <c:pt idx="3">
                  <c:v>0.81501276226627128</c:v>
                </c:pt>
                <c:pt idx="4">
                  <c:v>0.75123795003014016</c:v>
                </c:pt>
                <c:pt idx="5">
                  <c:v>0.68688860948149788</c:v>
                </c:pt>
                <c:pt idx="6">
                  <c:v>0.62299943971880378</c:v>
                </c:pt>
                <c:pt idx="7">
                  <c:v>0.5605759041573708</c:v>
                </c:pt>
                <c:pt idx="8">
                  <c:v>0.50053241498932077</c:v>
                </c:pt>
                <c:pt idx="9">
                  <c:v>0.44364222584360274</c:v>
                </c:pt>
                <c:pt idx="10">
                  <c:v>0.39050436479290418</c:v>
                </c:pt>
                <c:pt idx="11">
                  <c:v>0.34152958120432819</c:v>
                </c:pt>
                <c:pt idx="12">
                  <c:v>0.29694402125080177</c:v>
                </c:pt>
                <c:pt idx="13">
                  <c:v>0.25680694999792303</c:v>
                </c:pt>
                <c:pt idx="14">
                  <c:v>0.22103765608207449</c:v>
                </c:pt>
                <c:pt idx="15">
                  <c:v>0.189446645388262</c:v>
                </c:pt>
                <c:pt idx="16">
                  <c:v>0.16176701794718479</c:v>
                </c:pt>
                <c:pt idx="17">
                  <c:v>0.1376831082826116</c:v>
                </c:pt>
                <c:pt idx="18">
                  <c:v>0.1168546951480184</c:v>
                </c:pt>
                <c:pt idx="19">
                  <c:v>9.8936122432742371E-2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4710784"/>
        <c:axId val="134712704"/>
      </c:lineChart>
      <c:catAx>
        <c:axId val="1347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712704"/>
        <c:crosses val="autoZero"/>
        <c:auto val="1"/>
        <c:lblAlgn val="ctr"/>
        <c:lblOffset val="100"/>
        <c:noMultiLvlLbl val="0"/>
      </c:catAx>
      <c:valAx>
        <c:axId val="13471270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3471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Optimal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xVal>
            <c:numRef>
              <c:f>Analysis!$D$53:$D$67</c:f>
              <c:numCache>
                <c:formatCode>0.00%</c:formatCode>
                <c:ptCount val="15"/>
                <c:pt idx="0">
                  <c:v>0.91533837715220767</c:v>
                </c:pt>
                <c:pt idx="1">
                  <c:v>0.88250957338705383</c:v>
                </c:pt>
                <c:pt idx="2">
                  <c:v>0.77522758347744669</c:v>
                </c:pt>
                <c:pt idx="3">
                  <c:v>0.73659990606164438</c:v>
                </c:pt>
                <c:pt idx="4">
                  <c:v>0.69663138626618137</c:v>
                </c:pt>
                <c:pt idx="5">
                  <c:v>0.67617440075526236</c:v>
                </c:pt>
                <c:pt idx="6">
                  <c:v>0.65542264809461448</c:v>
                </c:pt>
                <c:pt idx="7">
                  <c:v>0.61311016346132186</c:v>
                </c:pt>
                <c:pt idx="8">
                  <c:v>0.56986983498022437</c:v>
                </c:pt>
                <c:pt idx="9">
                  <c:v>0.52591959105982944</c:v>
                </c:pt>
                <c:pt idx="10">
                  <c:v>0.48152044193346422</c:v>
                </c:pt>
                <c:pt idx="11">
                  <c:v>0.43697537942483045</c:v>
                </c:pt>
                <c:pt idx="12">
                  <c:v>0.39262550190870826</c:v>
                </c:pt>
                <c:pt idx="13">
                  <c:v>0.34884284882983174</c:v>
                </c:pt>
                <c:pt idx="14">
                  <c:v>0.30601967321092149</c:v>
                </c:pt>
              </c:numCache>
            </c:numRef>
          </c:xVal>
          <c:yVal>
            <c:numRef>
              <c:f>Analysis!$E$53:$E$67</c:f>
              <c:numCache>
                <c:formatCode>#,##0</c:formatCode>
                <c:ptCount val="15"/>
                <c:pt idx="0">
                  <c:v>19942989.750751138</c:v>
                </c:pt>
                <c:pt idx="1">
                  <c:v>18879737.847368602</c:v>
                </c:pt>
                <c:pt idx="2">
                  <c:v>15373572.214046653</c:v>
                </c:pt>
                <c:pt idx="3">
                  <c:v>14171576.652111277</c:v>
                </c:pt>
                <c:pt idx="4">
                  <c:v>12901084.05857487</c:v>
                </c:pt>
                <c:pt idx="5">
                  <c:v>12241286.322745964</c:v>
                </c:pt>
                <c:pt idx="6">
                  <c:v>11595732.879725356</c:v>
                </c:pt>
                <c:pt idx="7">
                  <c:v>10339871.153033029</c:v>
                </c:pt>
                <c:pt idx="8">
                  <c:v>9025650.7656506859</c:v>
                </c:pt>
                <c:pt idx="9">
                  <c:v>7721248.3791506663</c:v>
                </c:pt>
                <c:pt idx="10">
                  <c:v>6455957.0656656642</c:v>
                </c:pt>
                <c:pt idx="11">
                  <c:v>5187825.033653561</c:v>
                </c:pt>
                <c:pt idx="12">
                  <c:v>4010587.5901114531</c:v>
                </c:pt>
                <c:pt idx="13">
                  <c:v>2896380.7818065081</c:v>
                </c:pt>
                <c:pt idx="14">
                  <c:v>1879692.5228668544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0992"/>
        <c:axId val="139072640"/>
      </c:scatterChart>
      <c:valAx>
        <c:axId val="13474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39072640"/>
        <c:crosses val="autoZero"/>
        <c:crossBetween val="midCat"/>
      </c:valAx>
      <c:valAx>
        <c:axId val="13907264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3474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Analysis!$AE$25:$AE$44</c:f>
              <c:numCache>
                <c:formatCode>0.00%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cat>
          <c:val>
            <c:numRef>
              <c:f>Analysis!$AC$25:$AC$44</c:f>
              <c:numCache>
                <c:formatCode>0.00</c:formatCode>
                <c:ptCount val="20"/>
                <c:pt idx="0">
                  <c:v>-24867742.192699797</c:v>
                </c:pt>
                <c:pt idx="1">
                  <c:v>-18679686.346064791</c:v>
                </c:pt>
                <c:pt idx="2">
                  <c:v>-13025349.168741699</c:v>
                </c:pt>
                <c:pt idx="3">
                  <c:v>-7935232.1203680318</c:v>
                </c:pt>
                <c:pt idx="4">
                  <c:v>-3432702.8543127542</c:v>
                </c:pt>
                <c:pt idx="5">
                  <c:v>467381.51170097198</c:v>
                </c:pt>
                <c:pt idx="6">
                  <c:v>3759593.7307763579</c:v>
                </c:pt>
                <c:pt idx="7">
                  <c:v>6448280.7783637764</c:v>
                </c:pt>
                <c:pt idx="8">
                  <c:v>8547287.6791511402</c:v>
                </c:pt>
                <c:pt idx="9">
                  <c:v>10079097.397200294</c:v>
                </c:pt>
                <c:pt idx="10">
                  <c:v>11073497.390131986</c:v>
                </c:pt>
                <c:pt idx="11">
                  <c:v>11565933.797963956</c:v>
                </c:pt>
                <c:pt idx="12">
                  <c:v>11595732.879725358</c:v>
                </c:pt>
                <c:pt idx="13">
                  <c:v>11204357.17056701</c:v>
                </c:pt>
                <c:pt idx="14">
                  <c:v>10433829.049491376</c:v>
                </c:pt>
                <c:pt idx="15">
                  <c:v>9325408.4604943413</c:v>
                </c:pt>
                <c:pt idx="16">
                  <c:v>7918565.3028948531</c:v>
                </c:pt>
                <c:pt idx="17">
                  <c:v>6250248.2216217835</c:v>
                </c:pt>
                <c:pt idx="18">
                  <c:v>4354423.9468071312</c:v>
                </c:pt>
                <c:pt idx="19">
                  <c:v>2261845.3291896447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9105792"/>
        <c:axId val="139107712"/>
      </c:lineChart>
      <c:catAx>
        <c:axId val="1391057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Acceptance rate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39107712"/>
        <c:crosses val="autoZero"/>
        <c:auto val="1"/>
        <c:lblAlgn val="ctr"/>
        <c:lblOffset val="100"/>
        <c:noMultiLvlLbl val="0"/>
      </c:catAx>
      <c:valAx>
        <c:axId val="139107712"/>
        <c:scaling>
          <c:orientation val="minMax"/>
        </c:scaling>
        <c:delete val="0"/>
        <c:axPos val="r"/>
        <c:majorGridlines/>
        <c:numFmt formatCode="#,##0" sourceLinked="0"/>
        <c:majorTickMark val="out"/>
        <c:minorTickMark val="none"/>
        <c:tickLblPos val="nextTo"/>
        <c:crossAx val="13910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Loss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Analysis!$AE$25:$AE$44</c:f>
              <c:numCache>
                <c:formatCode>0.00%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cat>
          <c:val>
            <c:numRef>
              <c:f>Analysis!$AG$25:$AG$44</c:f>
              <c:numCache>
                <c:formatCode>0.00</c:formatCode>
                <c:ptCount val="20"/>
                <c:pt idx="0">
                  <c:v>58750000</c:v>
                </c:pt>
                <c:pt idx="1">
                  <c:v>52540983.797332607</c:v>
                </c:pt>
                <c:pt idx="2">
                  <c:v>46685089.182215564</c:v>
                </c:pt>
                <c:pt idx="3">
                  <c:v>41202496.681336612</c:v>
                </c:pt>
                <c:pt idx="4">
                  <c:v>36108666.917172417</c:v>
                </c:pt>
                <c:pt idx="5">
                  <c:v>31413429.729484044</c:v>
                </c:pt>
                <c:pt idx="6">
                  <c:v>27120375.920224681</c:v>
                </c:pt>
                <c:pt idx="7">
                  <c:v>23226629.421982158</c:v>
                </c:pt>
                <c:pt idx="8">
                  <c:v>19723030.02099859</c:v>
                </c:pt>
                <c:pt idx="9">
                  <c:v>16594702.427315336</c:v>
                </c:pt>
                <c:pt idx="10">
                  <c:v>13821938.515792819</c:v>
                </c:pt>
                <c:pt idx="11">
                  <c:v>11381286.235837167</c:v>
                </c:pt>
                <c:pt idx="12">
                  <c:v>9246726.3533101156</c:v>
                </c:pt>
                <c:pt idx="13">
                  <c:v>7390826.2204926042</c:v>
                </c:pt>
                <c:pt idx="14">
                  <c:v>5785782.783005585</c:v>
                </c:pt>
                <c:pt idx="15">
                  <c:v>4404297.4324926194</c:v>
                </c:pt>
                <c:pt idx="16">
                  <c:v>3220255.898815982</c:v>
                </c:pt>
                <c:pt idx="17">
                  <c:v>2209212.0366460774</c:v>
                </c:pt>
                <c:pt idx="18">
                  <c:v>1348692.6098797547</c:v>
                </c:pt>
                <c:pt idx="19">
                  <c:v>618350.76520463976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6997248"/>
        <c:axId val="146999168"/>
      </c:lineChart>
      <c:catAx>
        <c:axId val="1469972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Acceptance rate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46999168"/>
        <c:crosses val="autoZero"/>
        <c:auto val="1"/>
        <c:lblAlgn val="ctr"/>
        <c:lblOffset val="100"/>
        <c:noMultiLvlLbl val="0"/>
      </c:catAx>
      <c:valAx>
        <c:axId val="146999168"/>
        <c:scaling>
          <c:orientation val="minMax"/>
        </c:scaling>
        <c:delete val="0"/>
        <c:axPos val="r"/>
        <c:majorGridlines/>
        <c:numFmt formatCode="#,##0" sourceLinked="0"/>
        <c:majorTickMark val="out"/>
        <c:minorTickMark val="none"/>
        <c:tickLblPos val="nextTo"/>
        <c:crossAx val="14699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Income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Analysis!$AE$25:$AE$44</c:f>
              <c:numCache>
                <c:formatCode>0.00%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cat>
          <c:val>
            <c:numRef>
              <c:f>Analysis!$AF$25:$AF$44</c:f>
              <c:numCache>
                <c:formatCode>0.00</c:formatCode>
                <c:ptCount val="20"/>
                <c:pt idx="0">
                  <c:v>33882257.807300203</c:v>
                </c:pt>
                <c:pt idx="1">
                  <c:v>33861297.451267816</c:v>
                </c:pt>
                <c:pt idx="2">
                  <c:v>33659740.013473861</c:v>
                </c:pt>
                <c:pt idx="3">
                  <c:v>33267264.560968582</c:v>
                </c:pt>
                <c:pt idx="4">
                  <c:v>32675964.062859666</c:v>
                </c:pt>
                <c:pt idx="5">
                  <c:v>31880811.241185017</c:v>
                </c:pt>
                <c:pt idx="6">
                  <c:v>30879969.65100104</c:v>
                </c:pt>
                <c:pt idx="7">
                  <c:v>29674910.200345933</c:v>
                </c:pt>
                <c:pt idx="8">
                  <c:v>28270317.70014973</c:v>
                </c:pt>
                <c:pt idx="9">
                  <c:v>26673799.82451563</c:v>
                </c:pt>
                <c:pt idx="10">
                  <c:v>24895435.905924805</c:v>
                </c:pt>
                <c:pt idx="11">
                  <c:v>22947220.033801123</c:v>
                </c:pt>
                <c:pt idx="12">
                  <c:v>20842459.233035475</c:v>
                </c:pt>
                <c:pt idx="13">
                  <c:v>18595183.391059615</c:v>
                </c:pt>
                <c:pt idx="14">
                  <c:v>16219611.83249696</c:v>
                </c:pt>
                <c:pt idx="15">
                  <c:v>13729705.892986961</c:v>
                </c:pt>
                <c:pt idx="16">
                  <c:v>11138821.201710835</c:v>
                </c:pt>
                <c:pt idx="17">
                  <c:v>8459460.2582678609</c:v>
                </c:pt>
                <c:pt idx="18">
                  <c:v>5703116.5566868857</c:v>
                </c:pt>
                <c:pt idx="19">
                  <c:v>2880196.0943942843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7020800"/>
        <c:axId val="147027072"/>
      </c:lineChart>
      <c:catAx>
        <c:axId val="1470208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Acceptance rate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47027072"/>
        <c:crosses val="autoZero"/>
        <c:auto val="1"/>
        <c:lblAlgn val="ctr"/>
        <c:lblOffset val="100"/>
        <c:noMultiLvlLbl val="0"/>
      </c:catAx>
      <c:valAx>
        <c:axId val="147027072"/>
        <c:scaling>
          <c:orientation val="minMax"/>
        </c:scaling>
        <c:delete val="0"/>
        <c:axPos val="r"/>
        <c:majorGridlines/>
        <c:numFmt formatCode="#,##0" sourceLinked="0"/>
        <c:majorTickMark val="out"/>
        <c:minorTickMark val="none"/>
        <c:tickLblPos val="nextTo"/>
        <c:crossAx val="14702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102577</xdr:colOff>
      <xdr:row>0</xdr:row>
      <xdr:rowOff>51288</xdr:rowOff>
    </xdr:from>
    <xdr:to>
      <xdr:col>7</xdr:col>
      <xdr:colOff>549519</xdr:colOff>
      <xdr:row>17</xdr:row>
      <xdr:rowOff>36635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8</xdr:col>
      <xdr:colOff>0</xdr:colOff>
      <xdr:row>84</xdr:row>
      <xdr:rowOff>146539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15</xdr:col>
      <xdr:colOff>600074</xdr:colOff>
      <xdr:row>19</xdr:row>
      <xdr:rowOff>152399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15</xdr:col>
      <xdr:colOff>581025</xdr:colOff>
      <xdr:row>41</xdr:row>
      <xdr:rowOff>152399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15</xdr:col>
      <xdr:colOff>581025</xdr:colOff>
      <xdr:row>63</xdr:row>
      <xdr:rowOff>152399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zoomScaleNormal="100" workbookViewId="0">
      <selection activeCell="B12" sqref="B12"/>
    </sheetView>
  </sheetViews>
  <sheetFormatPr defaultRowHeight="12.75" x14ac:dyDescent="0.2"/>
  <cols>
    <col min="1" max="1" width="35.42578125" style="2" customWidth="1"/>
    <col min="2" max="2" width="12.140625" style="2" customWidth="1"/>
    <col min="3" max="3" width="12" style="2" customWidth="1"/>
    <col min="4" max="4" width="9.140625" style="2"/>
    <col min="5" max="5" width="12.28515625" style="2" customWidth="1"/>
    <col min="6" max="6" width="9.140625" style="2"/>
    <col min="7" max="7" width="13.5703125" style="2" customWidth="1"/>
    <col min="8" max="8" width="10.7109375" style="2" customWidth="1"/>
    <col min="9" max="9" width="10.140625" style="2" bestFit="1" customWidth="1"/>
    <col min="10" max="10" width="11.5703125" style="2" bestFit="1" customWidth="1"/>
    <col min="11" max="13" width="9.140625" style="2"/>
    <col min="14" max="14" width="11.28515625" style="2" customWidth="1"/>
    <col min="15" max="15" width="9.140625" style="2"/>
    <col min="16" max="16" width="11.140625" style="2" bestFit="1" customWidth="1"/>
    <col min="17" max="17" width="9.7109375" style="2" bestFit="1" customWidth="1"/>
    <col min="18" max="18" width="10.28515625" style="2" customWidth="1"/>
    <col min="19" max="22" width="9.140625" style="2"/>
    <col min="23" max="23" width="12.5703125" style="2" bestFit="1" customWidth="1"/>
    <col min="24" max="26" width="11.5703125" style="2" bestFit="1" customWidth="1"/>
    <col min="27" max="27" width="9.140625" style="2"/>
    <col min="28" max="28" width="11.140625" style="2" bestFit="1" customWidth="1"/>
    <col min="29" max="29" width="11.5703125" style="2" bestFit="1" customWidth="1"/>
    <col min="30" max="31" width="9.140625" style="2"/>
    <col min="32" max="33" width="11.5703125" style="2" bestFit="1" customWidth="1"/>
    <col min="34" max="16384" width="9.140625" style="2"/>
  </cols>
  <sheetData>
    <row r="1" spans="1:2" x14ac:dyDescent="0.2">
      <c r="A1" s="12" t="s">
        <v>0</v>
      </c>
      <c r="B1" s="13">
        <v>50000</v>
      </c>
    </row>
    <row r="2" spans="1:2" x14ac:dyDescent="0.2">
      <c r="A2" s="12" t="s">
        <v>1</v>
      </c>
      <c r="B2" s="13">
        <v>5000</v>
      </c>
    </row>
    <row r="3" spans="1:2" x14ac:dyDescent="0.2">
      <c r="A3" s="12" t="s">
        <v>22</v>
      </c>
      <c r="B3" s="13">
        <v>36</v>
      </c>
    </row>
    <row r="4" spans="1:2" x14ac:dyDescent="0.2">
      <c r="A4" s="14" t="s">
        <v>24</v>
      </c>
      <c r="B4" s="15">
        <v>0.12</v>
      </c>
    </row>
    <row r="5" spans="1:2" x14ac:dyDescent="0.2">
      <c r="A5" s="12" t="s">
        <v>23</v>
      </c>
      <c r="B5" s="15">
        <v>0.5</v>
      </c>
    </row>
    <row r="6" spans="1:2" x14ac:dyDescent="0.2">
      <c r="A6" s="12" t="s">
        <v>2</v>
      </c>
      <c r="B6" s="15">
        <v>0.06</v>
      </c>
    </row>
    <row r="8" spans="1:2" x14ac:dyDescent="0.2">
      <c r="A8" s="12" t="s">
        <v>26</v>
      </c>
      <c r="B8" s="16">
        <f>K46</f>
        <v>0.65542264809461448</v>
      </c>
    </row>
    <row r="9" spans="1:2" x14ac:dyDescent="0.2">
      <c r="A9" s="12" t="s">
        <v>27</v>
      </c>
      <c r="B9" s="16">
        <f>U46</f>
        <v>0.24500566726315642</v>
      </c>
    </row>
    <row r="11" spans="1:2" x14ac:dyDescent="0.2">
      <c r="A11" s="12" t="s">
        <v>3</v>
      </c>
      <c r="B11" s="15">
        <v>0.47</v>
      </c>
    </row>
    <row r="12" spans="1:2" x14ac:dyDescent="0.2">
      <c r="A12" s="12" t="s">
        <v>4</v>
      </c>
      <c r="B12" s="16">
        <f>E45/F45</f>
        <v>0.18493452706620234</v>
      </c>
    </row>
    <row r="13" spans="1:2" x14ac:dyDescent="0.2">
      <c r="A13" s="12" t="s">
        <v>5</v>
      </c>
      <c r="B13" s="16">
        <f>F45/B45</f>
        <v>0.4</v>
      </c>
    </row>
    <row r="15" spans="1:2" x14ac:dyDescent="0.2">
      <c r="A15" s="12" t="s">
        <v>6</v>
      </c>
      <c r="B15" s="17">
        <f>X45</f>
        <v>58750000.000000007</v>
      </c>
    </row>
    <row r="16" spans="1:2" x14ac:dyDescent="0.2">
      <c r="A16" s="12" t="s">
        <v>7</v>
      </c>
      <c r="B16" s="17">
        <f>W45</f>
        <v>33882257.807300203</v>
      </c>
    </row>
    <row r="17" spans="1:35" x14ac:dyDescent="0.2">
      <c r="A17" s="12" t="s">
        <v>8</v>
      </c>
      <c r="B17" s="18">
        <f>B16-B15</f>
        <v>-24867742.192699805</v>
      </c>
    </row>
    <row r="19" spans="1:35" x14ac:dyDescent="0.2">
      <c r="A19" s="12" t="s">
        <v>9</v>
      </c>
      <c r="B19" s="17">
        <f>Z45</f>
        <v>9246726.3533101156</v>
      </c>
    </row>
    <row r="20" spans="1:35" x14ac:dyDescent="0.2">
      <c r="A20" s="12" t="s">
        <v>10</v>
      </c>
      <c r="B20" s="17">
        <f>Y45</f>
        <v>20842459.233035471</v>
      </c>
      <c r="D20" s="38" t="s">
        <v>33</v>
      </c>
      <c r="E20" s="38"/>
      <c r="F20" s="38"/>
      <c r="G20" s="19">
        <f>B2*B6</f>
        <v>300</v>
      </c>
    </row>
    <row r="21" spans="1:35" x14ac:dyDescent="0.2">
      <c r="A21" s="12" t="s">
        <v>11</v>
      </c>
      <c r="B21" s="18">
        <f>B20-B19</f>
        <v>11595732.879725356</v>
      </c>
      <c r="D21" s="38" t="s">
        <v>34</v>
      </c>
      <c r="E21" s="38"/>
      <c r="F21" s="38"/>
      <c r="G21" s="19">
        <f>-PMT(B4/12,B3,B2)*B3-B2</f>
        <v>978.57576631321535</v>
      </c>
    </row>
    <row r="22" spans="1:35" ht="25.5" x14ac:dyDescent="0.2">
      <c r="O22" s="35" t="s">
        <v>40</v>
      </c>
    </row>
    <row r="24" spans="1:35" ht="51" x14ac:dyDescent="0.2">
      <c r="A24" s="2" t="s">
        <v>12</v>
      </c>
      <c r="B24" s="2" t="s">
        <v>13</v>
      </c>
      <c r="C24" s="2" t="s">
        <v>14</v>
      </c>
      <c r="D24" s="2" t="s">
        <v>15</v>
      </c>
      <c r="E24" s="2" t="s">
        <v>19</v>
      </c>
      <c r="F24" s="2" t="s">
        <v>16</v>
      </c>
      <c r="G24" s="2" t="s">
        <v>35</v>
      </c>
      <c r="H24" s="35" t="s">
        <v>36</v>
      </c>
      <c r="I24" s="35" t="s">
        <v>37</v>
      </c>
      <c r="J24" s="35" t="s">
        <v>38</v>
      </c>
      <c r="K24" s="3" t="s">
        <v>25</v>
      </c>
      <c r="M24" s="2" t="s">
        <v>21</v>
      </c>
      <c r="N24" s="35" t="s">
        <v>39</v>
      </c>
      <c r="O24" s="2" t="s">
        <v>20</v>
      </c>
      <c r="P24" s="35" t="s">
        <v>41</v>
      </c>
      <c r="Q24" s="35" t="s">
        <v>42</v>
      </c>
      <c r="R24" s="35" t="s">
        <v>43</v>
      </c>
      <c r="S24" s="35" t="s">
        <v>37</v>
      </c>
      <c r="T24" s="35" t="s">
        <v>38</v>
      </c>
      <c r="U24" s="3" t="s">
        <v>25</v>
      </c>
      <c r="W24" s="35" t="s">
        <v>44</v>
      </c>
      <c r="X24" s="35" t="s">
        <v>45</v>
      </c>
      <c r="Y24" s="35" t="s">
        <v>46</v>
      </c>
      <c r="Z24" s="35" t="s">
        <v>47</v>
      </c>
      <c r="AB24" s="35" t="s">
        <v>48</v>
      </c>
      <c r="AC24" s="35" t="s">
        <v>49</v>
      </c>
      <c r="AD24" s="35" t="s">
        <v>50</v>
      </c>
      <c r="AE24" s="35" t="s">
        <v>51</v>
      </c>
      <c r="AF24" s="35" t="s">
        <v>52</v>
      </c>
      <c r="AG24" s="35" t="s">
        <v>53</v>
      </c>
      <c r="AI24" s="2" t="s">
        <v>14</v>
      </c>
    </row>
    <row r="25" spans="1:35" x14ac:dyDescent="0.2">
      <c r="A25" s="2">
        <v>1</v>
      </c>
      <c r="B25" s="7">
        <f>$B$1/20</f>
        <v>2500</v>
      </c>
      <c r="C25" s="8">
        <f>AI25*$B$11/$AI$45</f>
        <v>0.99344259242678268</v>
      </c>
      <c r="D25" s="27">
        <f>AA25</f>
        <v>0</v>
      </c>
      <c r="E25" s="5">
        <f>B25*C25*D25</f>
        <v>0</v>
      </c>
      <c r="F25" s="5">
        <f>B25*D25</f>
        <v>0</v>
      </c>
      <c r="G25" s="5">
        <f t="shared" ref="G25:G44" si="0">B25*C25</f>
        <v>2483.6064810669568</v>
      </c>
      <c r="H25" s="4">
        <f>G25/G46</f>
        <v>0.10568538217306198</v>
      </c>
      <c r="I25" s="4">
        <f>N25</f>
        <v>6.1862335596389432E-4</v>
      </c>
      <c r="J25" s="4">
        <f>H25</f>
        <v>0.10568538217306198</v>
      </c>
      <c r="K25" s="4">
        <f>I25*J25</f>
        <v>6.5379445796226335E-5</v>
      </c>
      <c r="M25" s="5">
        <f t="shared" ref="M25:M44" si="1">B25-G25</f>
        <v>16.393518933043197</v>
      </c>
      <c r="N25" s="4">
        <f>M25/M45</f>
        <v>6.1862335596389432E-4</v>
      </c>
      <c r="O25" s="5">
        <f t="shared" ref="O25:O44" si="2">F25-E25</f>
        <v>0</v>
      </c>
      <c r="P25" s="5">
        <f>B25*C25*D25</f>
        <v>0</v>
      </c>
      <c r="Q25" s="4">
        <f>SUM($O$25:O25)/$O$45</f>
        <v>0</v>
      </c>
      <c r="R25" s="4">
        <f>SUM($P$25:P25)/$P$45</f>
        <v>0</v>
      </c>
      <c r="S25" s="4">
        <f>Q25</f>
        <v>0</v>
      </c>
      <c r="T25" s="4">
        <f>R25</f>
        <v>0</v>
      </c>
      <c r="U25" s="4">
        <f>S25*T25</f>
        <v>0</v>
      </c>
      <c r="W25" s="21">
        <f>M25*$G$21+M25*$G$20</f>
        <v>20960.356032385909</v>
      </c>
      <c r="X25" s="21">
        <f>G25*$B$5*$B$2</f>
        <v>6209016.2026673919</v>
      </c>
      <c r="Y25" s="2">
        <f>W25*D25</f>
        <v>0</v>
      </c>
      <c r="Z25" s="2">
        <f>X25*D25</f>
        <v>0</v>
      </c>
      <c r="AA25" s="2">
        <f>IF(AB25&lt;0, 0, 1)</f>
        <v>0</v>
      </c>
      <c r="AB25" s="21">
        <f>W25-X25</f>
        <v>-6188055.8466350064</v>
      </c>
      <c r="AC25" s="21">
        <f t="shared" ref="AC25:AC42" si="3">AC26+AB25</f>
        <v>-24867742.192699797</v>
      </c>
      <c r="AD25" s="5">
        <f t="shared" ref="AD25:AD42" si="4">AD26+B25</f>
        <v>50000</v>
      </c>
      <c r="AE25" s="4">
        <f t="shared" ref="AE25:AE43" si="5">AD25/$AD$25</f>
        <v>1</v>
      </c>
      <c r="AF25" s="21">
        <f t="shared" ref="AF25:AF42" si="6">AF26+W25</f>
        <v>33882257.807300203</v>
      </c>
      <c r="AG25" s="21">
        <f t="shared" ref="AG25:AG42" si="7">AG26+X25</f>
        <v>58750000</v>
      </c>
      <c r="AI25" s="8">
        <f>1/(1+EXP(-($D$47*A25+$D$48)))</f>
        <v>0.69423634010803059</v>
      </c>
    </row>
    <row r="26" spans="1:35" x14ac:dyDescent="0.2">
      <c r="A26" s="2">
        <v>2</v>
      </c>
      <c r="B26" s="7">
        <f t="shared" ref="B26:B44" si="8">$B$1/20</f>
        <v>2500</v>
      </c>
      <c r="C26" s="8">
        <f t="shared" ref="C26:C45" si="9">AI26*$B$11/$AI$45</f>
        <v>0.93694313841872712</v>
      </c>
      <c r="D26" s="27">
        <f t="shared" ref="D26:D44" si="10">AA26</f>
        <v>0</v>
      </c>
      <c r="E26" s="5">
        <f t="shared" ref="E26:E44" si="11">B26*C26*D26</f>
        <v>0</v>
      </c>
      <c r="F26" s="5">
        <f t="shared" ref="F26:F44" si="12">B26*D26</f>
        <v>0</v>
      </c>
      <c r="G26" s="5">
        <f t="shared" si="0"/>
        <v>2342.3578460468179</v>
      </c>
      <c r="H26" s="4">
        <f>SUM(G25:G26)/G46</f>
        <v>0.20536018413250101</v>
      </c>
      <c r="I26" s="4">
        <f>N25+N26</f>
        <v>7.1860072384629615E-3</v>
      </c>
      <c r="J26" s="4">
        <f>H26-H25</f>
        <v>9.9674801959439036E-2</v>
      </c>
      <c r="K26" s="4">
        <f t="shared" ref="K26:K44" si="13">I26*J26</f>
        <v>7.1626384837289111E-4</v>
      </c>
      <c r="M26" s="5">
        <f t="shared" si="1"/>
        <v>157.64215395318206</v>
      </c>
      <c r="N26" s="4">
        <f>(M26+M25)/M45</f>
        <v>6.5673838824990673E-3</v>
      </c>
      <c r="O26" s="5">
        <f t="shared" si="2"/>
        <v>0</v>
      </c>
      <c r="P26" s="5">
        <f t="shared" ref="P26:P44" si="14">B26*C26*D26</f>
        <v>0</v>
      </c>
      <c r="Q26" s="4">
        <f>SUM($O$25:O26)/$O$45</f>
        <v>0</v>
      </c>
      <c r="R26" s="4">
        <f>SUM($P$25:P26)/$P$45</f>
        <v>0</v>
      </c>
      <c r="S26" s="4">
        <f>Q26+Q25</f>
        <v>0</v>
      </c>
      <c r="T26" s="4">
        <f>R26-R25</f>
        <v>0</v>
      </c>
      <c r="U26" s="4">
        <f t="shared" ref="U26:U44" si="15">S26*T26</f>
        <v>0</v>
      </c>
      <c r="W26" s="21">
        <f t="shared" ref="W26:W44" si="16">M26*$G$21+M26*$G$20</f>
        <v>201557.43779395564</v>
      </c>
      <c r="X26" s="21">
        <f t="shared" ref="X26:X44" si="17">G26*$B$5*$B$2</f>
        <v>5855894.6151170451</v>
      </c>
      <c r="Y26" s="2">
        <f t="shared" ref="Y26:Y44" si="18">W26*D26</f>
        <v>0</v>
      </c>
      <c r="Z26" s="2">
        <f t="shared" ref="Z26:Z44" si="19">X26*D26</f>
        <v>0</v>
      </c>
      <c r="AA26" s="2">
        <f t="shared" ref="AA26:AA44" si="20">IF(AB26&lt;0, 0, 1)</f>
        <v>0</v>
      </c>
      <c r="AB26" s="21">
        <f t="shared" ref="AB26:AB44" si="21">W26-X26</f>
        <v>-5654337.1773230899</v>
      </c>
      <c r="AC26" s="21">
        <f t="shared" si="3"/>
        <v>-18679686.346064791</v>
      </c>
      <c r="AD26" s="5">
        <f t="shared" si="4"/>
        <v>47500</v>
      </c>
      <c r="AE26" s="4">
        <f t="shared" si="5"/>
        <v>0.95</v>
      </c>
      <c r="AF26" s="21">
        <f t="shared" si="6"/>
        <v>33861297.451267816</v>
      </c>
      <c r="AG26" s="21">
        <f t="shared" si="7"/>
        <v>52540983.797332607</v>
      </c>
      <c r="AI26" s="8">
        <f t="shared" ref="AI26:AI44" si="22">1/(1+EXP(-($D$47*A26+$D$48)))</f>
        <v>0.65475346060631923</v>
      </c>
    </row>
    <row r="27" spans="1:35" x14ac:dyDescent="0.2">
      <c r="A27" s="2">
        <v>3</v>
      </c>
      <c r="B27" s="7">
        <f t="shared" si="8"/>
        <v>2500</v>
      </c>
      <c r="C27" s="8">
        <f t="shared" si="9"/>
        <v>0.87721480014063191</v>
      </c>
      <c r="D27" s="27">
        <f t="shared" si="10"/>
        <v>0</v>
      </c>
      <c r="E27" s="5">
        <f t="shared" si="11"/>
        <v>0</v>
      </c>
      <c r="F27" s="5">
        <f t="shared" si="12"/>
        <v>0</v>
      </c>
      <c r="G27" s="5">
        <f t="shared" si="0"/>
        <v>2193.03700035158</v>
      </c>
      <c r="H27" s="4">
        <f>SUM(G25:G27)/G46</f>
        <v>0.29868090755171717</v>
      </c>
      <c r="I27" s="4">
        <f t="shared" ref="I27:I44" si="23">N26+N27</f>
        <v>2.4718277185693228E-2</v>
      </c>
      <c r="J27" s="4">
        <f t="shared" ref="J27:J44" si="24">H27-H26</f>
        <v>9.3320723419216156E-2</v>
      </c>
      <c r="K27" s="4">
        <f t="shared" si="13"/>
        <v>2.3067275086455985E-3</v>
      </c>
      <c r="M27" s="5">
        <f t="shared" si="1"/>
        <v>306.96299964842001</v>
      </c>
      <c r="N27" s="4">
        <f>SUM(M25:M27)/M45</f>
        <v>1.8150893303194162E-2</v>
      </c>
      <c r="O27" s="5">
        <f t="shared" si="2"/>
        <v>0</v>
      </c>
      <c r="P27" s="5">
        <f t="shared" si="14"/>
        <v>0</v>
      </c>
      <c r="Q27" s="4">
        <f>SUM($O$25:O27)/$O$45</f>
        <v>0</v>
      </c>
      <c r="R27" s="4">
        <f>SUM($P$25:P27)/$P$45</f>
        <v>0</v>
      </c>
      <c r="S27" s="4">
        <f t="shared" ref="S27:S44" si="25">Q27+Q26</f>
        <v>0</v>
      </c>
      <c r="T27" s="4">
        <f>R27-R26</f>
        <v>0</v>
      </c>
      <c r="U27" s="4">
        <f t="shared" si="15"/>
        <v>0</v>
      </c>
      <c r="W27" s="21">
        <f t="shared" si="16"/>
        <v>392475.45250528184</v>
      </c>
      <c r="X27" s="21">
        <f t="shared" si="17"/>
        <v>5482592.5008789496</v>
      </c>
      <c r="Y27" s="2">
        <f t="shared" si="18"/>
        <v>0</v>
      </c>
      <c r="Z27" s="2">
        <f t="shared" si="19"/>
        <v>0</v>
      </c>
      <c r="AA27" s="2">
        <f t="shared" si="20"/>
        <v>0</v>
      </c>
      <c r="AB27" s="21">
        <f t="shared" si="21"/>
        <v>-5090117.0483736675</v>
      </c>
      <c r="AC27" s="21">
        <f t="shared" si="3"/>
        <v>-13025349.168741699</v>
      </c>
      <c r="AD27" s="5">
        <f t="shared" si="4"/>
        <v>45000</v>
      </c>
      <c r="AE27" s="4">
        <f t="shared" si="5"/>
        <v>0.9</v>
      </c>
      <c r="AF27" s="21">
        <f t="shared" si="6"/>
        <v>33659740.013473861</v>
      </c>
      <c r="AG27" s="21">
        <f t="shared" si="7"/>
        <v>46685089.182215564</v>
      </c>
      <c r="AI27" s="8">
        <f t="shared" si="22"/>
        <v>0.61301417613933551</v>
      </c>
    </row>
    <row r="28" spans="1:35" x14ac:dyDescent="0.2">
      <c r="A28" s="2">
        <v>4</v>
      </c>
      <c r="B28" s="7">
        <f t="shared" si="8"/>
        <v>2500</v>
      </c>
      <c r="C28" s="8">
        <f t="shared" si="9"/>
        <v>0.81501276226627128</v>
      </c>
      <c r="D28" s="27">
        <f t="shared" si="10"/>
        <v>0</v>
      </c>
      <c r="E28" s="5">
        <f t="shared" si="11"/>
        <v>0</v>
      </c>
      <c r="F28" s="5">
        <f t="shared" si="12"/>
        <v>0</v>
      </c>
      <c r="G28" s="5">
        <f t="shared" si="0"/>
        <v>2037.5319056656783</v>
      </c>
      <c r="H28" s="4">
        <f>SUM(G25:G28)/G46</f>
        <v>0.38538439289919285</v>
      </c>
      <c r="I28" s="4">
        <f t="shared" si="23"/>
        <v>5.375341280768349E-2</v>
      </c>
      <c r="J28" s="4">
        <f t="shared" si="24"/>
        <v>8.6703485347475684E-2</v>
      </c>
      <c r="K28" s="4">
        <f t="shared" si="13"/>
        <v>4.6606082397477972E-3</v>
      </c>
      <c r="M28" s="5">
        <f t="shared" si="1"/>
        <v>462.46809433432168</v>
      </c>
      <c r="N28" s="4">
        <f>SUM(M25:M28)/M45</f>
        <v>3.5602519504489324E-2</v>
      </c>
      <c r="O28" s="5">
        <f t="shared" si="2"/>
        <v>0</v>
      </c>
      <c r="P28" s="5">
        <f t="shared" si="14"/>
        <v>0</v>
      </c>
      <c r="Q28" s="4">
        <f>SUM($O$25:O28)/$O$45</f>
        <v>0</v>
      </c>
      <c r="R28" s="4">
        <f>SUM($P$25:P28)/$P$45</f>
        <v>0</v>
      </c>
      <c r="S28" s="4">
        <f t="shared" si="25"/>
        <v>0</v>
      </c>
      <c r="T28" s="4">
        <f t="shared" ref="T28:T44" si="26">R28-R27</f>
        <v>0</v>
      </c>
      <c r="U28" s="4">
        <f t="shared" si="15"/>
        <v>0</v>
      </c>
      <c r="W28" s="21">
        <f t="shared" si="16"/>
        <v>591300.49810891773</v>
      </c>
      <c r="X28" s="21">
        <f t="shared" si="17"/>
        <v>5093829.7641641954</v>
      </c>
      <c r="Y28" s="2">
        <f t="shared" si="18"/>
        <v>0</v>
      </c>
      <c r="Z28" s="2">
        <f t="shared" si="19"/>
        <v>0</v>
      </c>
      <c r="AA28" s="2">
        <f t="shared" si="20"/>
        <v>0</v>
      </c>
      <c r="AB28" s="21">
        <f t="shared" si="21"/>
        <v>-4502529.2660552775</v>
      </c>
      <c r="AC28" s="21">
        <f t="shared" si="3"/>
        <v>-7935232.1203680318</v>
      </c>
      <c r="AD28" s="5">
        <f t="shared" si="4"/>
        <v>42500</v>
      </c>
      <c r="AE28" s="4">
        <f t="shared" si="5"/>
        <v>0.85</v>
      </c>
      <c r="AF28" s="21">
        <f t="shared" si="6"/>
        <v>33267264.560968582</v>
      </c>
      <c r="AG28" s="21">
        <f t="shared" si="7"/>
        <v>41202496.681336612</v>
      </c>
      <c r="AI28" s="8">
        <f t="shared" si="22"/>
        <v>0.56954622393922905</v>
      </c>
    </row>
    <row r="29" spans="1:35" x14ac:dyDescent="0.2">
      <c r="A29" s="2">
        <v>5</v>
      </c>
      <c r="B29" s="7">
        <f t="shared" si="8"/>
        <v>2500</v>
      </c>
      <c r="C29" s="8">
        <f t="shared" si="9"/>
        <v>0.75123795003014016</v>
      </c>
      <c r="D29" s="27">
        <f t="shared" si="10"/>
        <v>0</v>
      </c>
      <c r="E29" s="5">
        <f>B29*C29*D29</f>
        <v>0</v>
      </c>
      <c r="F29" s="5">
        <f>B29*D29</f>
        <v>0</v>
      </c>
      <c r="G29" s="5">
        <f t="shared" si="0"/>
        <v>1878.0948750753505</v>
      </c>
      <c r="H29" s="4">
        <f>SUM(G25:G29)/G46</f>
        <v>0.46530332375346306</v>
      </c>
      <c r="I29" s="4">
        <f t="shared" si="23"/>
        <v>9.4673156930663541E-2</v>
      </c>
      <c r="J29" s="4">
        <f t="shared" si="24"/>
        <v>7.9918930854270209E-2</v>
      </c>
      <c r="K29" s="4">
        <f t="shared" si="13"/>
        <v>7.5661774824971719E-3</v>
      </c>
      <c r="M29" s="5">
        <f t="shared" si="1"/>
        <v>621.9051249246495</v>
      </c>
      <c r="N29" s="4">
        <f>SUM(M25:M29)/M45</f>
        <v>5.9070637426174216E-2</v>
      </c>
      <c r="O29" s="5">
        <f t="shared" si="2"/>
        <v>0</v>
      </c>
      <c r="P29" s="5">
        <f t="shared" si="14"/>
        <v>0</v>
      </c>
      <c r="Q29" s="4">
        <f>SUM($O$25:O29)/$O$45</f>
        <v>0</v>
      </c>
      <c r="R29" s="4">
        <f>SUM($P$25:P29)/$P$45</f>
        <v>0</v>
      </c>
      <c r="S29" s="4">
        <f t="shared" si="25"/>
        <v>0</v>
      </c>
      <c r="T29" s="4">
        <f t="shared" si="26"/>
        <v>0</v>
      </c>
      <c r="U29" s="4">
        <f t="shared" si="15"/>
        <v>0</v>
      </c>
      <c r="W29" s="21">
        <f t="shared" si="16"/>
        <v>795152.8216746496</v>
      </c>
      <c r="X29" s="21">
        <f t="shared" si="17"/>
        <v>4695237.1876883758</v>
      </c>
      <c r="Y29" s="2">
        <f t="shared" si="18"/>
        <v>0</v>
      </c>
      <c r="Z29" s="2">
        <f t="shared" si="19"/>
        <v>0</v>
      </c>
      <c r="AA29" s="2">
        <f t="shared" si="20"/>
        <v>0</v>
      </c>
      <c r="AB29" s="21">
        <f t="shared" si="21"/>
        <v>-3900084.3660137262</v>
      </c>
      <c r="AC29" s="21">
        <f t="shared" si="3"/>
        <v>-3432702.8543127542</v>
      </c>
      <c r="AD29" s="5">
        <f t="shared" si="4"/>
        <v>40000</v>
      </c>
      <c r="AE29" s="4">
        <f t="shared" si="5"/>
        <v>0.8</v>
      </c>
      <c r="AF29" s="21">
        <f t="shared" si="6"/>
        <v>32675964.062859666</v>
      </c>
      <c r="AG29" s="21">
        <f t="shared" si="7"/>
        <v>36108666.917172417</v>
      </c>
      <c r="AI29" s="8">
        <f t="shared" si="22"/>
        <v>0.52497918747894001</v>
      </c>
    </row>
    <row r="30" spans="1:35" x14ac:dyDescent="0.2">
      <c r="A30" s="2">
        <v>6</v>
      </c>
      <c r="B30" s="7">
        <f t="shared" si="8"/>
        <v>2500</v>
      </c>
      <c r="C30" s="8">
        <f t="shared" si="9"/>
        <v>0.68688860948149788</v>
      </c>
      <c r="D30" s="27">
        <f t="shared" si="10"/>
        <v>0</v>
      </c>
      <c r="E30" s="5">
        <f t="shared" si="11"/>
        <v>0</v>
      </c>
      <c r="F30" s="5">
        <f t="shared" si="12"/>
        <v>0</v>
      </c>
      <c r="G30" s="5">
        <f t="shared" si="0"/>
        <v>1717.2215237037447</v>
      </c>
      <c r="H30" s="4">
        <f>SUM(G25:G30)/G46</f>
        <v>0.53837658008128197</v>
      </c>
      <c r="I30" s="4">
        <f t="shared" si="23"/>
        <v>0.14768008527862223</v>
      </c>
      <c r="J30" s="4">
        <f t="shared" si="24"/>
        <v>7.3073256327818914E-2</v>
      </c>
      <c r="K30" s="4">
        <f t="shared" si="13"/>
        <v>1.0791464726078918E-2</v>
      </c>
      <c r="M30" s="5">
        <f t="shared" si="1"/>
        <v>782.77847629625535</v>
      </c>
      <c r="N30" s="4">
        <f>SUM(M25:M30)/M45</f>
        <v>8.8609447852448009E-2</v>
      </c>
      <c r="O30" s="5">
        <f t="shared" si="2"/>
        <v>0</v>
      </c>
      <c r="P30" s="5">
        <f t="shared" si="14"/>
        <v>0</v>
      </c>
      <c r="Q30" s="4">
        <f>SUM($O$25:O30)/$O$45</f>
        <v>0</v>
      </c>
      <c r="R30" s="4">
        <f>SUM($P$25:P30)/$P$45</f>
        <v>0</v>
      </c>
      <c r="S30" s="4">
        <f t="shared" si="25"/>
        <v>0</v>
      </c>
      <c r="T30" s="4">
        <f>R30-R29</f>
        <v>0</v>
      </c>
      <c r="U30" s="4">
        <f t="shared" si="15"/>
        <v>0</v>
      </c>
      <c r="W30" s="21">
        <f t="shared" si="16"/>
        <v>1000841.5901839758</v>
      </c>
      <c r="X30" s="21">
        <f t="shared" si="17"/>
        <v>4293053.8092593616</v>
      </c>
      <c r="Y30" s="2">
        <f t="shared" si="18"/>
        <v>0</v>
      </c>
      <c r="Z30" s="2">
        <f t="shared" si="19"/>
        <v>0</v>
      </c>
      <c r="AA30" s="2">
        <f t="shared" si="20"/>
        <v>0</v>
      </c>
      <c r="AB30" s="21">
        <f t="shared" si="21"/>
        <v>-3292212.2190753859</v>
      </c>
      <c r="AC30" s="21">
        <f t="shared" si="3"/>
        <v>467381.51170097198</v>
      </c>
      <c r="AD30" s="5">
        <f t="shared" si="4"/>
        <v>37500</v>
      </c>
      <c r="AE30" s="4">
        <f t="shared" si="5"/>
        <v>0.75</v>
      </c>
      <c r="AF30" s="21">
        <f t="shared" si="6"/>
        <v>31880811.241185017</v>
      </c>
      <c r="AG30" s="21">
        <f t="shared" si="7"/>
        <v>31413429.729484044</v>
      </c>
      <c r="AI30" s="8">
        <f t="shared" si="22"/>
        <v>0.48001065984441826</v>
      </c>
    </row>
    <row r="31" spans="1:35" x14ac:dyDescent="0.2">
      <c r="A31" s="2">
        <v>7</v>
      </c>
      <c r="B31" s="7">
        <f t="shared" si="8"/>
        <v>2500</v>
      </c>
      <c r="C31" s="8">
        <f t="shared" si="9"/>
        <v>0.62299943971880378</v>
      </c>
      <c r="D31" s="27">
        <f t="shared" si="10"/>
        <v>0</v>
      </c>
      <c r="E31" s="5">
        <f t="shared" si="11"/>
        <v>0</v>
      </c>
      <c r="F31" s="5">
        <f t="shared" si="12"/>
        <v>0</v>
      </c>
      <c r="G31" s="5">
        <f t="shared" si="0"/>
        <v>1557.4985992970094</v>
      </c>
      <c r="H31" s="4">
        <f>SUM(G25:G31)/G46</f>
        <v>0.60465311622158024</v>
      </c>
      <c r="I31" s="4">
        <f t="shared" si="23"/>
        <v>0.21278498629746173</v>
      </c>
      <c r="J31" s="4">
        <f t="shared" si="24"/>
        <v>6.627653614029827E-2</v>
      </c>
      <c r="K31" s="4">
        <f t="shared" si="13"/>
        <v>1.4102651834456595E-2</v>
      </c>
      <c r="M31" s="5">
        <f t="shared" si="1"/>
        <v>942.50140070299062</v>
      </c>
      <c r="N31" s="4">
        <f>SUM(M25:M31)/M45</f>
        <v>0.12417553844501371</v>
      </c>
      <c r="O31" s="5">
        <f t="shared" si="2"/>
        <v>0</v>
      </c>
      <c r="P31" s="5">
        <f t="shared" si="14"/>
        <v>0</v>
      </c>
      <c r="Q31" s="4">
        <f>SUM($O$25:O31)/$O$45</f>
        <v>0</v>
      </c>
      <c r="R31" s="4">
        <f>SUM($P$25:P31)/$P$45</f>
        <v>0</v>
      </c>
      <c r="S31" s="4">
        <f t="shared" si="25"/>
        <v>0</v>
      </c>
      <c r="T31" s="4">
        <f t="shared" si="26"/>
        <v>0</v>
      </c>
      <c r="U31" s="4">
        <f t="shared" si="15"/>
        <v>0</v>
      </c>
      <c r="W31" s="21">
        <f t="shared" si="16"/>
        <v>1205059.4506551051</v>
      </c>
      <c r="X31" s="21">
        <f t="shared" si="17"/>
        <v>3893746.4982425235</v>
      </c>
      <c r="Y31" s="2">
        <f t="shared" si="18"/>
        <v>0</v>
      </c>
      <c r="Z31" s="2">
        <f t="shared" si="19"/>
        <v>0</v>
      </c>
      <c r="AA31" s="2">
        <f t="shared" si="20"/>
        <v>0</v>
      </c>
      <c r="AB31" s="21">
        <f t="shared" si="21"/>
        <v>-2688687.0475874185</v>
      </c>
      <c r="AC31" s="21">
        <f t="shared" si="3"/>
        <v>3759593.7307763579</v>
      </c>
      <c r="AD31" s="5">
        <f t="shared" si="4"/>
        <v>35000</v>
      </c>
      <c r="AE31" s="4">
        <f t="shared" si="5"/>
        <v>0.7</v>
      </c>
      <c r="AF31" s="21">
        <f t="shared" si="6"/>
        <v>30879969.65100104</v>
      </c>
      <c r="AG31" s="21">
        <f t="shared" si="7"/>
        <v>27120375.920224681</v>
      </c>
      <c r="AI31" s="8">
        <f t="shared" si="22"/>
        <v>0.43536370819697079</v>
      </c>
    </row>
    <row r="32" spans="1:35" x14ac:dyDescent="0.2">
      <c r="A32" s="2">
        <v>8</v>
      </c>
      <c r="B32" s="7">
        <f t="shared" si="8"/>
        <v>2500</v>
      </c>
      <c r="C32" s="8">
        <f t="shared" si="9"/>
        <v>0.5605759041573708</v>
      </c>
      <c r="D32" s="27">
        <f t="shared" si="10"/>
        <v>0</v>
      </c>
      <c r="E32" s="5">
        <f t="shared" si="11"/>
        <v>0</v>
      </c>
      <c r="F32" s="5">
        <f t="shared" si="12"/>
        <v>0</v>
      </c>
      <c r="G32" s="5">
        <f t="shared" si="0"/>
        <v>1401.4397603934269</v>
      </c>
      <c r="H32" s="4">
        <f>SUM(G25:G32)/G46</f>
        <v>0.66428885070640686</v>
      </c>
      <c r="I32" s="4">
        <f t="shared" si="23"/>
        <v>0.28980618027140753</v>
      </c>
      <c r="J32" s="4">
        <f t="shared" si="24"/>
        <v>5.9635734484826619E-2</v>
      </c>
      <c r="K32" s="4">
        <f t="shared" si="13"/>
        <v>1.7282804418727458E-2</v>
      </c>
      <c r="M32" s="5">
        <f t="shared" si="1"/>
        <v>1098.5602396065731</v>
      </c>
      <c r="N32" s="4">
        <f>SUM(M25:M32)/M45</f>
        <v>0.16563064182639384</v>
      </c>
      <c r="O32" s="5">
        <f t="shared" si="2"/>
        <v>0</v>
      </c>
      <c r="P32" s="5">
        <f t="shared" si="14"/>
        <v>0</v>
      </c>
      <c r="Q32" s="4">
        <f>SUM($O$25:O32)/$O$45</f>
        <v>0</v>
      </c>
      <c r="R32" s="4">
        <f>SUM($P$25:P32)/$P$45</f>
        <v>0</v>
      </c>
      <c r="S32" s="4">
        <f t="shared" si="25"/>
        <v>0</v>
      </c>
      <c r="T32" s="4">
        <f t="shared" si="26"/>
        <v>0</v>
      </c>
      <c r="U32" s="4">
        <f t="shared" si="15"/>
        <v>0</v>
      </c>
      <c r="W32" s="21">
        <f t="shared" si="16"/>
        <v>1404592.5001962036</v>
      </c>
      <c r="X32" s="21">
        <f t="shared" si="17"/>
        <v>3503599.4009835673</v>
      </c>
      <c r="Y32" s="2">
        <f t="shared" si="18"/>
        <v>0</v>
      </c>
      <c r="Z32" s="2">
        <f t="shared" si="19"/>
        <v>0</v>
      </c>
      <c r="AA32" s="2">
        <f t="shared" si="20"/>
        <v>0</v>
      </c>
      <c r="AB32" s="21">
        <f t="shared" si="21"/>
        <v>-2099006.9007873638</v>
      </c>
      <c r="AC32" s="21">
        <f t="shared" si="3"/>
        <v>6448280.7783637764</v>
      </c>
      <c r="AD32" s="5">
        <f t="shared" si="4"/>
        <v>32500</v>
      </c>
      <c r="AE32" s="4">
        <f t="shared" si="5"/>
        <v>0.65</v>
      </c>
      <c r="AF32" s="21">
        <f t="shared" si="6"/>
        <v>29674910.200345933</v>
      </c>
      <c r="AG32" s="21">
        <f t="shared" si="7"/>
        <v>23226629.421982158</v>
      </c>
      <c r="AI32" s="8">
        <f t="shared" si="22"/>
        <v>0.39174096925348562</v>
      </c>
    </row>
    <row r="33" spans="1:35" x14ac:dyDescent="0.2">
      <c r="A33" s="2">
        <v>9</v>
      </c>
      <c r="B33" s="7">
        <f t="shared" si="8"/>
        <v>2500</v>
      </c>
      <c r="C33" s="8">
        <f t="shared" si="9"/>
        <v>0.50053241498932077</v>
      </c>
      <c r="D33" s="27">
        <f t="shared" si="10"/>
        <v>0</v>
      </c>
      <c r="E33" s="5">
        <f t="shared" si="11"/>
        <v>0</v>
      </c>
      <c r="F33" s="5">
        <f t="shared" si="12"/>
        <v>0</v>
      </c>
      <c r="G33" s="5">
        <f t="shared" si="0"/>
        <v>1251.3310374733019</v>
      </c>
      <c r="H33" s="4">
        <f>SUM(G25:G33)/G46</f>
        <v>0.71753697996058996</v>
      </c>
      <c r="I33" s="4">
        <f t="shared" si="23"/>
        <v>0.3783808671443612</v>
      </c>
      <c r="J33" s="4">
        <f t="shared" si="24"/>
        <v>5.3248129254183096E-2</v>
      </c>
      <c r="K33" s="4">
        <f t="shared" si="13"/>
        <v>2.0148073321012826E-2</v>
      </c>
      <c r="M33" s="5">
        <f t="shared" si="1"/>
        <v>1248.6689625266981</v>
      </c>
      <c r="N33" s="4">
        <f>SUM(M25:M33)/M45</f>
        <v>0.21275022531796736</v>
      </c>
      <c r="O33" s="5">
        <f t="shared" si="2"/>
        <v>0</v>
      </c>
      <c r="P33" s="5">
        <f t="shared" si="14"/>
        <v>0</v>
      </c>
      <c r="Q33" s="4">
        <f>SUM($O$25:O33)/$O$45</f>
        <v>0</v>
      </c>
      <c r="R33" s="4">
        <f>SUM($P$25:P33)/$P$45</f>
        <v>0</v>
      </c>
      <c r="S33" s="4">
        <f t="shared" si="25"/>
        <v>0</v>
      </c>
      <c r="T33" s="4">
        <f t="shared" si="26"/>
        <v>0</v>
      </c>
      <c r="U33" s="4">
        <f t="shared" si="15"/>
        <v>0</v>
      </c>
      <c r="W33" s="21">
        <f t="shared" si="16"/>
        <v>1596517.8756341008</v>
      </c>
      <c r="X33" s="21">
        <f t="shared" si="17"/>
        <v>3128327.5936832549</v>
      </c>
      <c r="Y33" s="2">
        <f t="shared" si="18"/>
        <v>0</v>
      </c>
      <c r="Z33" s="2">
        <f t="shared" si="19"/>
        <v>0</v>
      </c>
      <c r="AA33" s="2">
        <f t="shared" si="20"/>
        <v>0</v>
      </c>
      <c r="AB33" s="21">
        <f t="shared" si="21"/>
        <v>-1531809.7180491542</v>
      </c>
      <c r="AC33" s="21">
        <f t="shared" si="3"/>
        <v>8547287.6791511402</v>
      </c>
      <c r="AD33" s="5">
        <f t="shared" si="4"/>
        <v>30000</v>
      </c>
      <c r="AE33" s="4">
        <f t="shared" si="5"/>
        <v>0.6</v>
      </c>
      <c r="AF33" s="21">
        <f t="shared" si="6"/>
        <v>28270317.70014973</v>
      </c>
      <c r="AG33" s="21">
        <f t="shared" si="7"/>
        <v>19723030.02099859</v>
      </c>
      <c r="AI33" s="8">
        <f t="shared" si="22"/>
        <v>0.34978145142617295</v>
      </c>
    </row>
    <row r="34" spans="1:35" x14ac:dyDescent="0.2">
      <c r="A34" s="2">
        <v>10</v>
      </c>
      <c r="B34" s="7">
        <f t="shared" si="8"/>
        <v>2500</v>
      </c>
      <c r="C34" s="8">
        <f t="shared" si="9"/>
        <v>0.44364222584360274</v>
      </c>
      <c r="D34" s="27">
        <f t="shared" si="10"/>
        <v>0</v>
      </c>
      <c r="E34" s="5">
        <f>B34*C34*D34</f>
        <v>0</v>
      </c>
      <c r="F34" s="5">
        <f t="shared" si="12"/>
        <v>0</v>
      </c>
      <c r="G34" s="5">
        <f t="shared" si="0"/>
        <v>1109.1055646090069</v>
      </c>
      <c r="H34" s="4">
        <f>SUM(G25:G34)/G46</f>
        <v>0.7647329614333136</v>
      </c>
      <c r="I34" s="4">
        <f t="shared" si="23"/>
        <v>0.47798703310351931</v>
      </c>
      <c r="J34" s="4">
        <f t="shared" si="24"/>
        <v>4.7195981472723636E-2</v>
      </c>
      <c r="K34" s="4">
        <f t="shared" si="13"/>
        <v>2.2559067158555837E-2</v>
      </c>
      <c r="M34" s="5">
        <f t="shared" si="1"/>
        <v>1390.8944353909931</v>
      </c>
      <c r="N34" s="4">
        <f>SUM(M25:M34)/M45</f>
        <v>0.26523680778555198</v>
      </c>
      <c r="O34" s="5">
        <f t="shared" si="2"/>
        <v>0</v>
      </c>
      <c r="P34" s="5">
        <f t="shared" si="14"/>
        <v>0</v>
      </c>
      <c r="Q34" s="4">
        <f>SUM($O$25:O34)/$O$45</f>
        <v>0</v>
      </c>
      <c r="R34" s="4">
        <f>SUM($P$25:P34)/$P$45</f>
        <v>0</v>
      </c>
      <c r="S34" s="4">
        <f t="shared" si="25"/>
        <v>0</v>
      </c>
      <c r="T34" s="4">
        <f t="shared" si="26"/>
        <v>0</v>
      </c>
      <c r="U34" s="4">
        <f t="shared" si="15"/>
        <v>0</v>
      </c>
      <c r="W34" s="21">
        <f t="shared" si="16"/>
        <v>1778363.918590826</v>
      </c>
      <c r="X34" s="21">
        <f t="shared" si="17"/>
        <v>2772763.9115225174</v>
      </c>
      <c r="Y34" s="2">
        <f t="shared" si="18"/>
        <v>0</v>
      </c>
      <c r="Z34" s="2">
        <f t="shared" si="19"/>
        <v>0</v>
      </c>
      <c r="AA34" s="2">
        <f t="shared" si="20"/>
        <v>0</v>
      </c>
      <c r="AB34" s="21">
        <f t="shared" si="21"/>
        <v>-994399.99293169146</v>
      </c>
      <c r="AC34" s="21">
        <f t="shared" si="3"/>
        <v>10079097.397200294</v>
      </c>
      <c r="AD34" s="5">
        <f t="shared" si="4"/>
        <v>27500</v>
      </c>
      <c r="AE34" s="4">
        <f t="shared" si="5"/>
        <v>0.55000000000000004</v>
      </c>
      <c r="AF34" s="21">
        <f t="shared" si="6"/>
        <v>26673799.82451563</v>
      </c>
      <c r="AG34" s="21">
        <f t="shared" si="7"/>
        <v>16594702.427315336</v>
      </c>
      <c r="AI34" s="8">
        <f t="shared" si="22"/>
        <v>0.31002551887238755</v>
      </c>
    </row>
    <row r="35" spans="1:35" x14ac:dyDescent="0.2">
      <c r="A35" s="2">
        <v>11</v>
      </c>
      <c r="B35" s="7">
        <f t="shared" si="8"/>
        <v>2500</v>
      </c>
      <c r="C35" s="8">
        <f t="shared" si="9"/>
        <v>0.39050436479290418</v>
      </c>
      <c r="D35" s="27">
        <f t="shared" si="10"/>
        <v>0</v>
      </c>
      <c r="E35" s="5">
        <f t="shared" si="11"/>
        <v>0</v>
      </c>
      <c r="F35" s="5">
        <f t="shared" si="12"/>
        <v>0</v>
      </c>
      <c r="G35" s="5">
        <f t="shared" si="0"/>
        <v>976.2609119822605</v>
      </c>
      <c r="H35" s="4">
        <f>SUM(G25:G35)/G46</f>
        <v>0.80627597896447356</v>
      </c>
      <c r="I35" s="4">
        <f t="shared" si="23"/>
        <v>0.5879732037981884</v>
      </c>
      <c r="J35" s="4">
        <f t="shared" si="24"/>
        <v>4.1543017531159965E-2</v>
      </c>
      <c r="K35" s="4">
        <f t="shared" si="13"/>
        <v>2.4426181113240433E-2</v>
      </c>
      <c r="M35" s="5">
        <f t="shared" si="1"/>
        <v>1523.7390880177395</v>
      </c>
      <c r="N35" s="4">
        <f>SUM(M25:M35)/M45</f>
        <v>0.32273639601263648</v>
      </c>
      <c r="O35" s="5">
        <f t="shared" si="2"/>
        <v>0</v>
      </c>
      <c r="P35" s="5">
        <f t="shared" si="14"/>
        <v>0</v>
      </c>
      <c r="Q35" s="4">
        <f>SUM($O$25:O35)/$O$45</f>
        <v>0</v>
      </c>
      <c r="R35" s="4">
        <f>SUM($P$25:P35)/$P$45</f>
        <v>0</v>
      </c>
      <c r="S35" s="4">
        <f t="shared" si="25"/>
        <v>0</v>
      </c>
      <c r="T35" s="4">
        <f t="shared" si="26"/>
        <v>0</v>
      </c>
      <c r="U35" s="4">
        <f t="shared" si="15"/>
        <v>0</v>
      </c>
      <c r="W35" s="21">
        <f t="shared" si="16"/>
        <v>1948215.8721236812</v>
      </c>
      <c r="X35" s="21">
        <f t="shared" si="17"/>
        <v>2440652.2799556511</v>
      </c>
      <c r="Y35" s="2">
        <f t="shared" si="18"/>
        <v>0</v>
      </c>
      <c r="Z35" s="2">
        <f t="shared" si="19"/>
        <v>0</v>
      </c>
      <c r="AA35" s="2">
        <f t="shared" si="20"/>
        <v>0</v>
      </c>
      <c r="AB35" s="21">
        <f t="shared" si="21"/>
        <v>-492436.4078319699</v>
      </c>
      <c r="AC35" s="21">
        <f t="shared" si="3"/>
        <v>11073497.390131986</v>
      </c>
      <c r="AD35" s="5">
        <f t="shared" si="4"/>
        <v>25000</v>
      </c>
      <c r="AE35" s="4">
        <f t="shared" si="5"/>
        <v>0.5</v>
      </c>
      <c r="AF35" s="21">
        <f t="shared" si="6"/>
        <v>24895435.905924805</v>
      </c>
      <c r="AG35" s="21">
        <f t="shared" si="7"/>
        <v>13821938.515792819</v>
      </c>
      <c r="AI35" s="8">
        <f t="shared" si="22"/>
        <v>0.27289178365887051</v>
      </c>
    </row>
    <row r="36" spans="1:35" x14ac:dyDescent="0.2">
      <c r="A36" s="2">
        <v>12</v>
      </c>
      <c r="B36" s="7">
        <f t="shared" si="8"/>
        <v>2500</v>
      </c>
      <c r="C36" s="8">
        <f t="shared" si="9"/>
        <v>0.34152958120432819</v>
      </c>
      <c r="D36" s="27">
        <f t="shared" si="10"/>
        <v>0</v>
      </c>
      <c r="E36" s="5">
        <f t="shared" si="11"/>
        <v>0</v>
      </c>
      <c r="F36" s="5">
        <f t="shared" si="12"/>
        <v>0</v>
      </c>
      <c r="G36" s="5">
        <f t="shared" si="0"/>
        <v>853.82395301082045</v>
      </c>
      <c r="H36" s="4">
        <f>SUM(G25:G36)/G46</f>
        <v>0.84260891313514685</v>
      </c>
      <c r="I36" s="4">
        <f t="shared" si="23"/>
        <v>0.70759264285505341</v>
      </c>
      <c r="J36" s="4">
        <f t="shared" si="24"/>
        <v>3.6332934170673292E-2</v>
      </c>
      <c r="K36" s="4">
        <f t="shared" si="13"/>
        <v>2.5708916912505392E-2</v>
      </c>
      <c r="M36" s="5">
        <f t="shared" si="1"/>
        <v>1646.1760469891797</v>
      </c>
      <c r="N36" s="4">
        <f>SUM(M25:M36)/M45</f>
        <v>0.38485624684241687</v>
      </c>
      <c r="O36" s="5">
        <f t="shared" si="2"/>
        <v>0</v>
      </c>
      <c r="P36" s="5">
        <f t="shared" si="14"/>
        <v>0</v>
      </c>
      <c r="Q36" s="4">
        <f>SUM($O$25:O36)/$O$45</f>
        <v>0</v>
      </c>
      <c r="R36" s="4">
        <f>SUM($P$25:P36)/$P$45</f>
        <v>0</v>
      </c>
      <c r="S36" s="4">
        <f t="shared" si="25"/>
        <v>0</v>
      </c>
      <c r="T36" s="4">
        <f t="shared" si="26"/>
        <v>0</v>
      </c>
      <c r="U36" s="4">
        <f t="shared" si="15"/>
        <v>0</v>
      </c>
      <c r="W36" s="21">
        <f t="shared" si="16"/>
        <v>2104760.8007656499</v>
      </c>
      <c r="X36" s="21">
        <f t="shared" si="17"/>
        <v>2134559.882527051</v>
      </c>
      <c r="Y36" s="2">
        <f t="shared" si="18"/>
        <v>0</v>
      </c>
      <c r="Z36" s="2">
        <f t="shared" si="19"/>
        <v>0</v>
      </c>
      <c r="AA36" s="2">
        <f t="shared" si="20"/>
        <v>0</v>
      </c>
      <c r="AB36" s="21">
        <f t="shared" si="21"/>
        <v>-29799.081761401147</v>
      </c>
      <c r="AC36" s="21">
        <f t="shared" si="3"/>
        <v>11565933.797963956</v>
      </c>
      <c r="AD36" s="5">
        <f t="shared" si="4"/>
        <v>22500</v>
      </c>
      <c r="AE36" s="4">
        <f t="shared" si="5"/>
        <v>0.45</v>
      </c>
      <c r="AF36" s="21">
        <f t="shared" si="6"/>
        <v>22947220.033801123</v>
      </c>
      <c r="AG36" s="21">
        <f t="shared" si="7"/>
        <v>11381286.235837167</v>
      </c>
      <c r="AI36" s="8">
        <f t="shared" si="22"/>
        <v>0.23866728515708957</v>
      </c>
    </row>
    <row r="37" spans="1:35" x14ac:dyDescent="0.2">
      <c r="A37" s="2">
        <v>13</v>
      </c>
      <c r="B37" s="7">
        <f t="shared" si="8"/>
        <v>2500</v>
      </c>
      <c r="C37" s="8">
        <f t="shared" si="9"/>
        <v>0.29694402125080177</v>
      </c>
      <c r="D37" s="27">
        <f t="shared" si="10"/>
        <v>1</v>
      </c>
      <c r="E37" s="5">
        <f t="shared" si="11"/>
        <v>742.36005312700445</v>
      </c>
      <c r="F37" s="5">
        <f t="shared" si="12"/>
        <v>2500</v>
      </c>
      <c r="G37" s="5">
        <f t="shared" si="0"/>
        <v>742.36005312700445</v>
      </c>
      <c r="H37" s="4">
        <f>SUM(G25:G37)/G46</f>
        <v>0.87419870262991306</v>
      </c>
      <c r="I37" s="4">
        <f t="shared" si="23"/>
        <v>0.83603852941589019</v>
      </c>
      <c r="J37" s="4">
        <f t="shared" si="24"/>
        <v>3.1589789494766207E-2</v>
      </c>
      <c r="K37" s="4">
        <f t="shared" si="13"/>
        <v>2.6410281153761875E-2</v>
      </c>
      <c r="M37" s="5">
        <f t="shared" si="1"/>
        <v>1757.6399468729956</v>
      </c>
      <c r="N37" s="4">
        <f>SUM(M25:M37)/M45</f>
        <v>0.45118228257347331</v>
      </c>
      <c r="O37" s="5">
        <f t="shared" si="2"/>
        <v>1757.6399468729956</v>
      </c>
      <c r="P37" s="5">
        <f t="shared" si="14"/>
        <v>742.36005312700445</v>
      </c>
      <c r="Q37" s="4">
        <f>SUM($O$25:O37)/$O$45</f>
        <v>0.10782200971821541</v>
      </c>
      <c r="R37" s="4">
        <f>SUM($P$25:P37)/$P$45</f>
        <v>0.20070888462630251</v>
      </c>
      <c r="S37" s="4">
        <f t="shared" si="25"/>
        <v>0.10782200971821541</v>
      </c>
      <c r="T37" s="4">
        <f t="shared" si="26"/>
        <v>0.20070888462630251</v>
      </c>
      <c r="U37" s="4">
        <f t="shared" si="15"/>
        <v>2.1640835308709364E-2</v>
      </c>
      <c r="W37" s="21">
        <f t="shared" si="16"/>
        <v>2247275.8419758594</v>
      </c>
      <c r="X37" s="21">
        <f t="shared" si="17"/>
        <v>1855900.1328175112</v>
      </c>
      <c r="Y37" s="2">
        <f t="shared" si="18"/>
        <v>2247275.8419758594</v>
      </c>
      <c r="Z37" s="2">
        <f t="shared" si="19"/>
        <v>1855900.1328175112</v>
      </c>
      <c r="AA37" s="2">
        <f t="shared" si="20"/>
        <v>1</v>
      </c>
      <c r="AB37" s="21">
        <f t="shared" si="21"/>
        <v>391375.70915834815</v>
      </c>
      <c r="AC37" s="21">
        <f t="shared" si="3"/>
        <v>11595732.879725358</v>
      </c>
      <c r="AD37" s="5">
        <f t="shared" si="4"/>
        <v>20000</v>
      </c>
      <c r="AE37" s="4">
        <f t="shared" si="5"/>
        <v>0.4</v>
      </c>
      <c r="AF37" s="21">
        <f t="shared" si="6"/>
        <v>20842459.233035475</v>
      </c>
      <c r="AG37" s="21">
        <f t="shared" si="7"/>
        <v>9246726.3533101156</v>
      </c>
      <c r="AI37" s="8">
        <f t="shared" si="22"/>
        <v>0.20751005855963564</v>
      </c>
    </row>
    <row r="38" spans="1:35" x14ac:dyDescent="0.2">
      <c r="A38" s="2">
        <v>14</v>
      </c>
      <c r="B38" s="7">
        <f t="shared" si="8"/>
        <v>2500</v>
      </c>
      <c r="C38" s="8">
        <f t="shared" si="9"/>
        <v>0.25680694999792303</v>
      </c>
      <c r="D38" s="27">
        <f t="shared" si="10"/>
        <v>1</v>
      </c>
      <c r="E38" s="5">
        <f t="shared" si="11"/>
        <v>642.0173749948076</v>
      </c>
      <c r="F38" s="5">
        <f t="shared" si="12"/>
        <v>2500</v>
      </c>
      <c r="G38" s="5">
        <f t="shared" si="0"/>
        <v>642.0173749948076</v>
      </c>
      <c r="H38" s="4">
        <f>SUM(G25:G38)/G46</f>
        <v>0.90151859092756448</v>
      </c>
      <c r="I38" s="4">
        <f t="shared" si="23"/>
        <v>0.97247711703393502</v>
      </c>
      <c r="J38" s="4">
        <f t="shared" si="24"/>
        <v>2.7319888297651418E-2</v>
      </c>
      <c r="K38" s="4">
        <f t="shared" si="13"/>
        <v>2.6567966209389188E-2</v>
      </c>
      <c r="M38" s="5">
        <f t="shared" si="1"/>
        <v>1857.9826250051924</v>
      </c>
      <c r="N38" s="4">
        <f>SUM(M25:M38)/M45</f>
        <v>0.52129483446046176</v>
      </c>
      <c r="O38" s="5">
        <f t="shared" si="2"/>
        <v>1857.9826250051924</v>
      </c>
      <c r="P38" s="5">
        <f t="shared" si="14"/>
        <v>642.0173749948076</v>
      </c>
      <c r="Q38" s="4">
        <f>SUM($O$25:O38)/$O$45</f>
        <v>0.22179951745863369</v>
      </c>
      <c r="R38" s="4">
        <f>SUM($P$25:P38)/$P$45</f>
        <v>0.37428852526446743</v>
      </c>
      <c r="S38" s="4">
        <f t="shared" si="25"/>
        <v>0.32962152717684912</v>
      </c>
      <c r="T38" s="4">
        <f t="shared" si="26"/>
        <v>0.17357964063816492</v>
      </c>
      <c r="U38" s="4">
        <f t="shared" si="15"/>
        <v>5.7215586233960579E-2</v>
      </c>
      <c r="W38" s="21">
        <f t="shared" si="16"/>
        <v>2375571.5585626531</v>
      </c>
      <c r="X38" s="21">
        <f t="shared" si="17"/>
        <v>1605043.437487019</v>
      </c>
      <c r="Y38" s="2">
        <f t="shared" si="18"/>
        <v>2375571.5585626531</v>
      </c>
      <c r="Z38" s="2">
        <f t="shared" si="19"/>
        <v>1605043.437487019</v>
      </c>
      <c r="AA38" s="2">
        <f t="shared" si="20"/>
        <v>1</v>
      </c>
      <c r="AB38" s="21">
        <f t="shared" si="21"/>
        <v>770528.12107563415</v>
      </c>
      <c r="AC38" s="21">
        <f t="shared" si="3"/>
        <v>11204357.17056701</v>
      </c>
      <c r="AD38" s="5">
        <f t="shared" si="4"/>
        <v>17500</v>
      </c>
      <c r="AE38" s="4">
        <f t="shared" si="5"/>
        <v>0.35</v>
      </c>
      <c r="AF38" s="21">
        <f t="shared" si="6"/>
        <v>18595183.391059615</v>
      </c>
      <c r="AG38" s="21">
        <f t="shared" si="7"/>
        <v>7390826.2204926042</v>
      </c>
      <c r="AI38" s="8">
        <f t="shared" si="22"/>
        <v>0.17946151940732682</v>
      </c>
    </row>
    <row r="39" spans="1:35" x14ac:dyDescent="0.2">
      <c r="A39" s="2">
        <v>15</v>
      </c>
      <c r="B39" s="7">
        <f t="shared" si="8"/>
        <v>2500</v>
      </c>
      <c r="C39" s="8">
        <f t="shared" si="9"/>
        <v>0.22103765608207449</v>
      </c>
      <c r="D39" s="27">
        <f t="shared" si="10"/>
        <v>1</v>
      </c>
      <c r="E39" s="5">
        <f t="shared" si="11"/>
        <v>552.59414020518625</v>
      </c>
      <c r="F39" s="5">
        <f t="shared" si="12"/>
        <v>2500</v>
      </c>
      <c r="G39" s="5">
        <f t="shared" si="0"/>
        <v>552.59414020518625</v>
      </c>
      <c r="H39" s="4">
        <f>SUM(G25:G39)/G46</f>
        <v>0.92503323519161496</v>
      </c>
      <c r="I39" s="4">
        <f t="shared" si="23"/>
        <v>1.1160766824980861</v>
      </c>
      <c r="J39" s="4">
        <f t="shared" si="24"/>
        <v>2.3514644264050477E-2</v>
      </c>
      <c r="K39" s="4">
        <f t="shared" si="13"/>
        <v>2.6244146160344105E-2</v>
      </c>
      <c r="M39" s="5">
        <f t="shared" si="1"/>
        <v>1947.4058597948138</v>
      </c>
      <c r="N39" s="4">
        <f>SUM(M25:M39)/M45</f>
        <v>0.59478184803762446</v>
      </c>
      <c r="O39" s="5">
        <f t="shared" si="2"/>
        <v>1947.4058597948138</v>
      </c>
      <c r="P39" s="5">
        <f t="shared" si="14"/>
        <v>552.59414020518625</v>
      </c>
      <c r="Q39" s="4">
        <f>SUM($O$25:O39)/$O$45</f>
        <v>0.34126267253409032</v>
      </c>
      <c r="R39" s="4">
        <f>SUM($P$25:P39)/$P$45</f>
        <v>0.52369116764053658</v>
      </c>
      <c r="S39" s="4">
        <f t="shared" si="25"/>
        <v>0.56306218999272395</v>
      </c>
      <c r="T39" s="4">
        <f t="shared" si="26"/>
        <v>0.14940264237606915</v>
      </c>
      <c r="U39" s="4">
        <f t="shared" si="15"/>
        <v>8.4122979006969231E-2</v>
      </c>
      <c r="W39" s="21">
        <f t="shared" si="16"/>
        <v>2489905.9395099999</v>
      </c>
      <c r="X39" s="21">
        <f t="shared" si="17"/>
        <v>1381485.3505129656</v>
      </c>
      <c r="Y39" s="2">
        <f t="shared" si="18"/>
        <v>2489905.9395099999</v>
      </c>
      <c r="Z39" s="2">
        <f t="shared" si="19"/>
        <v>1381485.3505129656</v>
      </c>
      <c r="AA39" s="2">
        <f t="shared" si="20"/>
        <v>1</v>
      </c>
      <c r="AB39" s="21">
        <f t="shared" si="21"/>
        <v>1108420.5889970344</v>
      </c>
      <c r="AC39" s="21">
        <f t="shared" si="3"/>
        <v>10433829.049491376</v>
      </c>
      <c r="AD39" s="5">
        <f t="shared" si="4"/>
        <v>15000</v>
      </c>
      <c r="AE39" s="4">
        <f t="shared" si="5"/>
        <v>0.3</v>
      </c>
      <c r="AF39" s="21">
        <f t="shared" si="6"/>
        <v>16219611.83249696</v>
      </c>
      <c r="AG39" s="21">
        <f t="shared" si="7"/>
        <v>5785782.783005585</v>
      </c>
      <c r="AI39" s="8">
        <f t="shared" si="22"/>
        <v>0.15446526508353475</v>
      </c>
    </row>
    <row r="40" spans="1:35" x14ac:dyDescent="0.2">
      <c r="A40" s="2">
        <v>16</v>
      </c>
      <c r="B40" s="7">
        <f t="shared" si="8"/>
        <v>2500</v>
      </c>
      <c r="C40" s="8">
        <f t="shared" si="9"/>
        <v>0.189446645388262</v>
      </c>
      <c r="D40" s="27">
        <f t="shared" si="10"/>
        <v>1</v>
      </c>
      <c r="E40" s="5">
        <f t="shared" si="11"/>
        <v>473.61661347065501</v>
      </c>
      <c r="F40" s="5">
        <f t="shared" si="12"/>
        <v>2500</v>
      </c>
      <c r="G40" s="5">
        <f t="shared" si="0"/>
        <v>473.61661347065501</v>
      </c>
      <c r="H40" s="4">
        <f>SUM(G25:G40)/G46</f>
        <v>0.94518713363717477</v>
      </c>
      <c r="I40" s="4">
        <f t="shared" si="23"/>
        <v>1.2660309936801299</v>
      </c>
      <c r="J40" s="4">
        <f t="shared" si="24"/>
        <v>2.0153898445559815E-2</v>
      </c>
      <c r="K40" s="4">
        <f t="shared" si="13"/>
        <v>2.551546007556052E-2</v>
      </c>
      <c r="M40" s="5">
        <f t="shared" si="1"/>
        <v>2026.383386529345</v>
      </c>
      <c r="N40" s="4">
        <f>SUM(M25:M40)/M45</f>
        <v>0.67124914564250537</v>
      </c>
      <c r="O40" s="5">
        <f t="shared" si="2"/>
        <v>2026.383386529345</v>
      </c>
      <c r="P40" s="5">
        <f t="shared" si="14"/>
        <v>473.61661347065501</v>
      </c>
      <c r="Q40" s="4">
        <f>SUM($O$25:O40)/$O$45</f>
        <v>0.46557068543736385</v>
      </c>
      <c r="R40" s="4">
        <f>SUM($P$25:P40)/$P$45</f>
        <v>0.65174097558719202</v>
      </c>
      <c r="S40" s="4">
        <f t="shared" si="25"/>
        <v>0.80683335797145417</v>
      </c>
      <c r="T40" s="4">
        <f t="shared" si="26"/>
        <v>0.12804980794665544</v>
      </c>
      <c r="U40" s="4">
        <f t="shared" si="15"/>
        <v>0.1033148565331998</v>
      </c>
      <c r="W40" s="21">
        <f t="shared" si="16"/>
        <v>2590884.6912761256</v>
      </c>
      <c r="X40" s="21">
        <f t="shared" si="17"/>
        <v>1184041.5336766376</v>
      </c>
      <c r="Y40" s="2">
        <f t="shared" si="18"/>
        <v>2590884.6912761256</v>
      </c>
      <c r="Z40" s="2">
        <f t="shared" si="19"/>
        <v>1184041.5336766376</v>
      </c>
      <c r="AA40" s="2">
        <f t="shared" si="20"/>
        <v>1</v>
      </c>
      <c r="AB40" s="21">
        <f t="shared" si="21"/>
        <v>1406843.157599488</v>
      </c>
      <c r="AC40" s="21">
        <f t="shared" si="3"/>
        <v>9325408.4604943413</v>
      </c>
      <c r="AD40" s="5">
        <f t="shared" si="4"/>
        <v>12500</v>
      </c>
      <c r="AE40" s="4">
        <f t="shared" si="5"/>
        <v>0.25</v>
      </c>
      <c r="AF40" s="21">
        <f t="shared" si="6"/>
        <v>13729705.892986961</v>
      </c>
      <c r="AG40" s="21">
        <f t="shared" si="7"/>
        <v>4404297.4324926194</v>
      </c>
      <c r="AI40" s="8">
        <f t="shared" si="22"/>
        <v>0.13238887354206538</v>
      </c>
    </row>
    <row r="41" spans="1:35" x14ac:dyDescent="0.2">
      <c r="A41" s="2">
        <v>17</v>
      </c>
      <c r="B41" s="7">
        <f t="shared" si="8"/>
        <v>2500</v>
      </c>
      <c r="C41" s="8">
        <f t="shared" si="9"/>
        <v>0.16176701794718479</v>
      </c>
      <c r="D41" s="27">
        <f t="shared" si="10"/>
        <v>1</v>
      </c>
      <c r="E41" s="5">
        <f t="shared" si="11"/>
        <v>404.41754486796196</v>
      </c>
      <c r="F41" s="5">
        <f t="shared" si="12"/>
        <v>2500</v>
      </c>
      <c r="G41" s="5">
        <f t="shared" si="0"/>
        <v>404.41754486796196</v>
      </c>
      <c r="H41" s="4">
        <f>SUM(G25:G41)/G46</f>
        <v>0.96239639086559869</v>
      </c>
      <c r="I41" s="4">
        <f t="shared" si="23"/>
        <v>1.4215768744975406</v>
      </c>
      <c r="J41" s="4">
        <f t="shared" si="24"/>
        <v>1.7209257228423924E-2</v>
      </c>
      <c r="K41" s="4">
        <f t="shared" si="13"/>
        <v>2.4464282103207089E-2</v>
      </c>
      <c r="M41" s="5">
        <f t="shared" si="1"/>
        <v>2095.5824551320379</v>
      </c>
      <c r="N41" s="4">
        <f>SUM(M25:M41)/M45</f>
        <v>0.75032772885503507</v>
      </c>
      <c r="O41" s="5">
        <f t="shared" si="2"/>
        <v>2095.5824551320379</v>
      </c>
      <c r="P41" s="5">
        <f t="shared" si="14"/>
        <v>404.41754486796196</v>
      </c>
      <c r="Q41" s="4">
        <f>SUM($O$25:O41)/$O$45</f>
        <v>0.59412369895105543</v>
      </c>
      <c r="R41" s="4">
        <f>SUM($P$25:P41)/$P$45</f>
        <v>0.76108171127447388</v>
      </c>
      <c r="S41" s="4">
        <f t="shared" si="25"/>
        <v>1.0596943843884192</v>
      </c>
      <c r="T41" s="4">
        <f t="shared" si="26"/>
        <v>0.10934073568728186</v>
      </c>
      <c r="U41" s="4">
        <f t="shared" si="15"/>
        <v>0.11586776359271102</v>
      </c>
      <c r="W41" s="21">
        <f t="shared" si="16"/>
        <v>2679360.9434429747</v>
      </c>
      <c r="X41" s="21">
        <f t="shared" si="17"/>
        <v>1011043.8621699049</v>
      </c>
      <c r="Y41" s="2">
        <f t="shared" si="18"/>
        <v>2679360.9434429747</v>
      </c>
      <c r="Z41" s="2">
        <f t="shared" si="19"/>
        <v>1011043.8621699049</v>
      </c>
      <c r="AA41" s="2">
        <f t="shared" si="20"/>
        <v>1</v>
      </c>
      <c r="AB41" s="21">
        <f t="shared" si="21"/>
        <v>1668317.0812730698</v>
      </c>
      <c r="AC41" s="21">
        <f t="shared" si="3"/>
        <v>7918565.3028948531</v>
      </c>
      <c r="AD41" s="5">
        <f t="shared" si="4"/>
        <v>10000</v>
      </c>
      <c r="AE41" s="4">
        <f t="shared" si="5"/>
        <v>0.2</v>
      </c>
      <c r="AF41" s="21">
        <f t="shared" si="6"/>
        <v>11138821.201710835</v>
      </c>
      <c r="AG41" s="21">
        <f t="shared" si="7"/>
        <v>3220255.898815982</v>
      </c>
      <c r="AI41" s="8">
        <f t="shared" si="22"/>
        <v>0.11304583007207897</v>
      </c>
    </row>
    <row r="42" spans="1:35" x14ac:dyDescent="0.2">
      <c r="A42" s="2">
        <v>18</v>
      </c>
      <c r="B42" s="7">
        <f t="shared" si="8"/>
        <v>2500</v>
      </c>
      <c r="C42" s="8">
        <f t="shared" si="9"/>
        <v>0.1376831082826116</v>
      </c>
      <c r="D42" s="27">
        <f t="shared" si="10"/>
        <v>1</v>
      </c>
      <c r="E42" s="5">
        <f t="shared" si="11"/>
        <v>344.207770706529</v>
      </c>
      <c r="F42" s="5">
        <f t="shared" si="12"/>
        <v>2500</v>
      </c>
      <c r="G42" s="5">
        <f t="shared" si="0"/>
        <v>344.207770706529</v>
      </c>
      <c r="H42" s="4">
        <f>SUM(G25:G42)/G46</f>
        <v>0.97704353004459998</v>
      </c>
      <c r="I42" s="4">
        <f t="shared" si="23"/>
        <v>1.582006107872088</v>
      </c>
      <c r="J42" s="4">
        <f t="shared" si="24"/>
        <v>1.4647139179001289E-2</v>
      </c>
      <c r="K42" s="4">
        <f t="shared" si="13"/>
        <v>2.3171863644032599E-2</v>
      </c>
      <c r="M42" s="5">
        <f t="shared" si="1"/>
        <v>2155.7922292934709</v>
      </c>
      <c r="N42" s="4">
        <f>SUM(M25:M42)/M45</f>
        <v>0.83167837901705288</v>
      </c>
      <c r="O42" s="5">
        <f t="shared" si="2"/>
        <v>2155.7922292934709</v>
      </c>
      <c r="P42" s="5">
        <f t="shared" si="14"/>
        <v>344.207770706529</v>
      </c>
      <c r="Q42" s="4">
        <f>SUM($O$25:O42)/$O$45</f>
        <v>0.7263702669190113</v>
      </c>
      <c r="R42" s="4">
        <f>SUM($P$25:P42)/$P$45</f>
        <v>0.85414377387766494</v>
      </c>
      <c r="S42" s="4">
        <f t="shared" si="25"/>
        <v>1.3204939658700667</v>
      </c>
      <c r="T42" s="4">
        <f t="shared" si="26"/>
        <v>9.3062062603191054E-2</v>
      </c>
      <c r="U42" s="4">
        <f t="shared" si="15"/>
        <v>0.12288789211893618</v>
      </c>
      <c r="W42" s="21">
        <f t="shared" si="16"/>
        <v>2756343.7015809743</v>
      </c>
      <c r="X42" s="21">
        <f t="shared" si="17"/>
        <v>860519.42676632246</v>
      </c>
      <c r="Y42" s="2">
        <f t="shared" si="18"/>
        <v>2756343.7015809743</v>
      </c>
      <c r="Z42" s="2">
        <f t="shared" si="19"/>
        <v>860519.42676632246</v>
      </c>
      <c r="AA42" s="2">
        <f t="shared" si="20"/>
        <v>1</v>
      </c>
      <c r="AB42" s="21">
        <f t="shared" si="21"/>
        <v>1895824.2748146518</v>
      </c>
      <c r="AC42" s="21">
        <f t="shared" si="3"/>
        <v>6250248.2216217835</v>
      </c>
      <c r="AD42" s="5">
        <f t="shared" si="4"/>
        <v>7500</v>
      </c>
      <c r="AE42" s="4">
        <f t="shared" si="5"/>
        <v>0.15</v>
      </c>
      <c r="AF42" s="21">
        <f t="shared" si="6"/>
        <v>8459460.2582678609</v>
      </c>
      <c r="AG42" s="21">
        <f t="shared" si="7"/>
        <v>2209212.0366460774</v>
      </c>
      <c r="AI42" s="8">
        <f t="shared" si="22"/>
        <v>9.6215541710692867E-2</v>
      </c>
    </row>
    <row r="43" spans="1:35" x14ac:dyDescent="0.2">
      <c r="A43" s="2">
        <v>19</v>
      </c>
      <c r="B43" s="7">
        <f t="shared" si="8"/>
        <v>2500</v>
      </c>
      <c r="C43" s="8">
        <f t="shared" si="9"/>
        <v>0.1168546951480184</v>
      </c>
      <c r="D43" s="27">
        <f t="shared" si="10"/>
        <v>1</v>
      </c>
      <c r="E43" s="5">
        <f t="shared" si="11"/>
        <v>292.13673787004598</v>
      </c>
      <c r="F43" s="5">
        <f t="shared" si="12"/>
        <v>2500</v>
      </c>
      <c r="G43" s="5">
        <f t="shared" si="0"/>
        <v>292.13673787004598</v>
      </c>
      <c r="H43" s="4">
        <f>SUM(G25:G43)/G46</f>
        <v>0.98947488059226141</v>
      </c>
      <c r="I43" s="4">
        <f t="shared" si="23"/>
        <v>1.7466723528314625</v>
      </c>
      <c r="J43" s="4">
        <f t="shared" si="24"/>
        <v>1.2431350547661424E-2</v>
      </c>
      <c r="K43" s="4">
        <f t="shared" si="13"/>
        <v>2.1713496309956469E-2</v>
      </c>
      <c r="M43" s="5">
        <f t="shared" si="1"/>
        <v>2207.8632621299539</v>
      </c>
      <c r="N43" s="4">
        <f>SUM(M25:M43)/M45</f>
        <v>0.91499397381440961</v>
      </c>
      <c r="O43" s="5">
        <f t="shared" si="2"/>
        <v>2207.8632621299539</v>
      </c>
      <c r="P43" s="5">
        <f t="shared" si="14"/>
        <v>292.13673787004598</v>
      </c>
      <c r="Q43" s="4">
        <f>SUM($O$25:O43)/$O$45</f>
        <v>0.86181112016622552</v>
      </c>
      <c r="R43" s="4">
        <f>SUM($P$25:P43)/$P$45</f>
        <v>0.93312760196658306</v>
      </c>
      <c r="S43" s="4">
        <f t="shared" si="25"/>
        <v>1.5881813870852368</v>
      </c>
      <c r="T43" s="4">
        <f t="shared" si="26"/>
        <v>7.8983828088918129E-2</v>
      </c>
      <c r="U43" s="4">
        <f t="shared" si="15"/>
        <v>0.12544064565155988</v>
      </c>
      <c r="W43" s="21">
        <f t="shared" si="16"/>
        <v>2822920.4622926014</v>
      </c>
      <c r="X43" s="21">
        <f t="shared" si="17"/>
        <v>730341.84467511496</v>
      </c>
      <c r="Y43" s="2">
        <f t="shared" si="18"/>
        <v>2822920.4622926014</v>
      </c>
      <c r="Z43" s="2">
        <f t="shared" si="19"/>
        <v>730341.84467511496</v>
      </c>
      <c r="AA43" s="2">
        <f t="shared" si="20"/>
        <v>1</v>
      </c>
      <c r="AB43" s="21">
        <f t="shared" si="21"/>
        <v>2092578.6176174865</v>
      </c>
      <c r="AC43" s="21">
        <f>AC44+AB43</f>
        <v>4354423.9468071312</v>
      </c>
      <c r="AD43" s="5">
        <f>AD44+B43</f>
        <v>5000</v>
      </c>
      <c r="AE43" s="4">
        <f t="shared" si="5"/>
        <v>0.1</v>
      </c>
      <c r="AF43" s="21">
        <f>AF44+W43</f>
        <v>5703116.5566868857</v>
      </c>
      <c r="AG43" s="21">
        <f>AG44+X43</f>
        <v>1348692.6098797547</v>
      </c>
      <c r="AI43" s="8">
        <f t="shared" si="22"/>
        <v>8.1660255461594666E-2</v>
      </c>
    </row>
    <row r="44" spans="1:35" x14ac:dyDescent="0.2">
      <c r="A44" s="2">
        <v>20</v>
      </c>
      <c r="B44" s="7">
        <f t="shared" si="8"/>
        <v>2500</v>
      </c>
      <c r="C44" s="8">
        <f t="shared" si="9"/>
        <v>9.8936122432742371E-2</v>
      </c>
      <c r="D44" s="27">
        <f t="shared" si="10"/>
        <v>1</v>
      </c>
      <c r="E44" s="5">
        <f t="shared" si="11"/>
        <v>247.34030608185591</v>
      </c>
      <c r="F44" s="5">
        <f t="shared" si="12"/>
        <v>2500</v>
      </c>
      <c r="G44" s="5">
        <f t="shared" si="0"/>
        <v>247.34030608185591</v>
      </c>
      <c r="H44" s="4">
        <f>SUM(G25:G44)/G46</f>
        <v>1</v>
      </c>
      <c r="I44" s="4">
        <f t="shared" si="23"/>
        <v>1.9149939738144095</v>
      </c>
      <c r="J44" s="4">
        <f t="shared" si="24"/>
        <v>1.0525119407738592E-2</v>
      </c>
      <c r="K44" s="4">
        <f t="shared" si="13"/>
        <v>2.0155540239496492E-2</v>
      </c>
      <c r="M44" s="5">
        <f t="shared" si="1"/>
        <v>2252.6596939181441</v>
      </c>
      <c r="N44" s="4">
        <f>SUM(M25:M44)/M45</f>
        <v>1</v>
      </c>
      <c r="O44" s="5">
        <f t="shared" si="2"/>
        <v>2252.6596939181441</v>
      </c>
      <c r="P44" s="5">
        <f t="shared" si="14"/>
        <v>247.34030608185591</v>
      </c>
      <c r="Q44" s="4">
        <f>SUM($O$25:O44)/$O$45</f>
        <v>1</v>
      </c>
      <c r="R44" s="4">
        <f>SUM($P$25:P44)/$P$45</f>
        <v>1</v>
      </c>
      <c r="S44" s="4">
        <f t="shared" si="25"/>
        <v>1.8618111201662255</v>
      </c>
      <c r="T44" s="4">
        <f t="shared" si="26"/>
        <v>6.6872398033416935E-2</v>
      </c>
      <c r="U44" s="4">
        <f t="shared" si="15"/>
        <v>0.12450377429079768</v>
      </c>
      <c r="W44" s="21">
        <f t="shared" si="16"/>
        <v>2880196.0943942843</v>
      </c>
      <c r="X44" s="21">
        <f t="shared" si="17"/>
        <v>618350.76520463976</v>
      </c>
      <c r="Y44" s="2">
        <f t="shared" si="18"/>
        <v>2880196.0943942843</v>
      </c>
      <c r="Z44" s="2">
        <f t="shared" si="19"/>
        <v>618350.76520463976</v>
      </c>
      <c r="AA44" s="2">
        <f t="shared" si="20"/>
        <v>1</v>
      </c>
      <c r="AB44" s="21">
        <f t="shared" si="21"/>
        <v>2261845.3291896447</v>
      </c>
      <c r="AC44" s="21">
        <f>AB44</f>
        <v>2261845.3291896447</v>
      </c>
      <c r="AD44" s="5">
        <f>B44</f>
        <v>2500</v>
      </c>
      <c r="AE44" s="4">
        <f>AD44/$AD$25</f>
        <v>0.05</v>
      </c>
      <c r="AF44" s="21">
        <f>W44</f>
        <v>2880196.0943942843</v>
      </c>
      <c r="AG44" s="21">
        <f>X44</f>
        <v>618350.76520463976</v>
      </c>
      <c r="AI44" s="8">
        <f t="shared" si="22"/>
        <v>6.9138420343346843E-2</v>
      </c>
    </row>
    <row r="45" spans="1:35" ht="26.25" thickBot="1" x14ac:dyDescent="0.25">
      <c r="B45" s="2">
        <f>SUM(B25:B44)</f>
        <v>50000</v>
      </c>
      <c r="C45" s="8">
        <f t="shared" si="9"/>
        <v>0.46999999999999992</v>
      </c>
      <c r="E45" s="5">
        <f>SUM(E25:E44)</f>
        <v>3698.6905413240465</v>
      </c>
      <c r="F45" s="5">
        <f>SUM(F25:F44)</f>
        <v>20000</v>
      </c>
      <c r="G45" s="5">
        <f>SUM(G25:G44)</f>
        <v>23500.000000000004</v>
      </c>
      <c r="H45" s="4"/>
      <c r="I45" s="4"/>
      <c r="J45" s="36" t="s">
        <v>55</v>
      </c>
      <c r="K45" s="4">
        <f>SUM(K25:K44)</f>
        <v>0.34457735190538552</v>
      </c>
      <c r="L45" s="2" t="s">
        <v>57</v>
      </c>
      <c r="M45" s="11">
        <f>SUM(M25:M44)</f>
        <v>26499.999999999996</v>
      </c>
      <c r="O45" s="11">
        <f>SUM(O25:O44)</f>
        <v>16301.309458675954</v>
      </c>
      <c r="P45" s="11">
        <f>SUM(P25:P44)</f>
        <v>3698.6905413240465</v>
      </c>
      <c r="Q45" s="4"/>
      <c r="R45" s="4"/>
      <c r="S45" s="4"/>
      <c r="T45" s="36" t="s">
        <v>55</v>
      </c>
      <c r="U45" s="4">
        <f>SUM(U25:U44)</f>
        <v>0.75499433273684358</v>
      </c>
      <c r="W45" s="21">
        <f>SUM(W25:W44)</f>
        <v>33882257.807300203</v>
      </c>
      <c r="X45" s="21">
        <f>SUM(X25:X44)</f>
        <v>58750000.000000007</v>
      </c>
      <c r="Y45" s="21">
        <f>SUM(Y25:Y44)</f>
        <v>20842459.233035471</v>
      </c>
      <c r="Z45" s="21">
        <f>SUM(Z25:Z44)</f>
        <v>9246726.3533101156</v>
      </c>
      <c r="AI45" s="10">
        <f>AVERAGE(AI25:AI44)</f>
        <v>0.32844482644307627</v>
      </c>
    </row>
    <row r="46" spans="1:35" ht="26.25" thickBot="1" x14ac:dyDescent="0.25">
      <c r="C46" s="4">
        <f>G45/B45</f>
        <v>0.47000000000000008</v>
      </c>
      <c r="F46" s="5" t="s">
        <v>54</v>
      </c>
      <c r="G46" s="5">
        <f>SUM(G25:G44)</f>
        <v>23500.000000000004</v>
      </c>
      <c r="H46" s="4"/>
      <c r="I46" s="4"/>
      <c r="J46" s="36" t="s">
        <v>56</v>
      </c>
      <c r="K46" s="20">
        <f>1-K45</f>
        <v>0.65542264809461448</v>
      </c>
      <c r="Q46" s="4"/>
      <c r="R46" s="4"/>
      <c r="S46" s="4"/>
      <c r="T46" s="36" t="s">
        <v>28</v>
      </c>
      <c r="U46" s="20">
        <f>1-U45</f>
        <v>0.24500566726315642</v>
      </c>
    </row>
    <row r="47" spans="1:35" x14ac:dyDescent="0.2">
      <c r="C47" s="2" t="s">
        <v>17</v>
      </c>
      <c r="D47" s="9">
        <v>-0.18</v>
      </c>
    </row>
    <row r="48" spans="1:35" x14ac:dyDescent="0.2">
      <c r="C48" s="2" t="s">
        <v>18</v>
      </c>
      <c r="D48" s="9">
        <v>1</v>
      </c>
    </row>
    <row r="51" spans="1:11" ht="25.5" x14ac:dyDescent="0.2">
      <c r="A51" s="12" t="s">
        <v>9</v>
      </c>
      <c r="B51" s="14" t="s">
        <v>18</v>
      </c>
      <c r="C51" s="14" t="s">
        <v>17</v>
      </c>
      <c r="D51" s="14" t="s">
        <v>28</v>
      </c>
      <c r="E51" s="37" t="s">
        <v>58</v>
      </c>
      <c r="F51" s="14" t="s">
        <v>29</v>
      </c>
      <c r="G51" s="3"/>
      <c r="H51" s="10">
        <f>D53-D67</f>
        <v>0.60931870394128618</v>
      </c>
      <c r="I51" s="5">
        <f>E53-E67</f>
        <v>18063297.227884285</v>
      </c>
      <c r="J51" s="5">
        <f>I51/H51</f>
        <v>29645072.621346712</v>
      </c>
    </row>
    <row r="52" spans="1:11" x14ac:dyDescent="0.2">
      <c r="A52" s="18">
        <f>B19</f>
        <v>9246726.3533101156</v>
      </c>
      <c r="B52" s="22">
        <f>D48</f>
        <v>1</v>
      </c>
      <c r="C52" s="22">
        <f>D47</f>
        <v>-0.18</v>
      </c>
      <c r="D52" s="23">
        <f>K46</f>
        <v>0.65542264809461448</v>
      </c>
      <c r="E52" s="18">
        <f>B21</f>
        <v>11595732.879725356</v>
      </c>
      <c r="F52" s="23">
        <f>B13</f>
        <v>0.4</v>
      </c>
      <c r="H52" s="28">
        <v>0.05</v>
      </c>
      <c r="I52" s="33" t="s">
        <v>31</v>
      </c>
      <c r="J52" s="6">
        <f>J51*H52</f>
        <v>1482253.6310673356</v>
      </c>
      <c r="K52" s="29" t="s">
        <v>30</v>
      </c>
    </row>
    <row r="53" spans="1:11" x14ac:dyDescent="0.2">
      <c r="A53" s="24">
        <v>7953661.0819429327</v>
      </c>
      <c r="B53" s="25">
        <v>1</v>
      </c>
      <c r="C53" s="25">
        <v>-0.25</v>
      </c>
      <c r="D53" s="26">
        <v>0.91533837715220767</v>
      </c>
      <c r="E53" s="24">
        <v>19942989.750751138</v>
      </c>
      <c r="F53" s="26">
        <v>0.5</v>
      </c>
      <c r="G53" s="5"/>
    </row>
    <row r="54" spans="1:11" x14ac:dyDescent="0.2">
      <c r="A54" s="24">
        <v>8657135.0686640963</v>
      </c>
      <c r="B54" s="25">
        <v>1</v>
      </c>
      <c r="C54" s="25">
        <v>-0.24</v>
      </c>
      <c r="D54" s="26">
        <v>0.88250957338705383</v>
      </c>
      <c r="E54" s="24">
        <v>18879737.847368602</v>
      </c>
      <c r="F54" s="26">
        <v>0.5</v>
      </c>
      <c r="G54" s="5"/>
    </row>
    <row r="55" spans="1:11" x14ac:dyDescent="0.2">
      <c r="A55" s="24">
        <v>8862057.6616554707</v>
      </c>
      <c r="B55" s="25">
        <v>1</v>
      </c>
      <c r="C55" s="25">
        <v>-0.21</v>
      </c>
      <c r="D55" s="26">
        <v>0.77522758347744669</v>
      </c>
      <c r="E55" s="24">
        <v>15373572.214046653</v>
      </c>
      <c r="F55" s="26">
        <v>0.45</v>
      </c>
      <c r="G55" s="5"/>
      <c r="H55" s="30">
        <v>0.01</v>
      </c>
      <c r="I55" s="34" t="s">
        <v>32</v>
      </c>
      <c r="J55" s="32">
        <v>296450.72621346713</v>
      </c>
      <c r="K55" s="31" t="s">
        <v>30</v>
      </c>
    </row>
    <row r="56" spans="1:11" x14ac:dyDescent="0.2">
      <c r="A56" s="24">
        <v>9657327.9144392163</v>
      </c>
      <c r="B56" s="25">
        <v>1</v>
      </c>
      <c r="C56" s="25">
        <v>-0.2</v>
      </c>
      <c r="D56" s="26">
        <v>0.73659990606164438</v>
      </c>
      <c r="E56" s="24">
        <v>14171576.652111277</v>
      </c>
      <c r="F56" s="26">
        <v>0.45</v>
      </c>
      <c r="G56" s="5"/>
      <c r="H56" s="30">
        <v>0.05</v>
      </c>
      <c r="I56" s="34" t="s">
        <v>32</v>
      </c>
      <c r="J56" s="32">
        <v>1482253.6310673356</v>
      </c>
      <c r="K56" s="31" t="s">
        <v>30</v>
      </c>
    </row>
    <row r="57" spans="1:11" x14ac:dyDescent="0.2">
      <c r="A57" s="24">
        <v>10497917.512286581</v>
      </c>
      <c r="B57" s="25">
        <v>1</v>
      </c>
      <c r="C57" s="25">
        <v>-0.19</v>
      </c>
      <c r="D57" s="26">
        <v>0.69663138626618137</v>
      </c>
      <c r="E57" s="24">
        <v>12901084.05857487</v>
      </c>
      <c r="F57" s="26">
        <v>0.45</v>
      </c>
      <c r="G57" s="5"/>
      <c r="H57" s="30">
        <v>0.1</v>
      </c>
      <c r="I57" s="34" t="s">
        <v>32</v>
      </c>
      <c r="J57" s="32">
        <v>2964507.2621346712</v>
      </c>
      <c r="K57" s="31" t="s">
        <v>30</v>
      </c>
    </row>
    <row r="58" spans="1:11" x14ac:dyDescent="0.2">
      <c r="A58" s="24">
        <v>10934456.155835252</v>
      </c>
      <c r="B58" s="25">
        <v>1</v>
      </c>
      <c r="C58" s="25">
        <v>-0.185</v>
      </c>
      <c r="D58" s="26">
        <v>0.67617440075526236</v>
      </c>
      <c r="E58" s="24">
        <v>12241286.322745964</v>
      </c>
      <c r="F58" s="26">
        <v>0.45</v>
      </c>
      <c r="G58" s="5"/>
    </row>
    <row r="59" spans="1:11" x14ac:dyDescent="0.2">
      <c r="A59" s="24">
        <v>9246726.3533101156</v>
      </c>
      <c r="B59" s="25">
        <v>1</v>
      </c>
      <c r="C59" s="25">
        <v>-0.18</v>
      </c>
      <c r="D59" s="26">
        <v>0.65542264809461448</v>
      </c>
      <c r="E59" s="24">
        <v>11595732.879725356</v>
      </c>
      <c r="F59" s="26">
        <v>0.4</v>
      </c>
      <c r="G59" s="5"/>
    </row>
    <row r="60" spans="1:11" x14ac:dyDescent="0.2">
      <c r="A60" s="24">
        <v>10077635.804622825</v>
      </c>
      <c r="B60" s="25">
        <v>1</v>
      </c>
      <c r="C60" s="25">
        <v>-0.17</v>
      </c>
      <c r="D60" s="26">
        <v>0.61311016346132186</v>
      </c>
      <c r="E60" s="24">
        <v>10339871.153033029</v>
      </c>
      <c r="F60" s="26">
        <v>0.4</v>
      </c>
      <c r="G60" s="5"/>
    </row>
    <row r="61" spans="1:11" x14ac:dyDescent="0.2">
      <c r="A61" s="24">
        <v>10947156.801858667</v>
      </c>
      <c r="B61" s="25">
        <v>1</v>
      </c>
      <c r="C61" s="25">
        <v>-0.16</v>
      </c>
      <c r="D61" s="26">
        <v>0.56986983498022437</v>
      </c>
      <c r="E61" s="24">
        <v>9025650.7656506859</v>
      </c>
      <c r="F61" s="26">
        <v>0.4</v>
      </c>
      <c r="G61" s="5"/>
    </row>
    <row r="62" spans="1:11" x14ac:dyDescent="0.2">
      <c r="A62" s="24">
        <v>9695337.8981920294</v>
      </c>
      <c r="B62" s="25">
        <v>1</v>
      </c>
      <c r="C62" s="25">
        <v>-0.15</v>
      </c>
      <c r="D62" s="26">
        <v>0.52591959105982944</v>
      </c>
      <c r="E62" s="24">
        <v>7721248.3791506663</v>
      </c>
      <c r="F62" s="26">
        <v>0.35</v>
      </c>
      <c r="G62" s="5"/>
    </row>
    <row r="63" spans="1:11" x14ac:dyDescent="0.2">
      <c r="A63" s="24">
        <v>10532486.19938883</v>
      </c>
      <c r="B63" s="25">
        <v>1</v>
      </c>
      <c r="C63" s="25">
        <v>-0.14000000000000001</v>
      </c>
      <c r="D63" s="26">
        <v>0.48152044193346422</v>
      </c>
      <c r="E63" s="24">
        <v>6455957.0656656642</v>
      </c>
      <c r="F63" s="26">
        <v>0.35</v>
      </c>
      <c r="G63" s="5"/>
    </row>
    <row r="64" spans="1:11" x14ac:dyDescent="0.2">
      <c r="A64" s="24">
        <v>9256669.9242712334</v>
      </c>
      <c r="B64" s="25">
        <v>1</v>
      </c>
      <c r="C64" s="25">
        <v>-0.13</v>
      </c>
      <c r="D64" s="26">
        <v>0.43697537942483045</v>
      </c>
      <c r="E64" s="24">
        <v>5187825.033653561</v>
      </c>
      <c r="F64" s="26">
        <v>0.3</v>
      </c>
      <c r="G64" s="5"/>
    </row>
    <row r="65" spans="1:7" x14ac:dyDescent="0.2">
      <c r="A65" s="24">
        <v>10035559.588227045</v>
      </c>
      <c r="B65" s="25">
        <v>1</v>
      </c>
      <c r="C65" s="25">
        <v>-0.12</v>
      </c>
      <c r="D65" s="26">
        <v>0.39262550190870826</v>
      </c>
      <c r="E65" s="24">
        <v>4010587.5901114531</v>
      </c>
      <c r="F65" s="26">
        <v>0.3</v>
      </c>
      <c r="G65" s="5"/>
    </row>
    <row r="66" spans="1:7" x14ac:dyDescent="0.2">
      <c r="A66" s="24">
        <v>8657902.5447706003</v>
      </c>
      <c r="B66" s="25">
        <v>1</v>
      </c>
      <c r="C66" s="25">
        <v>-0.11</v>
      </c>
      <c r="D66" s="26">
        <v>0.34884284882983174</v>
      </c>
      <c r="E66" s="24">
        <v>2896380.7818065081</v>
      </c>
      <c r="F66" s="26">
        <v>0.25</v>
      </c>
      <c r="G66" s="5"/>
    </row>
    <row r="67" spans="1:7" x14ac:dyDescent="0.2">
      <c r="A67" s="24">
        <v>7215724.7960297149</v>
      </c>
      <c r="B67" s="25">
        <v>1</v>
      </c>
      <c r="C67" s="25">
        <v>-0.1</v>
      </c>
      <c r="D67" s="26">
        <v>0.30601967321092149</v>
      </c>
      <c r="E67" s="24">
        <v>1879692.5228668544</v>
      </c>
      <c r="F67" s="26">
        <v>0.2</v>
      </c>
      <c r="G67" s="5"/>
    </row>
  </sheetData>
  <mergeCells count="2">
    <mergeCell ref="D20:F20"/>
    <mergeCell ref="D21:F2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55" sqref="T55"/>
    </sheetView>
  </sheetViews>
  <sheetFormatPr defaultRowHeight="12.75" x14ac:dyDescent="0.2"/>
  <sheetData>
    <row r="1" spans="1:1" x14ac:dyDescent="0.2">
      <c r="A1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IloscPobran xmlns="15eff680-7205-4d96-b943-900c91f8b861">84</IloscPobran>
    <IloscPobranLast xmlns="15eff680-7205-4d96-b943-900c91f8b861">84</IloscPobranLas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6169E91E682348829F391E18E24ADC" ma:contentTypeVersion="3" ma:contentTypeDescription="Utwórz nowy dokument." ma:contentTypeScope="" ma:versionID="8d987f166263a89b8f9d9a4d00248ac5">
  <xsd:schema xmlns:xsd="http://www.w3.org/2001/XMLSchema" xmlns:xs="http://www.w3.org/2001/XMLSchema" xmlns:p="http://schemas.microsoft.com/office/2006/metadata/properties" xmlns:ns1="http://schemas.microsoft.com/sharepoint/v3" xmlns:ns2="15eff680-7205-4d96-b943-900c91f8b861" targetNamespace="http://schemas.microsoft.com/office/2006/metadata/properties" ma:root="true" ma:fieldsID="01d90da5a6219a11e736808c48a3d393" ns1:_="" ns2:_="">
    <xsd:import namespace="http://schemas.microsoft.com/sharepoint/v3"/>
    <xsd:import namespace="15eff680-7205-4d96-b943-900c91f8b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loscPobran" minOccurs="0"/>
                <xsd:element ref="ns2:IloscPobranLa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owana data rozpoczęcia" ma:internalName="PublishingStartDate">
      <xsd:simpleType>
        <xsd:restriction base="dms:Unknown"/>
      </xsd:simpleType>
    </xsd:element>
    <xsd:element name="PublishingExpirationDate" ma:index="9" nillable="true" ma:displayName="Planowana data zakończenia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f680-7205-4d96-b943-900c91f8b861" elementFormDefault="qualified">
    <xsd:import namespace="http://schemas.microsoft.com/office/2006/documentManagement/types"/>
    <xsd:import namespace="http://schemas.microsoft.com/office/infopath/2007/PartnerControls"/>
    <xsd:element name="IloscPobran" ma:index="10" nillable="true" ma:displayName="IloscPobran" ma:decimals="0" ma:internalName="IloscPobran">
      <xsd:simpleType>
        <xsd:restriction base="dms:Number"/>
      </xsd:simpleType>
    </xsd:element>
    <xsd:element name="IloscPobranLast" ma:index="11" nillable="true" ma:displayName="IloscPobranLast" ma:decimals="0" ma:internalName="IloscPobranLast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FC391-E006-47B1-8697-99E106FF8F8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5eff680-7205-4d96-b943-900c91f8b861"/>
  </ds:schemaRefs>
</ds:datastoreItem>
</file>

<file path=customXml/itemProps2.xml><?xml version="1.0" encoding="utf-8"?>
<ds:datastoreItem xmlns:ds="http://schemas.openxmlformats.org/officeDocument/2006/customXml" ds:itemID="{93E6BACE-B5ED-4722-A330-45BC7360BD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A62B47-8FE5-407A-87DA-55F9B1016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eff680-7205-4d96-b943-900c91f8b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Analysis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Karol Przanowski</cp:lastModifiedBy>
  <cp:lastPrinted>2009-11-04T14:01:52Z</cp:lastPrinted>
  <dcterms:created xsi:type="dcterms:W3CDTF">2008-06-27T13:02:34Z</dcterms:created>
  <dcterms:modified xsi:type="dcterms:W3CDTF">2018-02-19T22:20:19Z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0x010100256169E91E682348829F391E18E24ADC</vt:lpwstr>
  </property>
</Properties>
</file>