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4595" windowHeight="7680"/>
  </bookViews>
  <sheets>
    <sheet name="Analysis" sheetId="4" r:id="rId1"/>
    <sheet name="Graphs" sheetId="5" r:id="rId2"/>
  </sheets>
  <externalReferences>
    <externalReference r:id="rId3"/>
    <externalReference r:id="rId4"/>
  </externalReferences>
  <definedNames>
    <definedName name="Note">[1]Note!$A$1:$W$2</definedName>
    <definedName name="Notedg">'[2]9'!$A$1:$Z$2</definedName>
    <definedName name="To">#REF!</definedName>
    <definedName name="Zone_impres_MI">#REF!</definedName>
  </definedNames>
  <calcPr calcId="145621"/>
</workbook>
</file>

<file path=xl/calcChain.xml><?xml version="1.0" encoding="utf-8"?>
<calcChain xmlns="http://schemas.openxmlformats.org/spreadsheetml/2006/main">
  <c r="B10" i="4" l="1"/>
  <c r="I50" i="4" l="1"/>
  <c r="J50" i="4" s="1"/>
  <c r="J51" i="4" s="1"/>
  <c r="H50" i="4"/>
  <c r="C51" i="4"/>
  <c r="B51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24" i="4"/>
  <c r="AL44" i="4" l="1"/>
  <c r="C44" i="4" s="1"/>
  <c r="B43" i="4"/>
  <c r="B42" i="4"/>
  <c r="AA42" i="4" s="1"/>
  <c r="B41" i="4"/>
  <c r="AA41" i="4" s="1"/>
  <c r="B40" i="4"/>
  <c r="AA40" i="4" s="1"/>
  <c r="B39" i="4"/>
  <c r="AA39" i="4" s="1"/>
  <c r="B38" i="4"/>
  <c r="AA38" i="4" s="1"/>
  <c r="B37" i="4"/>
  <c r="AA37" i="4" s="1"/>
  <c r="B36" i="4"/>
  <c r="AA36" i="4" s="1"/>
  <c r="B35" i="4"/>
  <c r="AA35" i="4" s="1"/>
  <c r="B34" i="4"/>
  <c r="AA34" i="4" s="1"/>
  <c r="B33" i="4"/>
  <c r="AA33" i="4" s="1"/>
  <c r="B32" i="4"/>
  <c r="AA32" i="4" s="1"/>
  <c r="B31" i="4"/>
  <c r="AA31" i="4" s="1"/>
  <c r="B30" i="4"/>
  <c r="AA30" i="4" s="1"/>
  <c r="B29" i="4"/>
  <c r="AA29" i="4" s="1"/>
  <c r="B28" i="4"/>
  <c r="AA28" i="4" s="1"/>
  <c r="B27" i="4"/>
  <c r="AA27" i="4" s="1"/>
  <c r="B26" i="4"/>
  <c r="AA26" i="4" s="1"/>
  <c r="B25" i="4"/>
  <c r="B24" i="4"/>
  <c r="AA24" i="4" l="1"/>
  <c r="AJ24" i="4" s="1"/>
  <c r="AG24" i="4"/>
  <c r="AA25" i="4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G25" i="4"/>
  <c r="AA43" i="4"/>
  <c r="C25" i="4"/>
  <c r="C35" i="4"/>
  <c r="C24" i="4"/>
  <c r="C29" i="4"/>
  <c r="L29" i="4" s="1"/>
  <c r="C28" i="4"/>
  <c r="C27" i="4"/>
  <c r="C31" i="4"/>
  <c r="C39" i="4"/>
  <c r="L39" i="4" s="1"/>
  <c r="C36" i="4"/>
  <c r="C43" i="4"/>
  <c r="C32" i="4"/>
  <c r="C40" i="4"/>
  <c r="L40" i="4" s="1"/>
  <c r="C33" i="4"/>
  <c r="C37" i="4"/>
  <c r="C41" i="4"/>
  <c r="C26" i="4"/>
  <c r="L26" i="4" s="1"/>
  <c r="C30" i="4"/>
  <c r="C34" i="4"/>
  <c r="C38" i="4"/>
  <c r="C42" i="4"/>
  <c r="B44" i="4"/>
  <c r="AH24" i="4" s="1"/>
  <c r="G40" i="4"/>
  <c r="Z40" i="4" s="1"/>
  <c r="G39" i="4" l="1"/>
  <c r="Z39" i="4" s="1"/>
  <c r="G29" i="4"/>
  <c r="Z29" i="4" s="1"/>
  <c r="G34" i="4"/>
  <c r="Z34" i="4" s="1"/>
  <c r="L34" i="4"/>
  <c r="G26" i="4"/>
  <c r="Z26" i="4" s="1"/>
  <c r="G38" i="4"/>
  <c r="Z38" i="4" s="1"/>
  <c r="L38" i="4"/>
  <c r="G30" i="4"/>
  <c r="Z30" i="4" s="1"/>
  <c r="L30" i="4"/>
  <c r="G41" i="4"/>
  <c r="Z41" i="4" s="1"/>
  <c r="L41" i="4"/>
  <c r="G33" i="4"/>
  <c r="Z33" i="4" s="1"/>
  <c r="L33" i="4"/>
  <c r="G32" i="4"/>
  <c r="Z32" i="4" s="1"/>
  <c r="L32" i="4"/>
  <c r="G36" i="4"/>
  <c r="Z36" i="4" s="1"/>
  <c r="L36" i="4"/>
  <c r="G31" i="4"/>
  <c r="Z31" i="4" s="1"/>
  <c r="L31" i="4"/>
  <c r="G28" i="4"/>
  <c r="Z28" i="4" s="1"/>
  <c r="L28" i="4"/>
  <c r="G24" i="4"/>
  <c r="L24" i="4"/>
  <c r="G25" i="4"/>
  <c r="P25" i="4" s="1"/>
  <c r="L25" i="4"/>
  <c r="G42" i="4"/>
  <c r="Z42" i="4" s="1"/>
  <c r="L42" i="4"/>
  <c r="G37" i="4"/>
  <c r="Z37" i="4" s="1"/>
  <c r="L37" i="4"/>
  <c r="G43" i="4"/>
  <c r="Z43" i="4" s="1"/>
  <c r="AE43" i="4" s="1"/>
  <c r="L43" i="4"/>
  <c r="G27" i="4"/>
  <c r="Z27" i="4" s="1"/>
  <c r="L27" i="4"/>
  <c r="G35" i="4"/>
  <c r="Z35" i="4" s="1"/>
  <c r="L35" i="4"/>
  <c r="Z25" i="4"/>
  <c r="AH25" i="4"/>
  <c r="AG26" i="4"/>
  <c r="AJ43" i="4"/>
  <c r="P43" i="4"/>
  <c r="P30" i="4"/>
  <c r="AE30" i="4" s="1"/>
  <c r="AD30" i="4" s="1"/>
  <c r="D30" i="4" s="1"/>
  <c r="AB30" i="4" s="1"/>
  <c r="P40" i="4"/>
  <c r="P39" i="4"/>
  <c r="P28" i="4"/>
  <c r="P29" i="4"/>
  <c r="P37" i="4" l="1"/>
  <c r="P36" i="4"/>
  <c r="P38" i="4"/>
  <c r="AE38" i="4" s="1"/>
  <c r="AD38" i="4" s="1"/>
  <c r="D38" i="4" s="1"/>
  <c r="G45" i="4"/>
  <c r="H43" i="4" s="1"/>
  <c r="P41" i="4"/>
  <c r="P33" i="4"/>
  <c r="P32" i="4"/>
  <c r="P42" i="4"/>
  <c r="AE42" i="4" s="1"/>
  <c r="AD42" i="4" s="1"/>
  <c r="D42" i="4" s="1"/>
  <c r="F42" i="4" s="1"/>
  <c r="P31" i="4"/>
  <c r="AE31" i="4" s="1"/>
  <c r="AD31" i="4" s="1"/>
  <c r="D31" i="4" s="1"/>
  <c r="P27" i="4"/>
  <c r="AE27" i="4" s="1"/>
  <c r="AD27" i="4" s="1"/>
  <c r="D27" i="4" s="1"/>
  <c r="F27" i="4" s="1"/>
  <c r="P35" i="4"/>
  <c r="AE35" i="4" s="1"/>
  <c r="AD35" i="4" s="1"/>
  <c r="D35" i="4" s="1"/>
  <c r="H30" i="4"/>
  <c r="P34" i="4"/>
  <c r="G44" i="4"/>
  <c r="C45" i="4" s="1"/>
  <c r="P26" i="4"/>
  <c r="AI25" i="4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Z24" i="4"/>
  <c r="AI24" i="4" s="1"/>
  <c r="M24" i="4"/>
  <c r="AG27" i="4"/>
  <c r="AH26" i="4"/>
  <c r="AB35" i="4"/>
  <c r="S35" i="4"/>
  <c r="F35" i="4"/>
  <c r="E35" i="4"/>
  <c r="S27" i="4"/>
  <c r="E27" i="4"/>
  <c r="E42" i="4"/>
  <c r="F31" i="4"/>
  <c r="E31" i="4"/>
  <c r="S31" i="4"/>
  <c r="S30" i="4"/>
  <c r="E30" i="4"/>
  <c r="F30" i="4"/>
  <c r="S38" i="4"/>
  <c r="E38" i="4"/>
  <c r="F38" i="4"/>
  <c r="AC30" i="4"/>
  <c r="AC42" i="4"/>
  <c r="AB38" i="4"/>
  <c r="AB42" i="4"/>
  <c r="AD43" i="4"/>
  <c r="D43" i="4" s="1"/>
  <c r="AB31" i="4"/>
  <c r="AC31" i="4"/>
  <c r="AC35" i="4"/>
  <c r="AC38" i="4"/>
  <c r="H35" i="4"/>
  <c r="H25" i="4"/>
  <c r="AA44" i="4"/>
  <c r="B12" i="4" s="1"/>
  <c r="AE41" i="4"/>
  <c r="AD41" i="4" s="1"/>
  <c r="D41" i="4" s="1"/>
  <c r="AE33" i="4"/>
  <c r="AD33" i="4" s="1"/>
  <c r="D33" i="4" s="1"/>
  <c r="AE25" i="4"/>
  <c r="AD25" i="4" s="1"/>
  <c r="D25" i="4" s="1"/>
  <c r="AE36" i="4"/>
  <c r="AD36" i="4" s="1"/>
  <c r="D36" i="4" s="1"/>
  <c r="AE34" i="4"/>
  <c r="AD34" i="4" s="1"/>
  <c r="D34" i="4" s="1"/>
  <c r="AE37" i="4"/>
  <c r="AD37" i="4" s="1"/>
  <c r="D37" i="4" s="1"/>
  <c r="AB37" i="4" s="1"/>
  <c r="AE29" i="4"/>
  <c r="AD29" i="4" s="1"/>
  <c r="D29" i="4" s="1"/>
  <c r="AB29" i="4" s="1"/>
  <c r="AE28" i="4"/>
  <c r="AD28" i="4" s="1"/>
  <c r="D28" i="4" s="1"/>
  <c r="AB28" i="4" s="1"/>
  <c r="AE39" i="4"/>
  <c r="AD39" i="4" s="1"/>
  <c r="D39" i="4" s="1"/>
  <c r="AC39" i="4" s="1"/>
  <c r="AE40" i="4"/>
  <c r="AD40" i="4" s="1"/>
  <c r="D40" i="4" s="1"/>
  <c r="AB40" i="4" s="1"/>
  <c r="AE32" i="4"/>
  <c r="AD32" i="4" s="1"/>
  <c r="D32" i="4" s="1"/>
  <c r="AC32" i="4" s="1"/>
  <c r="AE26" i="4"/>
  <c r="AD26" i="4" s="1"/>
  <c r="D26" i="4" s="1"/>
  <c r="AB26" i="4" s="1"/>
  <c r="H32" i="4"/>
  <c r="H34" i="4"/>
  <c r="H24" i="4"/>
  <c r="J24" i="4" s="1"/>
  <c r="J35" i="4"/>
  <c r="H28" i="4"/>
  <c r="H27" i="4" l="1"/>
  <c r="H31" i="4"/>
  <c r="J31" i="4" s="1"/>
  <c r="H29" i="4"/>
  <c r="J30" i="4" s="1"/>
  <c r="H26" i="4"/>
  <c r="AB27" i="4"/>
  <c r="AC27" i="4"/>
  <c r="S42" i="4"/>
  <c r="H33" i="4"/>
  <c r="O24" i="4"/>
  <c r="M25" i="4"/>
  <c r="AG28" i="4"/>
  <c r="AH27" i="4"/>
  <c r="J34" i="4"/>
  <c r="J33" i="4"/>
  <c r="R31" i="4"/>
  <c r="R42" i="4"/>
  <c r="R27" i="4"/>
  <c r="R35" i="4"/>
  <c r="AB32" i="4"/>
  <c r="AB39" i="4"/>
  <c r="F34" i="4"/>
  <c r="E34" i="4"/>
  <c r="S34" i="4"/>
  <c r="AC34" i="4"/>
  <c r="F36" i="4"/>
  <c r="S36" i="4"/>
  <c r="E36" i="4"/>
  <c r="AC36" i="4"/>
  <c r="E25" i="4"/>
  <c r="S25" i="4"/>
  <c r="F25" i="4"/>
  <c r="R25" i="4" s="1"/>
  <c r="AC25" i="4"/>
  <c r="F33" i="4"/>
  <c r="E33" i="4"/>
  <c r="S33" i="4"/>
  <c r="AC33" i="4"/>
  <c r="S41" i="4"/>
  <c r="E41" i="4"/>
  <c r="F41" i="4"/>
  <c r="AC41" i="4"/>
  <c r="S26" i="4"/>
  <c r="F26" i="4"/>
  <c r="E26" i="4"/>
  <c r="F32" i="4"/>
  <c r="S32" i="4"/>
  <c r="E32" i="4"/>
  <c r="F40" i="4"/>
  <c r="S40" i="4"/>
  <c r="E40" i="4"/>
  <c r="S39" i="4"/>
  <c r="F39" i="4"/>
  <c r="E39" i="4"/>
  <c r="S28" i="4"/>
  <c r="F28" i="4"/>
  <c r="E28" i="4"/>
  <c r="S29" i="4"/>
  <c r="E29" i="4"/>
  <c r="F29" i="4"/>
  <c r="AC29" i="4"/>
  <c r="S37" i="4"/>
  <c r="E37" i="4"/>
  <c r="F37" i="4"/>
  <c r="AC37" i="4"/>
  <c r="AB34" i="4"/>
  <c r="AB36" i="4"/>
  <c r="AB25" i="4"/>
  <c r="AB33" i="4"/>
  <c r="AB41" i="4"/>
  <c r="S43" i="4"/>
  <c r="E43" i="4"/>
  <c r="F43" i="4"/>
  <c r="AB43" i="4"/>
  <c r="AC43" i="4"/>
  <c r="R38" i="4"/>
  <c r="R30" i="4"/>
  <c r="AC26" i="4"/>
  <c r="AC40" i="4"/>
  <c r="AC28" i="4"/>
  <c r="J26" i="4"/>
  <c r="J32" i="4"/>
  <c r="J25" i="4"/>
  <c r="J28" i="4"/>
  <c r="J29" i="4"/>
  <c r="J27" i="4" l="1"/>
  <c r="O25" i="4"/>
  <c r="N25" i="4" s="1"/>
  <c r="M26" i="4"/>
  <c r="AG29" i="4"/>
  <c r="AH28" i="4"/>
  <c r="R43" i="4"/>
  <c r="R37" i="4"/>
  <c r="R28" i="4"/>
  <c r="R39" i="4"/>
  <c r="R26" i="4"/>
  <c r="R32" i="4"/>
  <c r="R29" i="4"/>
  <c r="R40" i="4"/>
  <c r="R41" i="4"/>
  <c r="R33" i="4"/>
  <c r="R36" i="4"/>
  <c r="R34" i="4"/>
  <c r="O26" i="4" l="1"/>
  <c r="N26" i="4" s="1"/>
  <c r="M27" i="4"/>
  <c r="AG30" i="4"/>
  <c r="AH29" i="4"/>
  <c r="P24" i="4"/>
  <c r="M28" i="4" l="1"/>
  <c r="O27" i="4"/>
  <c r="N27" i="4" s="1"/>
  <c r="AG31" i="4"/>
  <c r="AH30" i="4"/>
  <c r="AE24" i="4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Z44" i="4"/>
  <c r="P44" i="4"/>
  <c r="Q41" i="4" s="1"/>
  <c r="H42" i="4"/>
  <c r="H40" i="4"/>
  <c r="H38" i="4"/>
  <c r="H36" i="4"/>
  <c r="J36" i="4" s="1"/>
  <c r="H41" i="4"/>
  <c r="H39" i="4"/>
  <c r="H37" i="4"/>
  <c r="M29" i="4" l="1"/>
  <c r="O28" i="4"/>
  <c r="N28" i="4" s="1"/>
  <c r="AG32" i="4"/>
  <c r="AH31" i="4"/>
  <c r="B13" i="4"/>
  <c r="B14" i="4" s="1"/>
  <c r="J37" i="4"/>
  <c r="AD24" i="4"/>
  <c r="D24" i="4" s="1"/>
  <c r="N24" i="4" s="1"/>
  <c r="J41" i="4"/>
  <c r="J42" i="4"/>
  <c r="J43" i="4"/>
  <c r="Q26" i="4"/>
  <c r="J39" i="4"/>
  <c r="J40" i="4"/>
  <c r="Q25" i="4"/>
  <c r="Q24" i="4"/>
  <c r="Q29" i="4"/>
  <c r="Q28" i="4"/>
  <c r="Q36" i="4"/>
  <c r="Q40" i="4"/>
  <c r="I41" i="4" s="1"/>
  <c r="Q27" i="4"/>
  <c r="Q32" i="4"/>
  <c r="Q35" i="4"/>
  <c r="I36" i="4" s="1"/>
  <c r="K36" i="4" s="1"/>
  <c r="Q39" i="4"/>
  <c r="I40" i="4" s="1"/>
  <c r="K40" i="4" s="1"/>
  <c r="Q43" i="4"/>
  <c r="J38" i="4"/>
  <c r="Q31" i="4"/>
  <c r="Q34" i="4"/>
  <c r="Q38" i="4"/>
  <c r="Q42" i="4"/>
  <c r="Q30" i="4"/>
  <c r="I31" i="4" s="1"/>
  <c r="K31" i="4" s="1"/>
  <c r="Q33" i="4"/>
  <c r="I34" i="4" s="1"/>
  <c r="K34" i="4" s="1"/>
  <c r="Q37" i="4"/>
  <c r="I38" i="4" s="1"/>
  <c r="K41" i="4" l="1"/>
  <c r="M30" i="4"/>
  <c r="O29" i="4"/>
  <c r="N29" i="4" s="1"/>
  <c r="AG33" i="4"/>
  <c r="AH32" i="4"/>
  <c r="E24" i="4"/>
  <c r="E44" i="4" s="1"/>
  <c r="S24" i="4"/>
  <c r="F24" i="4"/>
  <c r="AC24" i="4"/>
  <c r="AC44" i="4" s="1"/>
  <c r="B16" i="4" s="1"/>
  <c r="A51" i="4" s="1"/>
  <c r="AB24" i="4"/>
  <c r="AB44" i="4" s="1"/>
  <c r="B17" i="4" s="1"/>
  <c r="I35" i="4"/>
  <c r="K35" i="4" s="1"/>
  <c r="I29" i="4"/>
  <c r="K29" i="4" s="1"/>
  <c r="I43" i="4"/>
  <c r="K43" i="4" s="1"/>
  <c r="I27" i="4"/>
  <c r="K27" i="4" s="1"/>
  <c r="K38" i="4"/>
  <c r="I39" i="4"/>
  <c r="K39" i="4" s="1"/>
  <c r="I32" i="4"/>
  <c r="K32" i="4" s="1"/>
  <c r="I28" i="4"/>
  <c r="K28" i="4" s="1"/>
  <c r="I37" i="4"/>
  <c r="K37" i="4" s="1"/>
  <c r="I30" i="4"/>
  <c r="K30" i="4" s="1"/>
  <c r="I26" i="4"/>
  <c r="K26" i="4" s="1"/>
  <c r="I42" i="4"/>
  <c r="K42" i="4" s="1"/>
  <c r="I24" i="4"/>
  <c r="K24" i="4" s="1"/>
  <c r="I25" i="4"/>
  <c r="K25" i="4" s="1"/>
  <c r="I33" i="4"/>
  <c r="K33" i="4" s="1"/>
  <c r="M31" i="4" l="1"/>
  <c r="O30" i="4"/>
  <c r="N30" i="4" s="1"/>
  <c r="AG34" i="4"/>
  <c r="AH33" i="4"/>
  <c r="B20" i="4"/>
  <c r="B11" i="4"/>
  <c r="G51" i="4" s="1"/>
  <c r="S44" i="4"/>
  <c r="U40" i="4" s="1"/>
  <c r="B18" i="4"/>
  <c r="E51" i="4" s="1"/>
  <c r="F44" i="4"/>
  <c r="R24" i="4"/>
  <c r="K44" i="4"/>
  <c r="K45" i="4" s="1"/>
  <c r="O31" i="4" l="1"/>
  <c r="N31" i="4" s="1"/>
  <c r="M32" i="4"/>
  <c r="AG35" i="4"/>
  <c r="AH34" i="4"/>
  <c r="B9" i="4"/>
  <c r="F51" i="4" s="1"/>
  <c r="B19" i="4"/>
  <c r="B8" i="4"/>
  <c r="U33" i="4"/>
  <c r="U24" i="4"/>
  <c r="W24" i="4" s="1"/>
  <c r="U26" i="4"/>
  <c r="U25" i="4"/>
  <c r="U28" i="4"/>
  <c r="U34" i="4"/>
  <c r="U30" i="4"/>
  <c r="U36" i="4"/>
  <c r="U32" i="4"/>
  <c r="W33" i="4" s="1"/>
  <c r="U27" i="4"/>
  <c r="U31" i="4"/>
  <c r="W32" i="4" s="1"/>
  <c r="U37" i="4"/>
  <c r="W37" i="4" s="1"/>
  <c r="U42" i="4"/>
  <c r="U39" i="4"/>
  <c r="U29" i="4"/>
  <c r="W29" i="4" s="1"/>
  <c r="U41" i="4"/>
  <c r="W41" i="4" s="1"/>
  <c r="U38" i="4"/>
  <c r="U43" i="4"/>
  <c r="U35" i="4"/>
  <c r="R44" i="4"/>
  <c r="T41" i="4" s="1"/>
  <c r="B5" i="4"/>
  <c r="D51" i="4"/>
  <c r="O32" i="4" l="1"/>
  <c r="N32" i="4" s="1"/>
  <c r="M33" i="4"/>
  <c r="W26" i="4"/>
  <c r="AG36" i="4"/>
  <c r="AH35" i="4"/>
  <c r="W36" i="4"/>
  <c r="W34" i="4"/>
  <c r="T33" i="4"/>
  <c r="T26" i="4"/>
  <c r="W25" i="4"/>
  <c r="W27" i="4"/>
  <c r="T25" i="4"/>
  <c r="T24" i="4"/>
  <c r="V24" i="4" s="1"/>
  <c r="X24" i="4" s="1"/>
  <c r="W43" i="4"/>
  <c r="T39" i="4"/>
  <c r="W30" i="4"/>
  <c r="W31" i="4"/>
  <c r="T27" i="4"/>
  <c r="T38" i="4"/>
  <c r="V39" i="4" s="1"/>
  <c r="W28" i="4"/>
  <c r="W39" i="4"/>
  <c r="W35" i="4"/>
  <c r="W40" i="4"/>
  <c r="W38" i="4"/>
  <c r="W42" i="4"/>
  <c r="T29" i="4"/>
  <c r="T40" i="4"/>
  <c r="V40" i="4" s="1"/>
  <c r="T37" i="4"/>
  <c r="T36" i="4"/>
  <c r="T35" i="4"/>
  <c r="T34" i="4"/>
  <c r="T32" i="4"/>
  <c r="V33" i="4" s="1"/>
  <c r="X33" i="4" s="1"/>
  <c r="T31" i="4"/>
  <c r="T43" i="4"/>
  <c r="T30" i="4"/>
  <c r="T42" i="4"/>
  <c r="V42" i="4" s="1"/>
  <c r="T28" i="4"/>
  <c r="O33" i="4" l="1"/>
  <c r="N33" i="4" s="1"/>
  <c r="M34" i="4"/>
  <c r="AG37" i="4"/>
  <c r="AH36" i="4"/>
  <c r="V26" i="4"/>
  <c r="X26" i="4" s="1"/>
  <c r="V34" i="4"/>
  <c r="X34" i="4" s="1"/>
  <c r="V25" i="4"/>
  <c r="X25" i="4" s="1"/>
  <c r="V27" i="4"/>
  <c r="X27" i="4" s="1"/>
  <c r="V38" i="4"/>
  <c r="X38" i="4" s="1"/>
  <c r="X42" i="4"/>
  <c r="V28" i="4"/>
  <c r="X28" i="4" s="1"/>
  <c r="X39" i="4"/>
  <c r="V30" i="4"/>
  <c r="X30" i="4" s="1"/>
  <c r="V36" i="4"/>
  <c r="X36" i="4" s="1"/>
  <c r="X40" i="4"/>
  <c r="V35" i="4"/>
  <c r="X35" i="4" s="1"/>
  <c r="V37" i="4"/>
  <c r="X37" i="4" s="1"/>
  <c r="V41" i="4"/>
  <c r="X41" i="4" s="1"/>
  <c r="V31" i="4"/>
  <c r="X31" i="4" s="1"/>
  <c r="V29" i="4"/>
  <c r="X29" i="4" s="1"/>
  <c r="V43" i="4"/>
  <c r="X43" i="4" s="1"/>
  <c r="V32" i="4"/>
  <c r="X32" i="4" s="1"/>
  <c r="O34" i="4" l="1"/>
  <c r="N34" i="4" s="1"/>
  <c r="M35" i="4"/>
  <c r="AG38" i="4"/>
  <c r="AH37" i="4"/>
  <c r="X44" i="4"/>
  <c r="X45" i="4" s="1"/>
  <c r="M36" i="4" l="1"/>
  <c r="O35" i="4"/>
  <c r="N35" i="4" s="1"/>
  <c r="AG39" i="4"/>
  <c r="AH38" i="4"/>
  <c r="M37" i="4" l="1"/>
  <c r="O36" i="4"/>
  <c r="N36" i="4" s="1"/>
  <c r="AG40" i="4"/>
  <c r="AH39" i="4"/>
  <c r="M38" i="4" l="1"/>
  <c r="O37" i="4"/>
  <c r="N37" i="4" s="1"/>
  <c r="AG41" i="4"/>
  <c r="AH40" i="4"/>
  <c r="M39" i="4" l="1"/>
  <c r="O38" i="4"/>
  <c r="N38" i="4" s="1"/>
  <c r="AG42" i="4"/>
  <c r="AH41" i="4"/>
  <c r="M40" i="4" l="1"/>
  <c r="O39" i="4"/>
  <c r="N39" i="4" s="1"/>
  <c r="AG43" i="4"/>
  <c r="AH43" i="4" s="1"/>
  <c r="AH42" i="4"/>
  <c r="M41" i="4" l="1"/>
  <c r="O40" i="4"/>
  <c r="N40" i="4" s="1"/>
  <c r="M42" i="4" l="1"/>
  <c r="O41" i="4"/>
  <c r="N41" i="4" s="1"/>
  <c r="M43" i="4" l="1"/>
  <c r="O43" i="4" s="1"/>
  <c r="N43" i="4" s="1"/>
  <c r="N44" i="4" s="1"/>
  <c r="O42" i="4"/>
  <c r="N42" i="4" s="1"/>
</calcChain>
</file>

<file path=xl/sharedStrings.xml><?xml version="1.0" encoding="utf-8"?>
<sst xmlns="http://schemas.openxmlformats.org/spreadsheetml/2006/main" count="76" uniqueCount="58">
  <si>
    <t>Acceptance rate</t>
  </si>
  <si>
    <t>Global income</t>
  </si>
  <si>
    <t>Global profit</t>
  </si>
  <si>
    <t>Accepted income</t>
  </si>
  <si>
    <t>Accepted profit</t>
  </si>
  <si>
    <t>Score bands</t>
  </si>
  <si>
    <t>Accepted flag</t>
  </si>
  <si>
    <t>Accepted</t>
  </si>
  <si>
    <t>a</t>
  </si>
  <si>
    <t>b</t>
  </si>
  <si>
    <t>Z</t>
  </si>
  <si>
    <t>Gini global</t>
  </si>
  <si>
    <t>Gini</t>
  </si>
  <si>
    <t>PLN</t>
  </si>
  <si>
    <t>Number of cases</t>
  </si>
  <si>
    <t>Average cost of contact, offer, campaign</t>
  </si>
  <si>
    <t>Global response rate</t>
  </si>
  <si>
    <t>Accepted response rate</t>
  </si>
  <si>
    <t>Global cost</t>
  </si>
  <si>
    <t>Average income on responded case</t>
  </si>
  <si>
    <t>Accepted cost</t>
  </si>
  <si>
    <t>Number of offers</t>
  </si>
  <si>
    <t>Number of expected responders</t>
  </si>
  <si>
    <t>Observed response rate</t>
  </si>
  <si>
    <t>Responders</t>
  </si>
  <si>
    <t>Accepted nonresponders</t>
  </si>
  <si>
    <t>Accepted responders</t>
  </si>
  <si>
    <t>Lift</t>
  </si>
  <si>
    <t>Captured percent (Gains)</t>
  </si>
  <si>
    <t>Cummulative lift on accepted</t>
  </si>
  <si>
    <t>Optimal Profit</t>
  </si>
  <si>
    <t>Optimal Acc rate</t>
  </si>
  <si>
    <t>of Gini</t>
  </si>
  <si>
    <t>Cum responders(%)</t>
  </si>
  <si>
    <t>Nonresponders+</t>
  </si>
  <si>
    <t>Responders-</t>
  </si>
  <si>
    <t>Cum responders</t>
  </si>
  <si>
    <t>Acc cum lift</t>
  </si>
  <si>
    <t>Cum lift</t>
  </si>
  <si>
    <t>Nonresponders</t>
  </si>
  <si>
    <t>Cum nonresponders(%)</t>
  </si>
  <si>
    <t>For accepted</t>
  </si>
  <si>
    <t>Acc responders</t>
  </si>
  <si>
    <t>Cum nonresponders</t>
  </si>
  <si>
    <t>Income</t>
  </si>
  <si>
    <t>Cost</t>
  </si>
  <si>
    <t>Acc income</t>
  </si>
  <si>
    <t>Acc cost</t>
  </si>
  <si>
    <t>Profit</t>
  </si>
  <si>
    <t>Profit cum</t>
  </si>
  <si>
    <t>All cum</t>
  </si>
  <si>
    <t>Acc rate</t>
  </si>
  <si>
    <t>Income cum</t>
  </si>
  <si>
    <t>Cost cum</t>
  </si>
  <si>
    <t>Sum bads</t>
  </si>
  <si>
    <t>Sum Z</t>
  </si>
  <si>
    <t xml:space="preserve">Gini </t>
  </si>
  <si>
    <t>Sum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</si>
</sst>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0"/>
      <name val="Arial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3" borderId="0" xfId="0" applyNumberFormat="1" applyFill="1" applyAlignment="1">
      <alignment vertical="center" wrapText="1"/>
    </xf>
    <xf numFmtId="3" fontId="0" fillId="0" borderId="0" xfId="0" applyNumberFormat="1" applyFill="1" applyAlignment="1">
      <alignment vertical="center" wrapText="1"/>
    </xf>
    <xf numFmtId="10" fontId="2" fillId="4" borderId="0" xfId="1" applyNumberFormat="1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0" fillId="0" borderId="2" xfId="0" applyBorder="1" applyAlignment="1">
      <alignment vertical="center" wrapText="1"/>
    </xf>
    <xf numFmtId="3" fontId="0" fillId="2" borderId="2" xfId="0" applyNumberFormat="1" applyFill="1" applyBorder="1" applyAlignment="1">
      <alignment vertical="center" wrapText="1"/>
    </xf>
    <xf numFmtId="10" fontId="0" fillId="3" borderId="2" xfId="1" applyNumberFormat="1" applyFont="1" applyFill="1" applyBorder="1" applyAlignment="1">
      <alignment vertical="center" wrapText="1"/>
    </xf>
    <xf numFmtId="3" fontId="0" fillId="3" borderId="2" xfId="0" applyNumberFormat="1" applyFill="1" applyBorder="1" applyAlignment="1">
      <alignment vertical="center" wrapText="1"/>
    </xf>
    <xf numFmtId="10" fontId="0" fillId="2" borderId="1" xfId="1" applyNumberFormat="1" applyFont="1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3" borderId="2" xfId="0" applyFill="1" applyBorder="1" applyAlignment="1">
      <alignment vertical="center" wrapText="1"/>
    </xf>
    <xf numFmtId="10" fontId="0" fillId="3" borderId="2" xfId="0" applyNumberFormat="1" applyFill="1" applyBorder="1" applyAlignment="1">
      <alignment vertical="center" wrapText="1"/>
    </xf>
    <xf numFmtId="3" fontId="0" fillId="0" borderId="2" xfId="0" applyNumberForma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10" fontId="0" fillId="0" borderId="2" xfId="0" applyNumberForma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9" fontId="0" fillId="3" borderId="0" xfId="0" applyNumberForma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164" fontId="0" fillId="2" borderId="2" xfId="0" applyNumberFormat="1" applyFill="1" applyBorder="1" applyAlignment="1">
      <alignment vertical="center" wrapText="1"/>
    </xf>
    <xf numFmtId="2" fontId="0" fillId="3" borderId="2" xfId="0" applyNumberFormat="1" applyFill="1" applyBorder="1" applyAlignment="1">
      <alignment vertical="center" wrapText="1"/>
    </xf>
    <xf numFmtId="9" fontId="0" fillId="6" borderId="2" xfId="0" applyNumberForma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3" fontId="0" fillId="6" borderId="2" xfId="0" applyNumberForma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2" fontId="0" fillId="3" borderId="2" xfId="1" applyNumberFormat="1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0" fontId="1" fillId="0" borderId="0" xfId="1" applyNumberFormat="1" applyFont="1" applyAlignment="1">
      <alignment vertical="center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colors>
    <mruColors>
      <color rgb="FFFFFF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Response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</c:v>
          </c:tx>
          <c:cat>
            <c:numRef>
              <c:f>Analysis!$A$24:$A$43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Analysis!$C$24:$C$43</c:f>
              <c:numCache>
                <c:formatCode>0.00%</c:formatCode>
                <c:ptCount val="20"/>
                <c:pt idx="0">
                  <c:v>3.2660543489091143E-2</c:v>
                </c:pt>
                <c:pt idx="1">
                  <c:v>2.4558158264569082E-2</c:v>
                </c:pt>
                <c:pt idx="2">
                  <c:v>1.6912995901665586E-2</c:v>
                </c:pt>
                <c:pt idx="3">
                  <c:v>1.079157320423442E-2</c:v>
                </c:pt>
                <c:pt idx="4">
                  <c:v>6.5029438188167121E-3</c:v>
                </c:pt>
                <c:pt idx="5">
                  <c:v>3.7717469973688835E-3</c:v>
                </c:pt>
                <c:pt idx="6">
                  <c:v>2.1366296282858783E-3</c:v>
                </c:pt>
                <c:pt idx="7">
                  <c:v>1.1937012379240311E-3</c:v>
                </c:pt>
                <c:pt idx="8">
                  <c:v>6.6164931173643988E-4</c:v>
                </c:pt>
                <c:pt idx="9">
                  <c:v>3.6511884784388413E-4</c:v>
                </c:pt>
                <c:pt idx="10">
                  <c:v>2.0098840426604472E-4</c:v>
                </c:pt>
                <c:pt idx="11">
                  <c:v>1.1048843838451935E-4</c:v>
                </c:pt>
                <c:pt idx="12">
                  <c:v>6.0692801781801279E-5</c:v>
                </c:pt>
                <c:pt idx="13">
                  <c:v>3.3325644095700688E-5</c:v>
                </c:pt>
                <c:pt idx="14">
                  <c:v>1.8294543632510381E-5</c:v>
                </c:pt>
                <c:pt idx="15">
                  <c:v>1.0041777804554287E-5</c:v>
                </c:pt>
                <c:pt idx="16">
                  <c:v>5.5115022425430633E-6</c:v>
                </c:pt>
                <c:pt idx="17">
                  <c:v>3.0249144483362729E-6</c:v>
                </c:pt>
                <c:pt idx="18">
                  <c:v>1.6601497806134477E-6</c:v>
                </c:pt>
                <c:pt idx="19">
                  <c:v>9.1112202729702514E-7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4887808"/>
        <c:axId val="104889728"/>
      </c:lineChart>
      <c:catAx>
        <c:axId val="10488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Score band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889728"/>
        <c:crosses val="autoZero"/>
        <c:auto val="1"/>
        <c:lblAlgn val="ctr"/>
        <c:lblOffset val="100"/>
        <c:noMultiLvlLbl val="0"/>
      </c:catAx>
      <c:valAx>
        <c:axId val="104889728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04887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Optimal profit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xVal>
            <c:numRef>
              <c:f>Analysis!$D$52:$D$66</c:f>
              <c:numCache>
                <c:formatCode>0.00%</c:formatCode>
                <c:ptCount val="15"/>
                <c:pt idx="0">
                  <c:v>0.78355307915990313</c:v>
                </c:pt>
                <c:pt idx="1">
                  <c:v>0.73814058558178486</c:v>
                </c:pt>
                <c:pt idx="2">
                  <c:v>0.67058916419207359</c:v>
                </c:pt>
                <c:pt idx="3">
                  <c:v>0.56377480110115519</c:v>
                </c:pt>
                <c:pt idx="4">
                  <c:v>0.53545328308621154</c:v>
                </c:pt>
                <c:pt idx="5">
                  <c:v>0.5042804625535795</c:v>
                </c:pt>
                <c:pt idx="6">
                  <c:v>0.47008047627652105</c:v>
                </c:pt>
                <c:pt idx="7">
                  <c:v>0.45181156366759845</c:v>
                </c:pt>
                <c:pt idx="8">
                  <c:v>0.43275992861640566</c:v>
                </c:pt>
                <c:pt idx="9">
                  <c:v>0.39235974895745873</c:v>
                </c:pt>
                <c:pt idx="10">
                  <c:v>0.34911960149763366</c:v>
                </c:pt>
                <c:pt idx="11">
                  <c:v>0.33113180694146682</c:v>
                </c:pt>
                <c:pt idx="12">
                  <c:v>0.32658129310000072</c:v>
                </c:pt>
                <c:pt idx="13">
                  <c:v>0.30354875632112466</c:v>
                </c:pt>
                <c:pt idx="14">
                  <c:v>0.2801380736298591</c:v>
                </c:pt>
              </c:numCache>
            </c:numRef>
          </c:xVal>
          <c:yVal>
            <c:numRef>
              <c:f>Analysis!$E$52:$E$66</c:f>
              <c:numCache>
                <c:formatCode>#,##0</c:formatCode>
                <c:ptCount val="15"/>
                <c:pt idx="0">
                  <c:v>16849340.109945543</c:v>
                </c:pt>
                <c:pt idx="1">
                  <c:v>15330310.23044724</c:v>
                </c:pt>
                <c:pt idx="2">
                  <c:v>13134993.026854187</c:v>
                </c:pt>
                <c:pt idx="3">
                  <c:v>10018791.809949901</c:v>
                </c:pt>
                <c:pt idx="4">
                  <c:v>9281163.2595172822</c:v>
                </c:pt>
                <c:pt idx="5">
                  <c:v>8476737.6308632605</c:v>
                </c:pt>
                <c:pt idx="6">
                  <c:v>7606997.5719227158</c:v>
                </c:pt>
                <c:pt idx="7">
                  <c:v>7149194.9738552794</c:v>
                </c:pt>
                <c:pt idx="8">
                  <c:v>6677392.6924372278</c:v>
                </c:pt>
                <c:pt idx="9">
                  <c:v>5697230.307047829</c:v>
                </c:pt>
                <c:pt idx="10">
                  <c:v>4680287.2542042509</c:v>
                </c:pt>
                <c:pt idx="11">
                  <c:v>4267211.4874376934</c:v>
                </c:pt>
                <c:pt idx="12">
                  <c:v>4163641.1187159233</c:v>
                </c:pt>
                <c:pt idx="13">
                  <c:v>3645139.2553013191</c:v>
                </c:pt>
                <c:pt idx="14">
                  <c:v>3127820.3287437577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18016"/>
        <c:axId val="147793024"/>
      </c:scatterChart>
      <c:valAx>
        <c:axId val="10491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Gini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147793024"/>
        <c:crosses val="autoZero"/>
        <c:crossBetween val="midCat"/>
      </c:valAx>
      <c:valAx>
        <c:axId val="14779302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04918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</c:v>
          </c:tx>
          <c:cat>
            <c:numRef>
              <c:f>Analysis!$AH$24:$AH$43</c:f>
              <c:numCache>
                <c:formatCode>0.00%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Analysis!$AF$24:$AF$43</c:f>
              <c:numCache>
                <c:formatCode>0.00</c:formatCode>
                <c:ptCount val="20"/>
                <c:pt idx="0">
                  <c:v>7394952.1769455206</c:v>
                </c:pt>
                <c:pt idx="1">
                  <c:v>12521236.491024863</c:v>
                </c:pt>
                <c:pt idx="2">
                  <c:v>15506875.343491226</c:v>
                </c:pt>
                <c:pt idx="3">
                  <c:v>16778515.840676863</c:v>
                </c:pt>
                <c:pt idx="4">
                  <c:v>16849340.109945543</c:v>
                </c:pt>
                <c:pt idx="5">
                  <c:v>16155429.26920883</c:v>
                </c:pt>
                <c:pt idx="6">
                  <c:v>15003685.565128876</c:v>
                </c:pt>
                <c:pt idx="7">
                  <c:v>13587921.911747605</c:v>
                </c:pt>
                <c:pt idx="8">
                  <c:v>12023183.719033808</c:v>
                </c:pt>
                <c:pt idx="9">
                  <c:v>10375416.996430095</c:v>
                </c:pt>
                <c:pt idx="10">
                  <c:v>8681693.7496245876</c:v>
                </c:pt>
                <c:pt idx="11">
                  <c:v>6962630.5123722535</c:v>
                </c:pt>
                <c:pt idx="12">
                  <c:v>5229624.4968711575</c:v>
                </c:pt>
                <c:pt idx="13">
                  <c:v>3488955.6772179538</c:v>
                </c:pt>
                <c:pt idx="14">
                  <c:v>1744078.1494350568</c:v>
                </c:pt>
                <c:pt idx="15">
                  <c:v>-3110.1527796678711</c:v>
                </c:pt>
                <c:pt idx="16">
                  <c:v>-1751566.9321517558</c:v>
                </c:pt>
                <c:pt idx="17">
                  <c:v>-3500719.9561062213</c:v>
                </c:pt>
                <c:pt idx="18">
                  <c:v>-5250255.1141676493</c:v>
                </c:pt>
                <c:pt idx="19">
                  <c:v>-7000000.0000000056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9499008"/>
        <c:axId val="139500928"/>
      </c:lineChart>
      <c:catAx>
        <c:axId val="13949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Acceptance rate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139500928"/>
        <c:crosses val="autoZero"/>
        <c:auto val="1"/>
        <c:lblAlgn val="ctr"/>
        <c:lblOffset val="100"/>
        <c:noMultiLvlLbl val="0"/>
      </c:catAx>
      <c:valAx>
        <c:axId val="13950092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3949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</c:v>
          </c:tx>
          <c:cat>
            <c:numRef>
              <c:f>Analysis!$AH$24:$AH$43</c:f>
              <c:numCache>
                <c:formatCode>0.00%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Analysis!$AJ$24:$AJ$43</c:f>
              <c:numCache>
                <c:formatCode>0.00</c:formatCode>
                <c:ptCount val="20"/>
                <c:pt idx="0">
                  <c:v>1750000</c:v>
                </c:pt>
                <c:pt idx="1">
                  <c:v>3500000</c:v>
                </c:pt>
                <c:pt idx="2">
                  <c:v>5250000</c:v>
                </c:pt>
                <c:pt idx="3">
                  <c:v>7000000</c:v>
                </c:pt>
                <c:pt idx="4">
                  <c:v>8750000</c:v>
                </c:pt>
                <c:pt idx="5">
                  <c:v>10500000</c:v>
                </c:pt>
                <c:pt idx="6">
                  <c:v>12250000</c:v>
                </c:pt>
                <c:pt idx="7">
                  <c:v>14000000</c:v>
                </c:pt>
                <c:pt idx="8">
                  <c:v>15750000</c:v>
                </c:pt>
                <c:pt idx="9">
                  <c:v>17500000</c:v>
                </c:pt>
                <c:pt idx="10">
                  <c:v>19250000</c:v>
                </c:pt>
                <c:pt idx="11">
                  <c:v>21000000</c:v>
                </c:pt>
                <c:pt idx="12">
                  <c:v>22750000</c:v>
                </c:pt>
                <c:pt idx="13">
                  <c:v>24500000</c:v>
                </c:pt>
                <c:pt idx="14">
                  <c:v>26250000</c:v>
                </c:pt>
                <c:pt idx="15">
                  <c:v>28000000</c:v>
                </c:pt>
                <c:pt idx="16">
                  <c:v>29750000</c:v>
                </c:pt>
                <c:pt idx="17">
                  <c:v>31500000</c:v>
                </c:pt>
                <c:pt idx="18">
                  <c:v>33250000</c:v>
                </c:pt>
                <c:pt idx="19">
                  <c:v>35000000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0510336"/>
        <c:axId val="140512256"/>
      </c:lineChart>
      <c:catAx>
        <c:axId val="14051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Acceptance rate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140512256"/>
        <c:crosses val="autoZero"/>
        <c:auto val="1"/>
        <c:lblAlgn val="ctr"/>
        <c:lblOffset val="100"/>
        <c:noMultiLvlLbl val="0"/>
      </c:catAx>
      <c:valAx>
        <c:axId val="140512256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40510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Income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</c:v>
          </c:tx>
          <c:cat>
            <c:numRef>
              <c:f>Analysis!$AH$24:$AH$43</c:f>
              <c:numCache>
                <c:formatCode>0.00%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Analysis!$AI$24:$AI$43</c:f>
              <c:numCache>
                <c:formatCode>0.00</c:formatCode>
                <c:ptCount val="20"/>
                <c:pt idx="0">
                  <c:v>9144952.1769455206</c:v>
                </c:pt>
                <c:pt idx="1">
                  <c:v>16021236.491024863</c:v>
                </c:pt>
                <c:pt idx="2">
                  <c:v>20756875.343491226</c:v>
                </c:pt>
                <c:pt idx="3">
                  <c:v>23778515.840676863</c:v>
                </c:pt>
                <c:pt idx="4">
                  <c:v>25599340.109945543</c:v>
                </c:pt>
                <c:pt idx="5">
                  <c:v>26655429.26920883</c:v>
                </c:pt>
                <c:pt idx="6">
                  <c:v>27253685.565128874</c:v>
                </c:pt>
                <c:pt idx="7">
                  <c:v>27587921.911747605</c:v>
                </c:pt>
                <c:pt idx="8">
                  <c:v>27773183.719033808</c:v>
                </c:pt>
                <c:pt idx="9">
                  <c:v>27875416.996430095</c:v>
                </c:pt>
                <c:pt idx="10">
                  <c:v>27931693.749624588</c:v>
                </c:pt>
                <c:pt idx="11">
                  <c:v>27962630.512372252</c:v>
                </c:pt>
                <c:pt idx="12">
                  <c:v>27979624.496871155</c:v>
                </c:pt>
                <c:pt idx="13">
                  <c:v>27988955.677217949</c:v>
                </c:pt>
                <c:pt idx="14">
                  <c:v>27994078.149435051</c:v>
                </c:pt>
                <c:pt idx="15">
                  <c:v>27996889.847220328</c:v>
                </c:pt>
                <c:pt idx="16">
                  <c:v>27998433.067848239</c:v>
                </c:pt>
                <c:pt idx="17">
                  <c:v>27999280.043893773</c:v>
                </c:pt>
                <c:pt idx="18">
                  <c:v>27999744.885832343</c:v>
                </c:pt>
                <c:pt idx="19">
                  <c:v>27999999.999999985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0529024"/>
        <c:axId val="140535296"/>
      </c:lineChart>
      <c:catAx>
        <c:axId val="14052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Acceptance rate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140535296"/>
        <c:crosses val="autoZero"/>
        <c:auto val="1"/>
        <c:lblAlgn val="ctr"/>
        <c:lblOffset val="100"/>
        <c:noMultiLvlLbl val="0"/>
      </c:catAx>
      <c:valAx>
        <c:axId val="140535296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40529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102577</xdr:colOff>
      <xdr:row>0</xdr:row>
      <xdr:rowOff>51288</xdr:rowOff>
    </xdr:from>
    <xdr:to>
      <xdr:col>7</xdr:col>
      <xdr:colOff>549519</xdr:colOff>
      <xdr:row>19</xdr:row>
      <xdr:rowOff>146538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73269</xdr:colOff>
      <xdr:row>78</xdr:row>
      <xdr:rowOff>36635</xdr:rowOff>
    </xdr:from>
    <xdr:to>
      <xdr:col>8</xdr:col>
      <xdr:colOff>73269</xdr:colOff>
      <xdr:row>95</xdr:row>
      <xdr:rowOff>21982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0</xdr:rowOff>
    </xdr:from>
    <xdr:to>
      <xdr:col>15</xdr:col>
      <xdr:colOff>600074</xdr:colOff>
      <xdr:row>19</xdr:row>
      <xdr:rowOff>152399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15</xdr:col>
      <xdr:colOff>581025</xdr:colOff>
      <xdr:row>41</xdr:row>
      <xdr:rowOff>152399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15</xdr:col>
      <xdr:colOff>581025</xdr:colOff>
      <xdr:row>63</xdr:row>
      <xdr:rowOff>152399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rprza/Ustawienia%20lokalne/Temporary%20Internet%20Files/OLK77/1%20-%20Modele%20YOUNG%20Final/300107%20-%20perf%20modele%20DG%20ap%20reint%20modele%20ACP%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eserver.cofinoga.net\DATA\Data\SDSC_SCORES\Quelle\Preacc%20CP\R&#233;int&#233;gration\P&#233;nalit&#233;%20Variable\Mod&#232;le%20Final\Mod&#232;le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Modele sur DG ap modele acp 2"/>
      <sheetName val="DG"/>
      <sheetName val="DG + BKR"/>
      <sheetName val="Comparaison perfs"/>
      <sheetName val="Score SD"/>
      <sheetName val="Score actuel"/>
      <sheetName val="Test valid"/>
      <sheetName val="scoresd valid"/>
      <sheetName val="DG + BKR Def"/>
      <sheetName val="DG + BKR Rev"/>
      <sheetName val="DG + BKR FT"/>
      <sheetName val="Score actuel Def"/>
      <sheetName val="Score actuel Rev"/>
      <sheetName val="Score actuel FT"/>
      <sheetName val="DG Def"/>
      <sheetName val="DG Rev"/>
      <sheetName val="DG FT"/>
      <sheetName val="Scoresd Def"/>
      <sheetName val="Scoresd Rev"/>
      <sheetName val="Scoresd FT"/>
      <sheetName val="DG + BKR FT hors REFSCO"/>
      <sheetName val="score actuel FT hors REFSCO"/>
      <sheetName val="DG FT hors REFSCO"/>
      <sheetName val="score SD FT hors REFSCO"/>
    </sheetNames>
    <sheetDataSet>
      <sheetData sheetId="0">
        <row r="1">
          <cell r="A1" t="str">
            <v>xid1</v>
          </cell>
          <cell r="B1" t="str">
            <v>xid2</v>
          </cell>
          <cell r="C1" t="str">
            <v>xid3</v>
          </cell>
        </row>
        <row r="2">
          <cell r="A2">
            <v>28</v>
          </cell>
          <cell r="B2">
            <v>37</v>
          </cell>
          <cell r="C2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Grille 1 Old"/>
      <sheetName val="9"/>
      <sheetName val="Grille 9 Old"/>
      <sheetName val="Final 1"/>
      <sheetName val="Final 1 10"/>
      <sheetName val="Final 2"/>
      <sheetName val="Final 2 10"/>
      <sheetName val="Final 3 bof"/>
      <sheetName val="Final 3 10 bof"/>
      <sheetName val="Final 4"/>
      <sheetName val="Final 4 10"/>
      <sheetName val="Final 5"/>
      <sheetName val="Final 5 10"/>
      <sheetName val="Final 6"/>
      <sheetName val="Final 6 10"/>
      <sheetName val="Final 7"/>
      <sheetName val="Final 7 10"/>
      <sheetName val="Final 8"/>
      <sheetName val="Final 8 10"/>
      <sheetName val="Final 8bis"/>
      <sheetName val="Final 8bis 10"/>
      <sheetName val="Feuil1"/>
      <sheetName val="Final 9"/>
      <sheetName val="Final 9 10"/>
      <sheetName val="test"/>
      <sheetName val="Grille 1"/>
      <sheetName val="Grille 9"/>
    </sheetNames>
    <sheetDataSet>
      <sheetData sheetId="0"/>
      <sheetData sheetId="1"/>
      <sheetData sheetId="2">
        <row r="1">
          <cell r="A1" t="str">
            <v>a_age1</v>
          </cell>
          <cell r="B1" t="str">
            <v>a_age2</v>
          </cell>
          <cell r="C1" t="str">
            <v>a_age3</v>
          </cell>
        </row>
        <row r="2">
          <cell r="A2">
            <v>31</v>
          </cell>
          <cell r="B2">
            <v>43</v>
          </cell>
          <cell r="C2">
            <v>62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1"/>
  <sheetViews>
    <sheetView tabSelected="1" zoomScaleNormal="100" workbookViewId="0">
      <selection activeCell="B9" sqref="B9"/>
    </sheetView>
  </sheetViews>
  <sheetFormatPr defaultRowHeight="12.75" x14ac:dyDescent="0.2"/>
  <cols>
    <col min="1" max="1" width="35.42578125" style="2" customWidth="1"/>
    <col min="2" max="2" width="12.140625" style="2" customWidth="1"/>
    <col min="3" max="3" width="12" style="2" customWidth="1"/>
    <col min="4" max="4" width="9.140625" style="2"/>
    <col min="5" max="5" width="12.28515625" style="2" customWidth="1"/>
    <col min="6" max="6" width="9.140625" style="2"/>
    <col min="7" max="7" width="13.5703125" style="2" customWidth="1"/>
    <col min="8" max="8" width="10.7109375" style="2" customWidth="1"/>
    <col min="9" max="9" width="10.140625" style="2" bestFit="1" customWidth="1"/>
    <col min="10" max="10" width="11.5703125" style="2" bestFit="1" customWidth="1"/>
    <col min="11" max="13" width="9.140625" style="2"/>
    <col min="14" max="14" width="9.7109375" style="2" bestFit="1" customWidth="1"/>
    <col min="15" max="16" width="9.140625" style="2"/>
    <col min="17" max="17" width="11.28515625" style="2" customWidth="1"/>
    <col min="18" max="18" width="9.140625" style="2"/>
    <col min="19" max="19" width="11.140625" style="2" bestFit="1" customWidth="1"/>
    <col min="20" max="20" width="9.7109375" style="2" bestFit="1" customWidth="1"/>
    <col min="21" max="21" width="10.28515625" style="2" customWidth="1"/>
    <col min="22" max="23" width="9.140625" style="2"/>
    <col min="24" max="24" width="8.140625" style="2" customWidth="1"/>
    <col min="25" max="25" width="9.140625" style="2"/>
    <col min="26" max="26" width="12.5703125" style="2" bestFit="1" customWidth="1"/>
    <col min="27" max="29" width="11.5703125" style="2" bestFit="1" customWidth="1"/>
    <col min="30" max="30" width="9.140625" style="2"/>
    <col min="31" max="31" width="11.140625" style="2" bestFit="1" customWidth="1"/>
    <col min="32" max="32" width="11.5703125" style="2" bestFit="1" customWidth="1"/>
    <col min="33" max="34" width="9.140625" style="2"/>
    <col min="35" max="36" width="11.5703125" style="2" bestFit="1" customWidth="1"/>
    <col min="37" max="16384" width="9.140625" style="2"/>
  </cols>
  <sheetData>
    <row r="1" spans="1:2" ht="16.5" customHeight="1" x14ac:dyDescent="0.2">
      <c r="A1" s="12" t="s">
        <v>14</v>
      </c>
      <c r="B1" s="13">
        <v>7000000</v>
      </c>
    </row>
    <row r="2" spans="1:2" ht="16.5" customHeight="1" x14ac:dyDescent="0.2">
      <c r="A2" s="12" t="s">
        <v>19</v>
      </c>
      <c r="B2" s="13">
        <v>800</v>
      </c>
    </row>
    <row r="3" spans="1:2" ht="16.5" customHeight="1" x14ac:dyDescent="0.2">
      <c r="A3" s="12" t="s">
        <v>15</v>
      </c>
      <c r="B3" s="13">
        <v>5</v>
      </c>
    </row>
    <row r="4" spans="1:2" ht="16.5" customHeight="1" x14ac:dyDescent="0.2"/>
    <row r="5" spans="1:2" ht="16.5" customHeight="1" x14ac:dyDescent="0.2">
      <c r="A5" s="12" t="s">
        <v>11</v>
      </c>
      <c r="B5" s="14">
        <f>K45</f>
        <v>0.78355307915990313</v>
      </c>
    </row>
    <row r="6" spans="1:2" ht="16.5" customHeight="1" x14ac:dyDescent="0.2"/>
    <row r="7" spans="1:2" ht="16.5" customHeight="1" x14ac:dyDescent="0.2">
      <c r="A7" s="12" t="s">
        <v>16</v>
      </c>
      <c r="B7" s="26">
        <v>5.0000000000000001E-3</v>
      </c>
    </row>
    <row r="8" spans="1:2" ht="16.5" customHeight="1" x14ac:dyDescent="0.2">
      <c r="A8" s="12" t="s">
        <v>17</v>
      </c>
      <c r="B8" s="14">
        <f>E44/F44</f>
        <v>1.8285242935675388E-2</v>
      </c>
    </row>
    <row r="9" spans="1:2" ht="16.5" customHeight="1" x14ac:dyDescent="0.2">
      <c r="A9" s="12" t="s">
        <v>0</v>
      </c>
      <c r="B9" s="14">
        <f>F44/B44</f>
        <v>0.25</v>
      </c>
    </row>
    <row r="10" spans="1:2" ht="16.5" customHeight="1" x14ac:dyDescent="0.2">
      <c r="A10" s="12" t="s">
        <v>29</v>
      </c>
      <c r="B10" s="33">
        <f>N44</f>
        <v>3.6570485871350775</v>
      </c>
    </row>
    <row r="11" spans="1:2" ht="16.5" customHeight="1" x14ac:dyDescent="0.2">
      <c r="A11" s="31" t="s">
        <v>28</v>
      </c>
      <c r="B11" s="14">
        <f>E44/G44</f>
        <v>0.9142621467837696</v>
      </c>
    </row>
    <row r="12" spans="1:2" ht="16.5" customHeight="1" x14ac:dyDescent="0.2">
      <c r="A12" s="12" t="s">
        <v>18</v>
      </c>
      <c r="B12" s="15">
        <f>AA44</f>
        <v>35000000</v>
      </c>
    </row>
    <row r="13" spans="1:2" ht="16.5" customHeight="1" x14ac:dyDescent="0.2">
      <c r="A13" s="12" t="s">
        <v>1</v>
      </c>
      <c r="B13" s="15">
        <f>Z44</f>
        <v>27999999.999999985</v>
      </c>
    </row>
    <row r="14" spans="1:2" ht="16.5" customHeight="1" x14ac:dyDescent="0.2">
      <c r="A14" s="12" t="s">
        <v>2</v>
      </c>
      <c r="B14" s="15">
        <f>B13-B12</f>
        <v>-7000000.0000000149</v>
      </c>
    </row>
    <row r="15" spans="1:2" ht="16.5" customHeight="1" x14ac:dyDescent="0.2"/>
    <row r="16" spans="1:2" ht="16.5" customHeight="1" x14ac:dyDescent="0.2">
      <c r="A16" s="12" t="s">
        <v>20</v>
      </c>
      <c r="B16" s="15">
        <f>AC44</f>
        <v>8750000</v>
      </c>
    </row>
    <row r="17" spans="1:38" ht="16.5" customHeight="1" x14ac:dyDescent="0.2">
      <c r="A17" s="12" t="s">
        <v>3</v>
      </c>
      <c r="B17" s="15">
        <f>AB44</f>
        <v>25599340.109945543</v>
      </c>
    </row>
    <row r="18" spans="1:38" ht="16.5" customHeight="1" x14ac:dyDescent="0.2">
      <c r="A18" s="12" t="s">
        <v>4</v>
      </c>
      <c r="B18" s="15">
        <f>B17-B16</f>
        <v>16849340.109945543</v>
      </c>
    </row>
    <row r="19" spans="1:38" ht="16.5" customHeight="1" x14ac:dyDescent="0.2">
      <c r="A19" s="12" t="s">
        <v>21</v>
      </c>
      <c r="B19" s="15">
        <f>F44</f>
        <v>1750000</v>
      </c>
    </row>
    <row r="20" spans="1:38" ht="16.5" customHeight="1" x14ac:dyDescent="0.2">
      <c r="A20" s="12" t="s">
        <v>22</v>
      </c>
      <c r="B20" s="15">
        <f>E44</f>
        <v>31999.175137431928</v>
      </c>
    </row>
    <row r="21" spans="1:38" ht="25.5" x14ac:dyDescent="0.2">
      <c r="R21" s="39" t="s">
        <v>41</v>
      </c>
    </row>
    <row r="23" spans="1:38" ht="38.25" x14ac:dyDescent="0.2">
      <c r="A23" s="2" t="s">
        <v>5</v>
      </c>
      <c r="B23" s="2" t="s">
        <v>14</v>
      </c>
      <c r="C23" s="2" t="s">
        <v>23</v>
      </c>
      <c r="D23" s="2" t="s">
        <v>6</v>
      </c>
      <c r="E23" s="2" t="s">
        <v>26</v>
      </c>
      <c r="F23" s="2" t="s">
        <v>7</v>
      </c>
      <c r="G23" s="2" t="s">
        <v>24</v>
      </c>
      <c r="H23" s="39" t="s">
        <v>33</v>
      </c>
      <c r="I23" s="39" t="s">
        <v>34</v>
      </c>
      <c r="J23" s="39" t="s">
        <v>35</v>
      </c>
      <c r="K23" s="3" t="s">
        <v>10</v>
      </c>
      <c r="L23" s="18" t="s">
        <v>27</v>
      </c>
      <c r="M23" s="39" t="s">
        <v>36</v>
      </c>
      <c r="N23" s="32" t="s">
        <v>37</v>
      </c>
      <c r="O23" s="32" t="s">
        <v>38</v>
      </c>
      <c r="P23" s="2" t="s">
        <v>39</v>
      </c>
      <c r="Q23" s="39" t="s">
        <v>40</v>
      </c>
      <c r="R23" s="2" t="s">
        <v>25</v>
      </c>
      <c r="S23" s="39" t="s">
        <v>42</v>
      </c>
      <c r="T23" s="39" t="s">
        <v>43</v>
      </c>
      <c r="U23" s="39" t="s">
        <v>36</v>
      </c>
      <c r="V23" s="39" t="s">
        <v>34</v>
      </c>
      <c r="W23" s="39" t="s">
        <v>35</v>
      </c>
      <c r="X23" s="3" t="s">
        <v>10</v>
      </c>
      <c r="Z23" s="39" t="s">
        <v>44</v>
      </c>
      <c r="AA23" s="39" t="s">
        <v>45</v>
      </c>
      <c r="AB23" s="39" t="s">
        <v>46</v>
      </c>
      <c r="AC23" s="39" t="s">
        <v>47</v>
      </c>
      <c r="AE23" s="39" t="s">
        <v>48</v>
      </c>
      <c r="AF23" s="39" t="s">
        <v>49</v>
      </c>
      <c r="AG23" s="39" t="s">
        <v>50</v>
      </c>
      <c r="AH23" s="39" t="s">
        <v>51</v>
      </c>
      <c r="AI23" s="39" t="s">
        <v>52</v>
      </c>
      <c r="AJ23" s="39" t="s">
        <v>53</v>
      </c>
      <c r="AL23" s="2" t="s">
        <v>23</v>
      </c>
    </row>
    <row r="24" spans="1:38" x14ac:dyDescent="0.2">
      <c r="A24" s="2">
        <v>1</v>
      </c>
      <c r="B24" s="7">
        <f>$B$1/20</f>
        <v>350000</v>
      </c>
      <c r="C24" s="8">
        <f t="shared" ref="C24:C44" si="0">AL24*$B$7/$AL$44</f>
        <v>3.2660543489091143E-2</v>
      </c>
      <c r="D24" s="23">
        <f>AD24</f>
        <v>1</v>
      </c>
      <c r="E24" s="5">
        <f>B24*C24*D24</f>
        <v>11431.1902211819</v>
      </c>
      <c r="F24" s="5">
        <f>B24*D24</f>
        <v>350000</v>
      </c>
      <c r="G24" s="5">
        <f t="shared" ref="G24:G43" si="1">B24*C24</f>
        <v>11431.1902211819</v>
      </c>
      <c r="H24" s="4">
        <f>G24/G45</f>
        <v>0.32660543489091148</v>
      </c>
      <c r="I24" s="4">
        <f>Q24</f>
        <v>4.8610022940246682E-2</v>
      </c>
      <c r="J24" s="4">
        <f>H24</f>
        <v>0.32660543489091148</v>
      </c>
      <c r="K24" s="4">
        <f>I24*J24</f>
        <v>1.587629768245645E-2</v>
      </c>
      <c r="L24" s="27">
        <f>C24/$B$7</f>
        <v>6.5321086978182281</v>
      </c>
      <c r="M24" s="17">
        <f>G24</f>
        <v>11431.1902211819</v>
      </c>
      <c r="N24" s="27">
        <f>IF(O24*D24&gt;0, O24*D24, 999)</f>
        <v>6.5321086978182281</v>
      </c>
      <c r="O24" s="27">
        <f>(M24/AG24)/$B$7</f>
        <v>6.5321086978182281</v>
      </c>
      <c r="P24" s="5">
        <f t="shared" ref="P24:P43" si="2">B24-G24</f>
        <v>338568.8097788181</v>
      </c>
      <c r="Q24" s="4">
        <f>P24/P44</f>
        <v>4.8610022940246682E-2</v>
      </c>
      <c r="R24" s="5">
        <f t="shared" ref="R24:R43" si="3">F24-E24</f>
        <v>338568.8097788181</v>
      </c>
      <c r="S24" s="5">
        <f>B24*C24*D24</f>
        <v>11431.1902211819</v>
      </c>
      <c r="T24" s="4">
        <f t="shared" ref="T24:T26" si="4">SUM(R21:R24)/$R$44</f>
        <v>0.19707138953550968</v>
      </c>
      <c r="U24" s="4">
        <f t="shared" ref="U24:U26" si="5">SUM(S21:S24)/$S$44</f>
        <v>0.35723390281426182</v>
      </c>
      <c r="V24" s="4">
        <f>T24</f>
        <v>0.19707138953550968</v>
      </c>
      <c r="W24" s="4">
        <f>U24</f>
        <v>0.35723390281426182</v>
      </c>
      <c r="X24" s="4">
        <f>V24*W24</f>
        <v>7.0400581616799796E-2</v>
      </c>
      <c r="Z24" s="17">
        <f>G24*$B$2</f>
        <v>9144952.1769455206</v>
      </c>
      <c r="AA24" s="17">
        <f>B24*$B$3</f>
        <v>1750000</v>
      </c>
      <c r="AB24" s="2">
        <f>Z24*D24</f>
        <v>9144952.1769455206</v>
      </c>
      <c r="AC24" s="2">
        <f>AA24*D24</f>
        <v>1750000</v>
      </c>
      <c r="AD24" s="2">
        <f>IF(AE24&lt;0, 0, 1)</f>
        <v>1</v>
      </c>
      <c r="AE24" s="17">
        <f>Z24-AA24</f>
        <v>7394952.1769455206</v>
      </c>
      <c r="AF24" s="17">
        <f>AE24</f>
        <v>7394952.1769455206</v>
      </c>
      <c r="AG24" s="5">
        <f>B24</f>
        <v>350000</v>
      </c>
      <c r="AH24" s="4">
        <f>AG24/$B$44</f>
        <v>0.05</v>
      </c>
      <c r="AI24" s="17">
        <f>Z24</f>
        <v>9144952.1769455206</v>
      </c>
      <c r="AJ24" s="17">
        <f>AA24</f>
        <v>1750000</v>
      </c>
      <c r="AL24" s="8">
        <f>1/(1+EXP(-($D$46*A24+$D$47)))</f>
        <v>0.598687660112452</v>
      </c>
    </row>
    <row r="25" spans="1:38" x14ac:dyDescent="0.2">
      <c r="A25" s="2">
        <v>2</v>
      </c>
      <c r="B25" s="7">
        <f t="shared" ref="B25:B43" si="6">$B$1/20</f>
        <v>350000</v>
      </c>
      <c r="C25" s="8">
        <f t="shared" si="0"/>
        <v>2.4558158264569082E-2</v>
      </c>
      <c r="D25" s="23">
        <f t="shared" ref="D25:D43" si="7">AD25</f>
        <v>1</v>
      </c>
      <c r="E25" s="5">
        <f t="shared" ref="E25:E43" si="8">B25*C25*D25</f>
        <v>8595.3553925991782</v>
      </c>
      <c r="F25" s="5">
        <f t="shared" ref="F25:F43" si="9">B25*D25</f>
        <v>350000</v>
      </c>
      <c r="G25" s="5">
        <f t="shared" si="1"/>
        <v>8595.3553925991782</v>
      </c>
      <c r="H25" s="4">
        <f>SUM(G24:G25)/G45</f>
        <v>0.57218701753660228</v>
      </c>
      <c r="I25" s="4">
        <f>Q24+Q25</f>
        <v>0.14623722385714819</v>
      </c>
      <c r="J25" s="4">
        <f>H25-H24</f>
        <v>0.2455815826456908</v>
      </c>
      <c r="K25" s="4">
        <f t="shared" ref="K25:K43" si="10">I25*J25</f>
        <v>3.5913168876550626E-2</v>
      </c>
      <c r="L25" s="27">
        <f t="shared" ref="L25:L43" si="11">C25/$B$7</f>
        <v>4.9116316529138162</v>
      </c>
      <c r="M25" s="17">
        <f>M24+G25</f>
        <v>20026.545613781076</v>
      </c>
      <c r="N25" s="27">
        <f t="shared" ref="N25:N43" si="12">IF(O25*D25&gt;0, O25*D25, 999)</f>
        <v>5.7218701753660213</v>
      </c>
      <c r="O25" s="27">
        <f t="shared" ref="O25:O43" si="13">(M25/AG25)/$B$7</f>
        <v>5.7218701753660213</v>
      </c>
      <c r="P25" s="5">
        <f t="shared" si="2"/>
        <v>341404.64460740081</v>
      </c>
      <c r="Q25" s="4">
        <f>(P25+P24)/P44</f>
        <v>9.762720091690151E-2</v>
      </c>
      <c r="R25" s="5">
        <f t="shared" si="3"/>
        <v>341404.64460740081</v>
      </c>
      <c r="S25" s="5">
        <f t="shared" ref="S25:S43" si="14">B25*C25*D25</f>
        <v>8595.3553925991782</v>
      </c>
      <c r="T25" s="4">
        <f t="shared" si="4"/>
        <v>0.39579343883063239</v>
      </c>
      <c r="U25" s="4">
        <f t="shared" si="5"/>
        <v>0.62584568282681963</v>
      </c>
      <c r="V25" s="4">
        <f>T25+T24</f>
        <v>0.59286482836614207</v>
      </c>
      <c r="W25" s="4">
        <f>U25-U24</f>
        <v>0.26861178001255781</v>
      </c>
      <c r="X25" s="4">
        <f t="shared" ref="X25:X43" si="15">V25*W25</f>
        <v>0.15925047685426899</v>
      </c>
      <c r="Z25" s="17">
        <f t="shared" ref="Z25:Z43" si="16">G25*$B$2</f>
        <v>6876284.3140793424</v>
      </c>
      <c r="AA25" s="17">
        <f t="shared" ref="AA25:AA43" si="17">B25*$B$3</f>
        <v>1750000</v>
      </c>
      <c r="AB25" s="2">
        <f t="shared" ref="AB25:AB43" si="18">Z25*D25</f>
        <v>6876284.3140793424</v>
      </c>
      <c r="AC25" s="2">
        <f t="shared" ref="AC25:AC43" si="19">AA25*D25</f>
        <v>1750000</v>
      </c>
      <c r="AD25" s="2">
        <f t="shared" ref="AD25:AD43" si="20">IF(AE25&lt;0, 0, 1)</f>
        <v>1</v>
      </c>
      <c r="AE25" s="17">
        <f t="shared" ref="AE25:AE43" si="21">Z25-AA25</f>
        <v>5126284.3140793424</v>
      </c>
      <c r="AF25" s="17">
        <f>AF24+AE25</f>
        <v>12521236.491024863</v>
      </c>
      <c r="AG25" s="5">
        <f>AG24+B25</f>
        <v>700000</v>
      </c>
      <c r="AH25" s="4">
        <f t="shared" ref="AH25:AH43" si="22">AG25/$B$44</f>
        <v>0.1</v>
      </c>
      <c r="AI25" s="17">
        <f>AI24+Z25</f>
        <v>16021236.491024863</v>
      </c>
      <c r="AJ25" s="17">
        <f>AJ24+AA25</f>
        <v>3500000</v>
      </c>
      <c r="AL25" s="8">
        <f t="shared" ref="AL25:AL43" si="23">1/(1+EXP(-($D$46*A25+$D$47)))</f>
        <v>0.45016600268752216</v>
      </c>
    </row>
    <row r="26" spans="1:38" x14ac:dyDescent="0.2">
      <c r="A26" s="2">
        <v>3</v>
      </c>
      <c r="B26" s="7">
        <f t="shared" si="6"/>
        <v>350000</v>
      </c>
      <c r="C26" s="8">
        <f t="shared" si="0"/>
        <v>1.6912995901665586E-2</v>
      </c>
      <c r="D26" s="23">
        <f t="shared" si="7"/>
        <v>1</v>
      </c>
      <c r="E26" s="5">
        <f t="shared" si="8"/>
        <v>5919.5485655829552</v>
      </c>
      <c r="F26" s="5">
        <f t="shared" si="9"/>
        <v>350000</v>
      </c>
      <c r="G26" s="5">
        <f t="shared" si="1"/>
        <v>5919.5485655829552</v>
      </c>
      <c r="H26" s="4">
        <f>SUM(G24:G26)/G45</f>
        <v>0.74131697655325812</v>
      </c>
      <c r="I26" s="4">
        <f t="shared" ref="I26:I43" si="24">Q25+Q26</f>
        <v>0.24465575882366908</v>
      </c>
      <c r="J26" s="4">
        <f t="shared" ref="J26:J43" si="25">H26-H25</f>
        <v>0.16912995901665584</v>
      </c>
      <c r="K26" s="4">
        <f t="shared" si="10"/>
        <v>4.1378618463035984E-2</v>
      </c>
      <c r="L26" s="27">
        <f t="shared" si="11"/>
        <v>3.3825991803331172</v>
      </c>
      <c r="M26" s="17">
        <f t="shared" ref="M26:M43" si="26">M25+G26</f>
        <v>25946.09417936403</v>
      </c>
      <c r="N26" s="27">
        <f t="shared" si="12"/>
        <v>4.9421131770217199</v>
      </c>
      <c r="O26" s="27">
        <f t="shared" si="13"/>
        <v>4.9421131770217199</v>
      </c>
      <c r="P26" s="5">
        <f t="shared" si="2"/>
        <v>344080.45143441705</v>
      </c>
      <c r="Q26" s="4">
        <f>SUM(P24:P26)/P44</f>
        <v>0.14702855790676755</v>
      </c>
      <c r="R26" s="5">
        <f t="shared" si="3"/>
        <v>344080.45143441705</v>
      </c>
      <c r="S26" s="5">
        <f t="shared" si="14"/>
        <v>5919.5485655829552</v>
      </c>
      <c r="T26" s="4">
        <f t="shared" si="4"/>
        <v>0.59607300008284647</v>
      </c>
      <c r="U26" s="4">
        <f t="shared" si="5"/>
        <v>0.81083634399728211</v>
      </c>
      <c r="V26" s="4">
        <f t="shared" ref="V26:V43" si="27">T26+T25</f>
        <v>0.99186643891347881</v>
      </c>
      <c r="W26" s="4">
        <f>U26-U25</f>
        <v>0.18499066117046248</v>
      </c>
      <c r="X26" s="4">
        <f t="shared" si="15"/>
        <v>0.18348602832739658</v>
      </c>
      <c r="Z26" s="17">
        <f t="shared" si="16"/>
        <v>4735638.8524663644</v>
      </c>
      <c r="AA26" s="17">
        <f t="shared" si="17"/>
        <v>1750000</v>
      </c>
      <c r="AB26" s="2">
        <f t="shared" si="18"/>
        <v>4735638.8524663644</v>
      </c>
      <c r="AC26" s="2">
        <f t="shared" si="19"/>
        <v>1750000</v>
      </c>
      <c r="AD26" s="2">
        <f t="shared" si="20"/>
        <v>1</v>
      </c>
      <c r="AE26" s="17">
        <f t="shared" si="21"/>
        <v>2985638.8524663644</v>
      </c>
      <c r="AF26" s="17">
        <f t="shared" ref="AF26:AF43" si="28">AF25+AE26</f>
        <v>15506875.343491226</v>
      </c>
      <c r="AG26" s="5">
        <f t="shared" ref="AG26:AG43" si="29">AG25+B26</f>
        <v>1050000</v>
      </c>
      <c r="AH26" s="4">
        <f t="shared" si="22"/>
        <v>0.15</v>
      </c>
      <c r="AI26" s="17">
        <f t="shared" ref="AI26:AI43" si="30">AI25+Z26</f>
        <v>20756875.343491226</v>
      </c>
      <c r="AJ26" s="17">
        <f t="shared" ref="AJ26:AJ43" si="31">AJ25+AA26</f>
        <v>5250000</v>
      </c>
      <c r="AL26" s="8">
        <f t="shared" si="23"/>
        <v>0.31002551887238755</v>
      </c>
    </row>
    <row r="27" spans="1:38" x14ac:dyDescent="0.2">
      <c r="A27" s="2">
        <v>4</v>
      </c>
      <c r="B27" s="7">
        <f t="shared" si="6"/>
        <v>350000</v>
      </c>
      <c r="C27" s="8">
        <f t="shared" si="0"/>
        <v>1.079157320423442E-2</v>
      </c>
      <c r="D27" s="23">
        <f t="shared" si="7"/>
        <v>1</v>
      </c>
      <c r="E27" s="5">
        <f t="shared" si="8"/>
        <v>3777.0506214820471</v>
      </c>
      <c r="F27" s="5">
        <f t="shared" si="9"/>
        <v>350000</v>
      </c>
      <c r="G27" s="5">
        <f t="shared" si="1"/>
        <v>3777.0506214820471</v>
      </c>
      <c r="H27" s="4">
        <f>SUM(G24:G27)/G45</f>
        <v>0.8492327085956024</v>
      </c>
      <c r="I27" s="4">
        <f t="shared" si="24"/>
        <v>0.34376608198417663</v>
      </c>
      <c r="J27" s="4">
        <f t="shared" si="25"/>
        <v>0.10791573204234428</v>
      </c>
      <c r="K27" s="4">
        <f t="shared" si="10"/>
        <v>3.7097768388650962E-2</v>
      </c>
      <c r="L27" s="27">
        <f t="shared" si="11"/>
        <v>2.1583146408468838</v>
      </c>
      <c r="M27" s="17">
        <f t="shared" si="26"/>
        <v>29723.144800846079</v>
      </c>
      <c r="N27" s="27">
        <f t="shared" si="12"/>
        <v>4.2461635429780111</v>
      </c>
      <c r="O27" s="27">
        <f t="shared" si="13"/>
        <v>4.2461635429780111</v>
      </c>
      <c r="P27" s="5">
        <f t="shared" si="2"/>
        <v>346222.94937851798</v>
      </c>
      <c r="Q27" s="4">
        <f>SUM(P24:P27)/P44</f>
        <v>0.19673752407740908</v>
      </c>
      <c r="R27" s="5">
        <f t="shared" si="3"/>
        <v>346222.94937851798</v>
      </c>
      <c r="S27" s="5">
        <f t="shared" si="14"/>
        <v>3777.0506214820471</v>
      </c>
      <c r="T27" s="4">
        <f>SUM(R24:R27)/$R$44</f>
        <v>0.7975996491787305</v>
      </c>
      <c r="U27" s="4">
        <f>SUM(S24:S27)/$S$44</f>
        <v>0.92887221852405188</v>
      </c>
      <c r="V27" s="4">
        <f t="shared" si="27"/>
        <v>1.393672649261577</v>
      </c>
      <c r="W27" s="4">
        <f t="shared" ref="W27:W43" si="32">U27-U26</f>
        <v>0.11803587452676978</v>
      </c>
      <c r="X27" s="4">
        <f t="shared" si="15"/>
        <v>0.16450336995963033</v>
      </c>
      <c r="Z27" s="17">
        <f t="shared" si="16"/>
        <v>3021640.4971856377</v>
      </c>
      <c r="AA27" s="17">
        <f t="shared" si="17"/>
        <v>1750000</v>
      </c>
      <c r="AB27" s="2">
        <f t="shared" si="18"/>
        <v>3021640.4971856377</v>
      </c>
      <c r="AC27" s="2">
        <f t="shared" si="19"/>
        <v>1750000</v>
      </c>
      <c r="AD27" s="2">
        <f t="shared" si="20"/>
        <v>1</v>
      </c>
      <c r="AE27" s="17">
        <f t="shared" si="21"/>
        <v>1271640.4971856377</v>
      </c>
      <c r="AF27" s="17">
        <f t="shared" si="28"/>
        <v>16778515.840676863</v>
      </c>
      <c r="AG27" s="5">
        <f t="shared" si="29"/>
        <v>1400000</v>
      </c>
      <c r="AH27" s="4">
        <f t="shared" si="22"/>
        <v>0.2</v>
      </c>
      <c r="AI27" s="17">
        <f t="shared" si="30"/>
        <v>23778515.840676863</v>
      </c>
      <c r="AJ27" s="17">
        <f t="shared" si="31"/>
        <v>7000000</v>
      </c>
      <c r="AL27" s="8">
        <f t="shared" si="23"/>
        <v>0.19781611144141825</v>
      </c>
    </row>
    <row r="28" spans="1:38" x14ac:dyDescent="0.2">
      <c r="A28" s="2">
        <v>5</v>
      </c>
      <c r="B28" s="7">
        <f t="shared" si="6"/>
        <v>350000</v>
      </c>
      <c r="C28" s="8">
        <f t="shared" si="0"/>
        <v>6.5029438188167121E-3</v>
      </c>
      <c r="D28" s="23">
        <f t="shared" si="7"/>
        <v>1</v>
      </c>
      <c r="E28" s="5">
        <f>B28*C28*D28</f>
        <v>2276.0303365858495</v>
      </c>
      <c r="F28" s="5">
        <f>B28*D28</f>
        <v>350000</v>
      </c>
      <c r="G28" s="5">
        <f t="shared" si="1"/>
        <v>2276.0303365858495</v>
      </c>
      <c r="H28" s="4">
        <f>SUM(G24:G28)/G45</f>
        <v>0.9142621467837696</v>
      </c>
      <c r="I28" s="4">
        <f t="shared" si="24"/>
        <v>0.44339952333980226</v>
      </c>
      <c r="J28" s="4">
        <f t="shared" si="25"/>
        <v>6.5029438188167199E-2</v>
      </c>
      <c r="K28" s="4">
        <f t="shared" si="10"/>
        <v>2.8834021895688469E-2</v>
      </c>
      <c r="L28" s="27">
        <f t="shared" si="11"/>
        <v>1.3005887637633424</v>
      </c>
      <c r="M28" s="17">
        <f t="shared" si="26"/>
        <v>31999.175137431928</v>
      </c>
      <c r="N28" s="27">
        <f t="shared" si="12"/>
        <v>3.6570485871350775</v>
      </c>
      <c r="O28" s="27">
        <f t="shared" si="13"/>
        <v>3.6570485871350775</v>
      </c>
      <c r="P28" s="5">
        <f t="shared" si="2"/>
        <v>347723.96966341417</v>
      </c>
      <c r="Q28" s="4">
        <f>SUM(P24:P28)/P44</f>
        <v>0.24666199926239316</v>
      </c>
      <c r="R28" s="5">
        <f t="shared" si="3"/>
        <v>347723.96966341417</v>
      </c>
      <c r="S28" s="5">
        <f t="shared" si="14"/>
        <v>2276.0303365858495</v>
      </c>
      <c r="T28" s="4">
        <f>SUM(R24:R28)/$R$44</f>
        <v>1</v>
      </c>
      <c r="U28" s="4">
        <f>SUM(S24:S28)/$S$44</f>
        <v>1</v>
      </c>
      <c r="V28" s="4">
        <f t="shared" si="27"/>
        <v>1.7975996491787305</v>
      </c>
      <c r="W28" s="4">
        <f t="shared" si="32"/>
        <v>7.1127781475948115E-2</v>
      </c>
      <c r="X28" s="4">
        <f t="shared" si="15"/>
        <v>0.12785927502802574</v>
      </c>
      <c r="Z28" s="17">
        <f t="shared" si="16"/>
        <v>1820824.2692686797</v>
      </c>
      <c r="AA28" s="17">
        <f t="shared" si="17"/>
        <v>1750000</v>
      </c>
      <c r="AB28" s="2">
        <f t="shared" si="18"/>
        <v>1820824.2692686797</v>
      </c>
      <c r="AC28" s="2">
        <f t="shared" si="19"/>
        <v>1750000</v>
      </c>
      <c r="AD28" s="2">
        <f t="shared" si="20"/>
        <v>1</v>
      </c>
      <c r="AE28" s="17">
        <f t="shared" si="21"/>
        <v>70824.269268679665</v>
      </c>
      <c r="AF28" s="17">
        <f t="shared" si="28"/>
        <v>16849340.109945543</v>
      </c>
      <c r="AG28" s="5">
        <f t="shared" si="29"/>
        <v>1750000</v>
      </c>
      <c r="AH28" s="4">
        <f t="shared" si="22"/>
        <v>0.25</v>
      </c>
      <c r="AI28" s="17">
        <f t="shared" si="30"/>
        <v>25599340.109945543</v>
      </c>
      <c r="AJ28" s="17">
        <f t="shared" si="31"/>
        <v>8750000</v>
      </c>
      <c r="AL28" s="8">
        <f t="shared" si="23"/>
        <v>0.11920292202211755</v>
      </c>
    </row>
    <row r="29" spans="1:38" x14ac:dyDescent="0.2">
      <c r="A29" s="2">
        <v>6</v>
      </c>
      <c r="B29" s="7">
        <f t="shared" si="6"/>
        <v>350000</v>
      </c>
      <c r="C29" s="8">
        <f t="shared" si="0"/>
        <v>3.7717469973688835E-3</v>
      </c>
      <c r="D29" s="23">
        <f t="shared" si="7"/>
        <v>0</v>
      </c>
      <c r="E29" s="5">
        <f t="shared" si="8"/>
        <v>0</v>
      </c>
      <c r="F29" s="5">
        <f t="shared" si="9"/>
        <v>0</v>
      </c>
      <c r="G29" s="5">
        <f t="shared" si="1"/>
        <v>1320.1114490791092</v>
      </c>
      <c r="H29" s="4">
        <f>SUM(G24:G29)/G45</f>
        <v>0.95197961675745835</v>
      </c>
      <c r="I29" s="4">
        <f t="shared" si="24"/>
        <v>0.54338571978119998</v>
      </c>
      <c r="J29" s="4">
        <f t="shared" si="25"/>
        <v>3.7717469973688744E-2</v>
      </c>
      <c r="K29" s="4">
        <f t="shared" si="10"/>
        <v>2.0495134569978656E-2</v>
      </c>
      <c r="L29" s="27">
        <f t="shared" si="11"/>
        <v>0.75434939947377666</v>
      </c>
      <c r="M29" s="17">
        <f t="shared" si="26"/>
        <v>33319.286586511036</v>
      </c>
      <c r="N29" s="27">
        <f t="shared" si="12"/>
        <v>999</v>
      </c>
      <c r="O29" s="27">
        <f t="shared" si="13"/>
        <v>3.1732653891915268</v>
      </c>
      <c r="P29" s="5">
        <f t="shared" si="2"/>
        <v>348679.88855092088</v>
      </c>
      <c r="Q29" s="4">
        <f>SUM(P24:P29)/P44</f>
        <v>0.2967237205188068</v>
      </c>
      <c r="R29" s="5">
        <f t="shared" si="3"/>
        <v>0</v>
      </c>
      <c r="S29" s="5">
        <f t="shared" si="14"/>
        <v>0</v>
      </c>
      <c r="T29" s="4">
        <f>SUM(R24:R29)/$R$44</f>
        <v>1</v>
      </c>
      <c r="U29" s="4">
        <f>SUM(S24:S29)/$S$44</f>
        <v>1</v>
      </c>
      <c r="V29" s="4">
        <f t="shared" si="27"/>
        <v>2</v>
      </c>
      <c r="W29" s="4">
        <f>U29-U28</f>
        <v>0</v>
      </c>
      <c r="X29" s="4">
        <f t="shared" si="15"/>
        <v>0</v>
      </c>
      <c r="Z29" s="17">
        <f t="shared" si="16"/>
        <v>1056089.1592632874</v>
      </c>
      <c r="AA29" s="17">
        <f t="shared" si="17"/>
        <v>1750000</v>
      </c>
      <c r="AB29" s="2">
        <f t="shared" si="18"/>
        <v>0</v>
      </c>
      <c r="AC29" s="2">
        <f t="shared" si="19"/>
        <v>0</v>
      </c>
      <c r="AD29" s="2">
        <f t="shared" si="20"/>
        <v>0</v>
      </c>
      <c r="AE29" s="17">
        <f t="shared" si="21"/>
        <v>-693910.84073671256</v>
      </c>
      <c r="AF29" s="17">
        <f t="shared" si="28"/>
        <v>16155429.26920883</v>
      </c>
      <c r="AG29" s="5">
        <f t="shared" si="29"/>
        <v>2100000</v>
      </c>
      <c r="AH29" s="4">
        <f t="shared" si="22"/>
        <v>0.3</v>
      </c>
      <c r="AI29" s="17">
        <f t="shared" si="30"/>
        <v>26655429.26920883</v>
      </c>
      <c r="AJ29" s="17">
        <f t="shared" si="31"/>
        <v>10500000</v>
      </c>
      <c r="AL29" s="8">
        <f t="shared" si="23"/>
        <v>6.9138420343346843E-2</v>
      </c>
    </row>
    <row r="30" spans="1:38" x14ac:dyDescent="0.2">
      <c r="A30" s="2">
        <v>7</v>
      </c>
      <c r="B30" s="7">
        <f t="shared" si="6"/>
        <v>350000</v>
      </c>
      <c r="C30" s="8">
        <f t="shared" si="0"/>
        <v>2.1366296282858783E-3</v>
      </c>
      <c r="D30" s="23">
        <f t="shared" si="7"/>
        <v>0</v>
      </c>
      <c r="E30" s="5">
        <f t="shared" si="8"/>
        <v>0</v>
      </c>
      <c r="F30" s="5">
        <f t="shared" si="9"/>
        <v>0</v>
      </c>
      <c r="G30" s="5">
        <f t="shared" si="1"/>
        <v>747.82036990005736</v>
      </c>
      <c r="H30" s="4">
        <f>SUM(G24:G30)/G45</f>
        <v>0.97334591304031715</v>
      </c>
      <c r="I30" s="4">
        <f t="shared" si="24"/>
        <v>0.64359132899599114</v>
      </c>
      <c r="J30" s="4">
        <f t="shared" si="25"/>
        <v>2.1366296282858799E-2</v>
      </c>
      <c r="K30" s="4">
        <f t="shared" si="10"/>
        <v>1.3751163020407201E-2</v>
      </c>
      <c r="L30" s="27">
        <f t="shared" si="11"/>
        <v>0.42732592565717564</v>
      </c>
      <c r="M30" s="17">
        <f t="shared" si="26"/>
        <v>34067.106956411095</v>
      </c>
      <c r="N30" s="27">
        <f t="shared" si="12"/>
        <v>999</v>
      </c>
      <c r="O30" s="27">
        <f t="shared" si="13"/>
        <v>2.780988322972334</v>
      </c>
      <c r="P30" s="5">
        <f t="shared" si="2"/>
        <v>349252.17963009997</v>
      </c>
      <c r="Q30" s="4">
        <f>SUM(P24:P30)/P44</f>
        <v>0.3468676084771844</v>
      </c>
      <c r="R30" s="5">
        <f t="shared" si="3"/>
        <v>0</v>
      </c>
      <c r="S30" s="5">
        <f t="shared" si="14"/>
        <v>0</v>
      </c>
      <c r="T30" s="4">
        <f>SUM(R24:R30)/$R$44</f>
        <v>1</v>
      </c>
      <c r="U30" s="4">
        <f>SUM(S24:S30)/$S$44</f>
        <v>1</v>
      </c>
      <c r="V30" s="4">
        <f t="shared" si="27"/>
        <v>2</v>
      </c>
      <c r="W30" s="4">
        <f t="shared" si="32"/>
        <v>0</v>
      </c>
      <c r="X30" s="4">
        <f t="shared" si="15"/>
        <v>0</v>
      </c>
      <c r="Z30" s="17">
        <f t="shared" si="16"/>
        <v>598256.29592004593</v>
      </c>
      <c r="AA30" s="17">
        <f t="shared" si="17"/>
        <v>1750000</v>
      </c>
      <c r="AB30" s="2">
        <f t="shared" si="18"/>
        <v>0</v>
      </c>
      <c r="AC30" s="2">
        <f t="shared" si="19"/>
        <v>0</v>
      </c>
      <c r="AD30" s="2">
        <f t="shared" si="20"/>
        <v>0</v>
      </c>
      <c r="AE30" s="17">
        <f t="shared" si="21"/>
        <v>-1151743.704079954</v>
      </c>
      <c r="AF30" s="17">
        <f t="shared" si="28"/>
        <v>15003685.565128876</v>
      </c>
      <c r="AG30" s="5">
        <f t="shared" si="29"/>
        <v>2450000</v>
      </c>
      <c r="AH30" s="4">
        <f t="shared" si="22"/>
        <v>0.35</v>
      </c>
      <c r="AI30" s="17">
        <f t="shared" si="30"/>
        <v>27253685.565128874</v>
      </c>
      <c r="AJ30" s="17">
        <f t="shared" si="31"/>
        <v>12250000</v>
      </c>
      <c r="AL30" s="8">
        <f t="shared" si="23"/>
        <v>3.9165722796764356E-2</v>
      </c>
    </row>
    <row r="31" spans="1:38" x14ac:dyDescent="0.2">
      <c r="A31" s="2">
        <v>8</v>
      </c>
      <c r="B31" s="7">
        <f t="shared" si="6"/>
        <v>350000</v>
      </c>
      <c r="C31" s="8">
        <f t="shared" si="0"/>
        <v>1.1937012379240311E-3</v>
      </c>
      <c r="D31" s="23">
        <f t="shared" si="7"/>
        <v>0</v>
      </c>
      <c r="E31" s="5">
        <f t="shared" si="8"/>
        <v>0</v>
      </c>
      <c r="F31" s="5">
        <f t="shared" si="9"/>
        <v>0</v>
      </c>
      <c r="G31" s="5">
        <f t="shared" si="1"/>
        <v>417.79543327341088</v>
      </c>
      <c r="H31" s="4">
        <f>SUM(G24:G31)/G45</f>
        <v>0.98528292541955742</v>
      </c>
      <c r="I31" s="4">
        <f t="shared" si="24"/>
        <v>0.74392648824894536</v>
      </c>
      <c r="J31" s="4">
        <f t="shared" si="25"/>
        <v>1.1937012379240275E-2</v>
      </c>
      <c r="K31" s="4">
        <f t="shared" si="10"/>
        <v>8.8802596994724051E-3</v>
      </c>
      <c r="L31" s="27">
        <f t="shared" si="11"/>
        <v>0.23874024758480622</v>
      </c>
      <c r="M31" s="17">
        <f t="shared" si="26"/>
        <v>34484.902389684503</v>
      </c>
      <c r="N31" s="27">
        <f t="shared" si="12"/>
        <v>999</v>
      </c>
      <c r="O31" s="27">
        <f t="shared" si="13"/>
        <v>2.4632073135488928</v>
      </c>
      <c r="P31" s="5">
        <f t="shared" si="2"/>
        <v>349582.20456672658</v>
      </c>
      <c r="Q31" s="4">
        <f>SUM(P24:P31)/P44</f>
        <v>0.39705887977176102</v>
      </c>
      <c r="R31" s="5">
        <f t="shared" si="3"/>
        <v>0</v>
      </c>
      <c r="S31" s="5">
        <f t="shared" si="14"/>
        <v>0</v>
      </c>
      <c r="T31" s="4">
        <f>SUM(R24:R31)/$R$44</f>
        <v>1</v>
      </c>
      <c r="U31" s="4">
        <f>SUM(S24:S31)/$S$44</f>
        <v>1</v>
      </c>
      <c r="V31" s="4">
        <f t="shared" si="27"/>
        <v>2</v>
      </c>
      <c r="W31" s="4">
        <f t="shared" si="32"/>
        <v>0</v>
      </c>
      <c r="X31" s="4">
        <f t="shared" si="15"/>
        <v>0</v>
      </c>
      <c r="Z31" s="17">
        <f t="shared" si="16"/>
        <v>334236.34661872871</v>
      </c>
      <c r="AA31" s="17">
        <f t="shared" si="17"/>
        <v>1750000</v>
      </c>
      <c r="AB31" s="2">
        <f t="shared" si="18"/>
        <v>0</v>
      </c>
      <c r="AC31" s="2">
        <f t="shared" si="19"/>
        <v>0</v>
      </c>
      <c r="AD31" s="2">
        <f t="shared" si="20"/>
        <v>0</v>
      </c>
      <c r="AE31" s="17">
        <f t="shared" si="21"/>
        <v>-1415763.6533812713</v>
      </c>
      <c r="AF31" s="17">
        <f t="shared" si="28"/>
        <v>13587921.911747605</v>
      </c>
      <c r="AG31" s="5">
        <f t="shared" si="29"/>
        <v>2800000</v>
      </c>
      <c r="AH31" s="4">
        <f t="shared" si="22"/>
        <v>0.4</v>
      </c>
      <c r="AI31" s="17">
        <f t="shared" si="30"/>
        <v>27587921.911747605</v>
      </c>
      <c r="AJ31" s="17">
        <f t="shared" si="31"/>
        <v>14000000</v>
      </c>
      <c r="AL31" s="8">
        <f t="shared" si="23"/>
        <v>2.1881270936130476E-2</v>
      </c>
    </row>
    <row r="32" spans="1:38" x14ac:dyDescent="0.2">
      <c r="A32" s="2">
        <v>9</v>
      </c>
      <c r="B32" s="7">
        <f t="shared" si="6"/>
        <v>350000</v>
      </c>
      <c r="C32" s="8">
        <f t="shared" si="0"/>
        <v>6.6164931173643988E-4</v>
      </c>
      <c r="D32" s="23">
        <f t="shared" si="7"/>
        <v>0</v>
      </c>
      <c r="E32" s="5">
        <f t="shared" si="8"/>
        <v>0</v>
      </c>
      <c r="F32" s="5">
        <f t="shared" si="9"/>
        <v>0</v>
      </c>
      <c r="G32" s="5">
        <f t="shared" si="1"/>
        <v>231.57725910775395</v>
      </c>
      <c r="H32" s="4">
        <f>SUM(G24:G32)/G45</f>
        <v>0.99189941853692187</v>
      </c>
      <c r="I32" s="4">
        <f t="shared" si="24"/>
        <v>0.84433576711579672</v>
      </c>
      <c r="J32" s="4">
        <f t="shared" si="25"/>
        <v>6.6164931173644526E-3</v>
      </c>
      <c r="K32" s="4">
        <f t="shared" si="10"/>
        <v>5.5865417918663039E-3</v>
      </c>
      <c r="L32" s="27">
        <f t="shared" si="11"/>
        <v>0.13232986234728797</v>
      </c>
      <c r="M32" s="17">
        <f t="shared" si="26"/>
        <v>34716.479648792258</v>
      </c>
      <c r="N32" s="27">
        <f t="shared" si="12"/>
        <v>999</v>
      </c>
      <c r="O32" s="27">
        <f t="shared" si="13"/>
        <v>2.2042209300820481</v>
      </c>
      <c r="P32" s="5">
        <f t="shared" si="2"/>
        <v>349768.42274089227</v>
      </c>
      <c r="Q32" s="4">
        <f>SUM(P24:P32)/P44</f>
        <v>0.44727688734403565</v>
      </c>
      <c r="R32" s="5">
        <f t="shared" si="3"/>
        <v>0</v>
      </c>
      <c r="S32" s="5">
        <f t="shared" si="14"/>
        <v>0</v>
      </c>
      <c r="T32" s="4">
        <f>SUM(R24:R32)/$R$44</f>
        <v>1</v>
      </c>
      <c r="U32" s="4">
        <f>SUM(S24:S32)/$S$44</f>
        <v>1</v>
      </c>
      <c r="V32" s="4">
        <f t="shared" si="27"/>
        <v>2</v>
      </c>
      <c r="W32" s="4">
        <f t="shared" si="32"/>
        <v>0</v>
      </c>
      <c r="X32" s="4">
        <f t="shared" si="15"/>
        <v>0</v>
      </c>
      <c r="Z32" s="17">
        <f t="shared" si="16"/>
        <v>185261.80728620317</v>
      </c>
      <c r="AA32" s="17">
        <f t="shared" si="17"/>
        <v>1750000</v>
      </c>
      <c r="AB32" s="2">
        <f t="shared" si="18"/>
        <v>0</v>
      </c>
      <c r="AC32" s="2">
        <f t="shared" si="19"/>
        <v>0</v>
      </c>
      <c r="AD32" s="2">
        <f t="shared" si="20"/>
        <v>0</v>
      </c>
      <c r="AE32" s="17">
        <f t="shared" si="21"/>
        <v>-1564738.1927137969</v>
      </c>
      <c r="AF32" s="17">
        <f t="shared" si="28"/>
        <v>12023183.719033808</v>
      </c>
      <c r="AG32" s="5">
        <f t="shared" si="29"/>
        <v>3150000</v>
      </c>
      <c r="AH32" s="4">
        <f t="shared" si="22"/>
        <v>0.45</v>
      </c>
      <c r="AI32" s="17">
        <f t="shared" si="30"/>
        <v>27773183.719033808</v>
      </c>
      <c r="AJ32" s="17">
        <f t="shared" si="31"/>
        <v>15750000</v>
      </c>
      <c r="AL32" s="8">
        <f t="shared" si="23"/>
        <v>1.2128434984274248E-2</v>
      </c>
    </row>
    <row r="33" spans="1:38" x14ac:dyDescent="0.2">
      <c r="A33" s="2">
        <v>10</v>
      </c>
      <c r="B33" s="7">
        <f t="shared" si="6"/>
        <v>350000</v>
      </c>
      <c r="C33" s="8">
        <f t="shared" si="0"/>
        <v>3.6511884784388413E-4</v>
      </c>
      <c r="D33" s="23">
        <f t="shared" si="7"/>
        <v>0</v>
      </c>
      <c r="E33" s="5">
        <f>B33*C33*D33</f>
        <v>0</v>
      </c>
      <c r="F33" s="5">
        <f t="shared" si="9"/>
        <v>0</v>
      </c>
      <c r="G33" s="5">
        <f t="shared" si="1"/>
        <v>127.79159674535944</v>
      </c>
      <c r="H33" s="4">
        <f>SUM(G24:G33)/G45</f>
        <v>0.99555060701536069</v>
      </c>
      <c r="I33" s="4">
        <f t="shared" si="24"/>
        <v>0.94478668328868221</v>
      </c>
      <c r="J33" s="4">
        <f t="shared" si="25"/>
        <v>3.651188478438816E-3</v>
      </c>
      <c r="K33" s="4">
        <f t="shared" si="10"/>
        <v>3.4495942526060592E-3</v>
      </c>
      <c r="L33" s="27">
        <f t="shared" si="11"/>
        <v>7.302376956877682E-2</v>
      </c>
      <c r="M33" s="17">
        <f t="shared" si="26"/>
        <v>34844.271245537617</v>
      </c>
      <c r="N33" s="27">
        <f t="shared" si="12"/>
        <v>999</v>
      </c>
      <c r="O33" s="27">
        <f t="shared" si="13"/>
        <v>1.9911012140307209</v>
      </c>
      <c r="P33" s="5">
        <f t="shared" si="2"/>
        <v>349872.20840325463</v>
      </c>
      <c r="Q33" s="4">
        <f>SUM(P24:P33)/P44</f>
        <v>0.49750979594464656</v>
      </c>
      <c r="R33" s="5">
        <f t="shared" si="3"/>
        <v>0</v>
      </c>
      <c r="S33" s="5">
        <f t="shared" si="14"/>
        <v>0</v>
      </c>
      <c r="T33" s="4">
        <f>SUM(R24:R33)/$R$44</f>
        <v>1</v>
      </c>
      <c r="U33" s="4">
        <f>SUM(S24:S33)/$S$44</f>
        <v>1</v>
      </c>
      <c r="V33" s="4">
        <f t="shared" si="27"/>
        <v>2</v>
      </c>
      <c r="W33" s="4">
        <f t="shared" si="32"/>
        <v>0</v>
      </c>
      <c r="X33" s="4">
        <f t="shared" si="15"/>
        <v>0</v>
      </c>
      <c r="Z33" s="17">
        <f t="shared" si="16"/>
        <v>102233.27739628755</v>
      </c>
      <c r="AA33" s="17">
        <f t="shared" si="17"/>
        <v>1750000</v>
      </c>
      <c r="AB33" s="2">
        <f t="shared" si="18"/>
        <v>0</v>
      </c>
      <c r="AC33" s="2">
        <f t="shared" si="19"/>
        <v>0</v>
      </c>
      <c r="AD33" s="2">
        <f t="shared" si="20"/>
        <v>0</v>
      </c>
      <c r="AE33" s="17">
        <f t="shared" si="21"/>
        <v>-1647766.7226037125</v>
      </c>
      <c r="AF33" s="17">
        <f t="shared" si="28"/>
        <v>10375416.996430095</v>
      </c>
      <c r="AG33" s="5">
        <f t="shared" si="29"/>
        <v>3500000</v>
      </c>
      <c r="AH33" s="4">
        <f t="shared" si="22"/>
        <v>0.5</v>
      </c>
      <c r="AI33" s="17">
        <f t="shared" si="30"/>
        <v>27875416.996430095</v>
      </c>
      <c r="AJ33" s="17">
        <f t="shared" si="31"/>
        <v>17500000</v>
      </c>
      <c r="AL33" s="8">
        <f t="shared" si="23"/>
        <v>6.6928509242848554E-3</v>
      </c>
    </row>
    <row r="34" spans="1:38" x14ac:dyDescent="0.2">
      <c r="A34" s="2">
        <v>11</v>
      </c>
      <c r="B34" s="7">
        <f t="shared" si="6"/>
        <v>350000</v>
      </c>
      <c r="C34" s="8">
        <f t="shared" si="0"/>
        <v>2.0098840426604472E-4</v>
      </c>
      <c r="D34" s="23">
        <f t="shared" si="7"/>
        <v>0</v>
      </c>
      <c r="E34" s="5">
        <f t="shared" si="8"/>
        <v>0</v>
      </c>
      <c r="F34" s="5">
        <f t="shared" si="9"/>
        <v>0</v>
      </c>
      <c r="G34" s="5">
        <f t="shared" si="1"/>
        <v>70.345941493115646</v>
      </c>
      <c r="H34" s="4">
        <f>SUM(G24:G34)/G45</f>
        <v>0.99756049105802103</v>
      </c>
      <c r="I34" s="4">
        <f t="shared" si="24"/>
        <v>1.0452607482508878</v>
      </c>
      <c r="J34" s="4">
        <f t="shared" si="25"/>
        <v>2.009884042660337E-3</v>
      </c>
      <c r="K34" s="4">
        <f t="shared" si="10"/>
        <v>2.100852898328663E-3</v>
      </c>
      <c r="L34" s="27">
        <f t="shared" si="11"/>
        <v>4.0197680853208941E-2</v>
      </c>
      <c r="M34" s="17">
        <f t="shared" si="26"/>
        <v>34914.61718703073</v>
      </c>
      <c r="N34" s="27">
        <f t="shared" si="12"/>
        <v>999</v>
      </c>
      <c r="O34" s="27">
        <f t="shared" si="13"/>
        <v>1.8137463473782196</v>
      </c>
      <c r="P34" s="5">
        <f t="shared" si="2"/>
        <v>349929.65405850689</v>
      </c>
      <c r="Q34" s="4">
        <f>SUM(P24:P34)/P44</f>
        <v>0.54775095230624116</v>
      </c>
      <c r="R34" s="5">
        <f t="shared" si="3"/>
        <v>0</v>
      </c>
      <c r="S34" s="5">
        <f t="shared" si="14"/>
        <v>0</v>
      </c>
      <c r="T34" s="4">
        <f>SUM(R24:R34)/$R$44</f>
        <v>1</v>
      </c>
      <c r="U34" s="4">
        <f>SUM(S24:S34)/$S$44</f>
        <v>1</v>
      </c>
      <c r="V34" s="4">
        <f t="shared" si="27"/>
        <v>2</v>
      </c>
      <c r="W34" s="4">
        <f t="shared" si="32"/>
        <v>0</v>
      </c>
      <c r="X34" s="4">
        <f t="shared" si="15"/>
        <v>0</v>
      </c>
      <c r="Z34" s="17">
        <f t="shared" si="16"/>
        <v>56276.753194492514</v>
      </c>
      <c r="AA34" s="17">
        <f t="shared" si="17"/>
        <v>1750000</v>
      </c>
      <c r="AB34" s="2">
        <f t="shared" si="18"/>
        <v>0</v>
      </c>
      <c r="AC34" s="2">
        <f t="shared" si="19"/>
        <v>0</v>
      </c>
      <c r="AD34" s="2">
        <f t="shared" si="20"/>
        <v>0</v>
      </c>
      <c r="AE34" s="17">
        <f t="shared" si="21"/>
        <v>-1693723.2468055075</v>
      </c>
      <c r="AF34" s="17">
        <f t="shared" si="28"/>
        <v>8681693.7496245876</v>
      </c>
      <c r="AG34" s="5">
        <f t="shared" si="29"/>
        <v>3850000</v>
      </c>
      <c r="AH34" s="4">
        <f t="shared" si="22"/>
        <v>0.55000000000000004</v>
      </c>
      <c r="AI34" s="17">
        <f t="shared" si="30"/>
        <v>27931693.749624588</v>
      </c>
      <c r="AJ34" s="17">
        <f t="shared" si="31"/>
        <v>19250000</v>
      </c>
      <c r="AL34" s="8">
        <f t="shared" si="23"/>
        <v>3.684239899435989E-3</v>
      </c>
    </row>
    <row r="35" spans="1:38" x14ac:dyDescent="0.2">
      <c r="A35" s="2">
        <v>12</v>
      </c>
      <c r="B35" s="7">
        <f t="shared" si="6"/>
        <v>350000</v>
      </c>
      <c r="C35" s="8">
        <f t="shared" si="0"/>
        <v>1.1048843838451935E-4</v>
      </c>
      <c r="D35" s="23">
        <f t="shared" si="7"/>
        <v>0</v>
      </c>
      <c r="E35" s="5">
        <f t="shared" si="8"/>
        <v>0</v>
      </c>
      <c r="F35" s="5">
        <f t="shared" si="9"/>
        <v>0</v>
      </c>
      <c r="G35" s="5">
        <f t="shared" si="1"/>
        <v>38.670953434581769</v>
      </c>
      <c r="H35" s="4">
        <f>SUM(G24:G35)/G45</f>
        <v>0.99866537544186618</v>
      </c>
      <c r="I35" s="4">
        <f t="shared" si="24"/>
        <v>1.1457476087110559</v>
      </c>
      <c r="J35" s="4">
        <f t="shared" si="25"/>
        <v>1.1048843838451505E-3</v>
      </c>
      <c r="K35" s="4">
        <f t="shared" si="10"/>
        <v>1.2659186406927697E-3</v>
      </c>
      <c r="L35" s="27">
        <f t="shared" si="11"/>
        <v>2.2097687676903871E-2</v>
      </c>
      <c r="M35" s="17">
        <f t="shared" si="26"/>
        <v>34953.288140465309</v>
      </c>
      <c r="N35" s="27">
        <f t="shared" si="12"/>
        <v>999</v>
      </c>
      <c r="O35" s="27">
        <f t="shared" si="13"/>
        <v>1.6644422924031099</v>
      </c>
      <c r="P35" s="5">
        <f t="shared" si="2"/>
        <v>349961.3290465654</v>
      </c>
      <c r="Q35" s="4">
        <f>SUM(P24:P35)/P44</f>
        <v>0.59799665640481481</v>
      </c>
      <c r="R35" s="5">
        <f t="shared" si="3"/>
        <v>0</v>
      </c>
      <c r="S35" s="5">
        <f t="shared" si="14"/>
        <v>0</v>
      </c>
      <c r="T35" s="4">
        <f>SUM(R24:R35)/$R$44</f>
        <v>1</v>
      </c>
      <c r="U35" s="4">
        <f>SUM(S24:S35)/$S$44</f>
        <v>1</v>
      </c>
      <c r="V35" s="4">
        <f t="shared" si="27"/>
        <v>2</v>
      </c>
      <c r="W35" s="4">
        <f t="shared" si="32"/>
        <v>0</v>
      </c>
      <c r="X35" s="4">
        <f t="shared" si="15"/>
        <v>0</v>
      </c>
      <c r="Z35" s="17">
        <f t="shared" si="16"/>
        <v>30936.762747665416</v>
      </c>
      <c r="AA35" s="17">
        <f t="shared" si="17"/>
        <v>1750000</v>
      </c>
      <c r="AB35" s="2">
        <f t="shared" si="18"/>
        <v>0</v>
      </c>
      <c r="AC35" s="2">
        <f t="shared" si="19"/>
        <v>0</v>
      </c>
      <c r="AD35" s="2">
        <f t="shared" si="20"/>
        <v>0</v>
      </c>
      <c r="AE35" s="17">
        <f t="shared" si="21"/>
        <v>-1719063.2372523346</v>
      </c>
      <c r="AF35" s="17">
        <f t="shared" si="28"/>
        <v>6962630.5123722535</v>
      </c>
      <c r="AG35" s="5">
        <f t="shared" si="29"/>
        <v>4200000</v>
      </c>
      <c r="AH35" s="4">
        <f t="shared" si="22"/>
        <v>0.6</v>
      </c>
      <c r="AI35" s="17">
        <f t="shared" si="30"/>
        <v>27962630.512372252</v>
      </c>
      <c r="AJ35" s="17">
        <f t="shared" si="31"/>
        <v>21000000</v>
      </c>
      <c r="AL35" s="8">
        <f t="shared" si="23"/>
        <v>2.0253203890498836E-3</v>
      </c>
    </row>
    <row r="36" spans="1:38" x14ac:dyDescent="0.2">
      <c r="A36" s="2">
        <v>13</v>
      </c>
      <c r="B36" s="7">
        <f t="shared" si="6"/>
        <v>350000</v>
      </c>
      <c r="C36" s="8">
        <f t="shared" si="0"/>
        <v>6.0692801781801279E-5</v>
      </c>
      <c r="D36" s="23">
        <f t="shared" si="7"/>
        <v>0</v>
      </c>
      <c r="E36" s="5">
        <f t="shared" si="8"/>
        <v>0</v>
      </c>
      <c r="F36" s="5">
        <f t="shared" si="9"/>
        <v>0</v>
      </c>
      <c r="G36" s="5">
        <f t="shared" si="1"/>
        <v>21.242480623630449</v>
      </c>
      <c r="H36" s="4">
        <f>SUM(G24:G36)/G45</f>
        <v>0.99927230345968421</v>
      </c>
      <c r="I36" s="4">
        <f t="shared" si="24"/>
        <v>1.2462415192014999</v>
      </c>
      <c r="J36" s="4">
        <f t="shared" si="25"/>
        <v>6.0692801781803141E-4</v>
      </c>
      <c r="K36" s="4">
        <f t="shared" si="10"/>
        <v>7.5637889497149854E-4</v>
      </c>
      <c r="L36" s="27">
        <f t="shared" si="11"/>
        <v>1.2138560356360255E-2</v>
      </c>
      <c r="M36" s="17">
        <f t="shared" si="26"/>
        <v>34974.530621088939</v>
      </c>
      <c r="N36" s="27">
        <f t="shared" si="12"/>
        <v>999</v>
      </c>
      <c r="O36" s="27">
        <f t="shared" si="13"/>
        <v>1.5373420053225906</v>
      </c>
      <c r="P36" s="5">
        <f t="shared" si="2"/>
        <v>349978.75751937635</v>
      </c>
      <c r="Q36" s="4">
        <f>SUM(P24:P36)/P44</f>
        <v>0.64824486279668503</v>
      </c>
      <c r="R36" s="5">
        <f t="shared" si="3"/>
        <v>0</v>
      </c>
      <c r="S36" s="5">
        <f t="shared" si="14"/>
        <v>0</v>
      </c>
      <c r="T36" s="4">
        <f>SUM(R24:R36)/$R$44</f>
        <v>1</v>
      </c>
      <c r="U36" s="4">
        <f>SUM(S24:S36)/$S$44</f>
        <v>1</v>
      </c>
      <c r="V36" s="4">
        <f t="shared" si="27"/>
        <v>2</v>
      </c>
      <c r="W36" s="4">
        <f t="shared" si="32"/>
        <v>0</v>
      </c>
      <c r="X36" s="4">
        <f t="shared" si="15"/>
        <v>0</v>
      </c>
      <c r="Z36" s="17">
        <f t="shared" si="16"/>
        <v>16993.984498904359</v>
      </c>
      <c r="AA36" s="17">
        <f t="shared" si="17"/>
        <v>1750000</v>
      </c>
      <c r="AB36" s="2">
        <f t="shared" si="18"/>
        <v>0</v>
      </c>
      <c r="AC36" s="2">
        <f t="shared" si="19"/>
        <v>0</v>
      </c>
      <c r="AD36" s="2">
        <f t="shared" si="20"/>
        <v>0</v>
      </c>
      <c r="AE36" s="17">
        <f t="shared" si="21"/>
        <v>-1733006.0155010957</v>
      </c>
      <c r="AF36" s="17">
        <f t="shared" si="28"/>
        <v>5229624.4968711575</v>
      </c>
      <c r="AG36" s="5">
        <f t="shared" si="29"/>
        <v>4550000</v>
      </c>
      <c r="AH36" s="4">
        <f t="shared" si="22"/>
        <v>0.65</v>
      </c>
      <c r="AI36" s="17">
        <f t="shared" si="30"/>
        <v>27979624.496871155</v>
      </c>
      <c r="AJ36" s="17">
        <f t="shared" si="31"/>
        <v>22750000</v>
      </c>
      <c r="AL36" s="8">
        <f t="shared" si="23"/>
        <v>1.1125360328603216E-3</v>
      </c>
    </row>
    <row r="37" spans="1:38" x14ac:dyDescent="0.2">
      <c r="A37" s="2">
        <v>14</v>
      </c>
      <c r="B37" s="7">
        <f t="shared" si="6"/>
        <v>350000</v>
      </c>
      <c r="C37" s="8">
        <f t="shared" si="0"/>
        <v>3.3325644095700688E-5</v>
      </c>
      <c r="D37" s="23">
        <f t="shared" si="7"/>
        <v>0</v>
      </c>
      <c r="E37" s="5">
        <f t="shared" si="8"/>
        <v>0</v>
      </c>
      <c r="F37" s="5">
        <f t="shared" si="9"/>
        <v>0</v>
      </c>
      <c r="G37" s="5">
        <f t="shared" si="1"/>
        <v>11.66397543349524</v>
      </c>
      <c r="H37" s="4">
        <f>SUM(G24:G37)/G45</f>
        <v>0.99960555990064126</v>
      </c>
      <c r="I37" s="4">
        <f t="shared" si="24"/>
        <v>1.3467393072192948</v>
      </c>
      <c r="J37" s="4">
        <f t="shared" si="25"/>
        <v>3.3325644095705265E-4</v>
      </c>
      <c r="K37" s="4">
        <f t="shared" si="10"/>
        <v>4.4880954842086888E-4</v>
      </c>
      <c r="L37" s="27">
        <f t="shared" si="11"/>
        <v>6.6651288191401379E-3</v>
      </c>
      <c r="M37" s="17">
        <f t="shared" si="26"/>
        <v>34986.194596522437</v>
      </c>
      <c r="N37" s="27">
        <f t="shared" si="12"/>
        <v>999</v>
      </c>
      <c r="O37" s="27">
        <f t="shared" si="13"/>
        <v>1.4280079427152015</v>
      </c>
      <c r="P37" s="5">
        <f t="shared" si="2"/>
        <v>349988.3360245665</v>
      </c>
      <c r="Q37" s="4">
        <f>SUM(P24:P37)/P44</f>
        <v>0.69849444442260988</v>
      </c>
      <c r="R37" s="5">
        <f t="shared" si="3"/>
        <v>0</v>
      </c>
      <c r="S37" s="5">
        <f t="shared" si="14"/>
        <v>0</v>
      </c>
      <c r="T37" s="4">
        <f>SUM(R24:R37)/$R$44</f>
        <v>1</v>
      </c>
      <c r="U37" s="4">
        <f>SUM(S24:S37)/$S$44</f>
        <v>1</v>
      </c>
      <c r="V37" s="4">
        <f t="shared" si="27"/>
        <v>2</v>
      </c>
      <c r="W37" s="4">
        <f t="shared" si="32"/>
        <v>0</v>
      </c>
      <c r="X37" s="4">
        <f t="shared" si="15"/>
        <v>0</v>
      </c>
      <c r="Z37" s="17">
        <f t="shared" si="16"/>
        <v>9331.1803467961927</v>
      </c>
      <c r="AA37" s="17">
        <f t="shared" si="17"/>
        <v>1750000</v>
      </c>
      <c r="AB37" s="2">
        <f t="shared" si="18"/>
        <v>0</v>
      </c>
      <c r="AC37" s="2">
        <f t="shared" si="19"/>
        <v>0</v>
      </c>
      <c r="AD37" s="2">
        <f t="shared" si="20"/>
        <v>0</v>
      </c>
      <c r="AE37" s="17">
        <f t="shared" si="21"/>
        <v>-1740668.8196532037</v>
      </c>
      <c r="AF37" s="17">
        <f t="shared" si="28"/>
        <v>3488955.6772179538</v>
      </c>
      <c r="AG37" s="5">
        <f t="shared" si="29"/>
        <v>4900000</v>
      </c>
      <c r="AH37" s="4">
        <f t="shared" si="22"/>
        <v>0.7</v>
      </c>
      <c r="AI37" s="17">
        <f t="shared" si="30"/>
        <v>27988955.677217949</v>
      </c>
      <c r="AJ37" s="17">
        <f t="shared" si="31"/>
        <v>24500000</v>
      </c>
      <c r="AL37" s="8">
        <f t="shared" si="23"/>
        <v>6.1087935943440102E-4</v>
      </c>
    </row>
    <row r="38" spans="1:38" x14ac:dyDescent="0.2">
      <c r="A38" s="2">
        <v>15</v>
      </c>
      <c r="B38" s="7">
        <f t="shared" si="6"/>
        <v>350000</v>
      </c>
      <c r="C38" s="8">
        <f t="shared" si="0"/>
        <v>1.8294543632510381E-5</v>
      </c>
      <c r="D38" s="23">
        <f t="shared" si="7"/>
        <v>0</v>
      </c>
      <c r="E38" s="5">
        <f t="shared" si="8"/>
        <v>0</v>
      </c>
      <c r="F38" s="5">
        <f t="shared" si="9"/>
        <v>0</v>
      </c>
      <c r="G38" s="5">
        <f t="shared" si="1"/>
        <v>6.4030902713786331</v>
      </c>
      <c r="H38" s="4">
        <f>SUM(G24:G38)/G45</f>
        <v>0.99978850533696639</v>
      </c>
      <c r="I38" s="4">
        <f t="shared" si="24"/>
        <v>1.4472392258028264</v>
      </c>
      <c r="J38" s="4">
        <f t="shared" si="25"/>
        <v>1.829454363251326E-4</v>
      </c>
      <c r="K38" s="4">
        <f t="shared" si="10"/>
        <v>2.6476581163134517E-4</v>
      </c>
      <c r="L38" s="27">
        <f t="shared" si="11"/>
        <v>3.6589087265020762E-3</v>
      </c>
      <c r="M38" s="17">
        <f t="shared" si="26"/>
        <v>34992.597686793815</v>
      </c>
      <c r="N38" s="27">
        <f t="shared" si="12"/>
        <v>999</v>
      </c>
      <c r="O38" s="27">
        <f t="shared" si="13"/>
        <v>1.3330513404492883</v>
      </c>
      <c r="P38" s="5">
        <f t="shared" si="2"/>
        <v>349993.5969097286</v>
      </c>
      <c r="Q38" s="4">
        <f>SUM(P24:P38)/P44</f>
        <v>0.74874478138021638</v>
      </c>
      <c r="R38" s="5">
        <f t="shared" si="3"/>
        <v>0</v>
      </c>
      <c r="S38" s="5">
        <f t="shared" si="14"/>
        <v>0</v>
      </c>
      <c r="T38" s="4">
        <f>SUM(R24:R38)/$R$44</f>
        <v>1</v>
      </c>
      <c r="U38" s="4">
        <f>SUM(S24:S38)/$S$44</f>
        <v>1</v>
      </c>
      <c r="V38" s="4">
        <f t="shared" si="27"/>
        <v>2</v>
      </c>
      <c r="W38" s="4">
        <f t="shared" si="32"/>
        <v>0</v>
      </c>
      <c r="X38" s="4">
        <f t="shared" si="15"/>
        <v>0</v>
      </c>
      <c r="Z38" s="17">
        <f t="shared" si="16"/>
        <v>5122.4722171029061</v>
      </c>
      <c r="AA38" s="17">
        <f t="shared" si="17"/>
        <v>1750000</v>
      </c>
      <c r="AB38" s="2">
        <f t="shared" si="18"/>
        <v>0</v>
      </c>
      <c r="AC38" s="2">
        <f t="shared" si="19"/>
        <v>0</v>
      </c>
      <c r="AD38" s="2">
        <f t="shared" si="20"/>
        <v>0</v>
      </c>
      <c r="AE38" s="17">
        <f t="shared" si="21"/>
        <v>-1744877.527782897</v>
      </c>
      <c r="AF38" s="17">
        <f t="shared" si="28"/>
        <v>1744078.1494350568</v>
      </c>
      <c r="AG38" s="5">
        <f t="shared" si="29"/>
        <v>5250000</v>
      </c>
      <c r="AH38" s="4">
        <f t="shared" si="22"/>
        <v>0.75</v>
      </c>
      <c r="AI38" s="17">
        <f t="shared" si="30"/>
        <v>27994078.149435051</v>
      </c>
      <c r="AJ38" s="17">
        <f t="shared" si="31"/>
        <v>26250000</v>
      </c>
      <c r="AL38" s="8">
        <f t="shared" si="23"/>
        <v>3.3535013046647811E-4</v>
      </c>
    </row>
    <row r="39" spans="1:38" x14ac:dyDescent="0.2">
      <c r="A39" s="2">
        <v>16</v>
      </c>
      <c r="B39" s="7">
        <f t="shared" si="6"/>
        <v>350000</v>
      </c>
      <c r="C39" s="8">
        <f t="shared" si="0"/>
        <v>1.0041777804554287E-5</v>
      </c>
      <c r="D39" s="23">
        <f t="shared" si="7"/>
        <v>0</v>
      </c>
      <c r="E39" s="5">
        <f t="shared" si="8"/>
        <v>0</v>
      </c>
      <c r="F39" s="5">
        <f t="shared" si="9"/>
        <v>0</v>
      </c>
      <c r="G39" s="5">
        <f t="shared" si="1"/>
        <v>3.5146222315940006</v>
      </c>
      <c r="H39" s="4">
        <f>SUM(G24:G39)/G45</f>
        <v>0.99988892311501198</v>
      </c>
      <c r="I39" s="4">
        <f t="shared" si="24"/>
        <v>1.5477403144298898</v>
      </c>
      <c r="J39" s="4">
        <f t="shared" si="25"/>
        <v>1.0041777804559171E-4</v>
      </c>
      <c r="K39" s="4">
        <f t="shared" si="10"/>
        <v>1.55420643366635E-4</v>
      </c>
      <c r="L39" s="27">
        <f t="shared" si="11"/>
        <v>2.0083555609108576E-3</v>
      </c>
      <c r="M39" s="17">
        <f t="shared" si="26"/>
        <v>34996.112309025411</v>
      </c>
      <c r="N39" s="27">
        <f t="shared" si="12"/>
        <v>999</v>
      </c>
      <c r="O39" s="27">
        <f t="shared" si="13"/>
        <v>1.2498611538937647</v>
      </c>
      <c r="P39" s="5">
        <f t="shared" si="2"/>
        <v>349996.4853777684</v>
      </c>
      <c r="Q39" s="4">
        <f>SUM(P24:P39)/P44</f>
        <v>0.79899553304967341</v>
      </c>
      <c r="R39" s="5">
        <f t="shared" si="3"/>
        <v>0</v>
      </c>
      <c r="S39" s="5">
        <f t="shared" si="14"/>
        <v>0</v>
      </c>
      <c r="T39" s="4">
        <f>SUM(R24:R39)/$R$44</f>
        <v>1</v>
      </c>
      <c r="U39" s="4">
        <f>SUM(S24:S39)/$S$44</f>
        <v>1</v>
      </c>
      <c r="V39" s="4">
        <f t="shared" si="27"/>
        <v>2</v>
      </c>
      <c r="W39" s="4">
        <f t="shared" si="32"/>
        <v>0</v>
      </c>
      <c r="X39" s="4">
        <f t="shared" si="15"/>
        <v>0</v>
      </c>
      <c r="Z39" s="17">
        <f t="shared" si="16"/>
        <v>2811.6977852752007</v>
      </c>
      <c r="AA39" s="17">
        <f t="shared" si="17"/>
        <v>1750000</v>
      </c>
      <c r="AB39" s="2">
        <f t="shared" si="18"/>
        <v>0</v>
      </c>
      <c r="AC39" s="2">
        <f t="shared" si="19"/>
        <v>0</v>
      </c>
      <c r="AD39" s="2">
        <f t="shared" si="20"/>
        <v>0</v>
      </c>
      <c r="AE39" s="17">
        <f t="shared" si="21"/>
        <v>-1747188.3022147247</v>
      </c>
      <c r="AF39" s="17">
        <f t="shared" si="28"/>
        <v>-3110.1527796678711</v>
      </c>
      <c r="AG39" s="5">
        <f t="shared" si="29"/>
        <v>5600000</v>
      </c>
      <c r="AH39" s="4">
        <f t="shared" si="22"/>
        <v>0.8</v>
      </c>
      <c r="AI39" s="17">
        <f t="shared" si="30"/>
        <v>27996889.847220328</v>
      </c>
      <c r="AJ39" s="17">
        <f t="shared" si="31"/>
        <v>28000000</v>
      </c>
      <c r="AL39" s="8">
        <f t="shared" si="23"/>
        <v>1.84071904963424E-4</v>
      </c>
    </row>
    <row r="40" spans="1:38" x14ac:dyDescent="0.2">
      <c r="A40" s="2">
        <v>17</v>
      </c>
      <c r="B40" s="7">
        <f t="shared" si="6"/>
        <v>350000</v>
      </c>
      <c r="C40" s="8">
        <f t="shared" si="0"/>
        <v>5.5115022425430633E-6</v>
      </c>
      <c r="D40" s="23">
        <f t="shared" si="7"/>
        <v>0</v>
      </c>
      <c r="E40" s="5">
        <f t="shared" si="8"/>
        <v>0</v>
      </c>
      <c r="F40" s="5">
        <f t="shared" si="9"/>
        <v>0</v>
      </c>
      <c r="G40" s="5">
        <f t="shared" si="1"/>
        <v>1.929025784890072</v>
      </c>
      <c r="H40" s="4">
        <f>SUM(G24:G40)/G45</f>
        <v>0.99994403813743749</v>
      </c>
      <c r="I40" s="4">
        <f t="shared" si="24"/>
        <v>1.6482420454208422</v>
      </c>
      <c r="J40" s="4">
        <f t="shared" si="25"/>
        <v>5.5115022425500371E-5</v>
      </c>
      <c r="K40" s="4">
        <f t="shared" si="10"/>
        <v>9.0842897296022324E-5</v>
      </c>
      <c r="L40" s="27">
        <f t="shared" si="11"/>
        <v>1.1023004485086127E-3</v>
      </c>
      <c r="M40" s="17">
        <f t="shared" si="26"/>
        <v>34998.041334810303</v>
      </c>
      <c r="N40" s="27">
        <f t="shared" si="12"/>
        <v>999</v>
      </c>
      <c r="O40" s="27">
        <f t="shared" si="13"/>
        <v>1.176404750749926</v>
      </c>
      <c r="P40" s="5">
        <f t="shared" si="2"/>
        <v>349998.07097421511</v>
      </c>
      <c r="Q40" s="4">
        <f>SUM(P24:P40)/P44</f>
        <v>0.84924651237116877</v>
      </c>
      <c r="R40" s="5">
        <f t="shared" si="3"/>
        <v>0</v>
      </c>
      <c r="S40" s="5">
        <f t="shared" si="14"/>
        <v>0</v>
      </c>
      <c r="T40" s="4">
        <f>SUM(R24:R40)/$R$44</f>
        <v>1</v>
      </c>
      <c r="U40" s="4">
        <f>SUM(S24:S40)/$S$44</f>
        <v>1</v>
      </c>
      <c r="V40" s="4">
        <f t="shared" si="27"/>
        <v>2</v>
      </c>
      <c r="W40" s="4">
        <f t="shared" si="32"/>
        <v>0</v>
      </c>
      <c r="X40" s="4">
        <f t="shared" si="15"/>
        <v>0</v>
      </c>
      <c r="Z40" s="17">
        <f t="shared" si="16"/>
        <v>1543.2206279120576</v>
      </c>
      <c r="AA40" s="17">
        <f t="shared" si="17"/>
        <v>1750000</v>
      </c>
      <c r="AB40" s="2">
        <f t="shared" si="18"/>
        <v>0</v>
      </c>
      <c r="AC40" s="2">
        <f t="shared" si="19"/>
        <v>0</v>
      </c>
      <c r="AD40" s="2">
        <f t="shared" si="20"/>
        <v>0</v>
      </c>
      <c r="AE40" s="17">
        <f t="shared" si="21"/>
        <v>-1748456.7793720879</v>
      </c>
      <c r="AF40" s="17">
        <f t="shared" si="28"/>
        <v>-1751566.9321517558</v>
      </c>
      <c r="AG40" s="5">
        <f t="shared" si="29"/>
        <v>5950000</v>
      </c>
      <c r="AH40" s="4">
        <f t="shared" si="22"/>
        <v>0.85</v>
      </c>
      <c r="AI40" s="17">
        <f t="shared" si="30"/>
        <v>27998433.067848239</v>
      </c>
      <c r="AJ40" s="17">
        <f t="shared" si="31"/>
        <v>29750000</v>
      </c>
      <c r="AL40" s="8">
        <f t="shared" si="23"/>
        <v>1.0102919390777289E-4</v>
      </c>
    </row>
    <row r="41" spans="1:38" x14ac:dyDescent="0.2">
      <c r="A41" s="2">
        <v>18</v>
      </c>
      <c r="B41" s="7">
        <f t="shared" si="6"/>
        <v>350000</v>
      </c>
      <c r="C41" s="8">
        <f t="shared" si="0"/>
        <v>3.0249144483362729E-6</v>
      </c>
      <c r="D41" s="23">
        <f t="shared" si="7"/>
        <v>0</v>
      </c>
      <c r="E41" s="5">
        <f t="shared" si="8"/>
        <v>0</v>
      </c>
      <c r="F41" s="5">
        <f t="shared" si="9"/>
        <v>0</v>
      </c>
      <c r="G41" s="5">
        <f t="shared" si="1"/>
        <v>1.0587200569176956</v>
      </c>
      <c r="H41" s="4">
        <f>SUM(G24:G41)/G45</f>
        <v>0.99997428728192084</v>
      </c>
      <c r="I41" s="4">
        <f t="shared" si="24"/>
        <v>1.7487441290179935</v>
      </c>
      <c r="J41" s="4">
        <f t="shared" si="25"/>
        <v>3.024914448335192E-5</v>
      </c>
      <c r="K41" s="4">
        <f t="shared" si="10"/>
        <v>5.2898013823078696E-5</v>
      </c>
      <c r="L41" s="27">
        <f t="shared" si="11"/>
        <v>6.0498288966725458E-4</v>
      </c>
      <c r="M41" s="17">
        <f t="shared" si="26"/>
        <v>34999.100054867224</v>
      </c>
      <c r="N41" s="27">
        <f t="shared" si="12"/>
        <v>999</v>
      </c>
      <c r="O41" s="27">
        <f t="shared" si="13"/>
        <v>1.1110825414243561</v>
      </c>
      <c r="P41" s="5">
        <f t="shared" si="2"/>
        <v>349998.9412799431</v>
      </c>
      <c r="Q41" s="4">
        <f>SUM(P24:P41)/P44</f>
        <v>0.89949761664682459</v>
      </c>
      <c r="R41" s="5">
        <f t="shared" si="3"/>
        <v>0</v>
      </c>
      <c r="S41" s="5">
        <f t="shared" si="14"/>
        <v>0</v>
      </c>
      <c r="T41" s="4">
        <f>SUM(R24:R41)/$R$44</f>
        <v>1</v>
      </c>
      <c r="U41" s="4">
        <f>SUM(S24:S41)/$S$44</f>
        <v>1</v>
      </c>
      <c r="V41" s="4">
        <f t="shared" si="27"/>
        <v>2</v>
      </c>
      <c r="W41" s="4">
        <f t="shared" si="32"/>
        <v>0</v>
      </c>
      <c r="X41" s="4">
        <f t="shared" si="15"/>
        <v>0</v>
      </c>
      <c r="Z41" s="17">
        <f t="shared" si="16"/>
        <v>846.97604553415647</v>
      </c>
      <c r="AA41" s="17">
        <f t="shared" si="17"/>
        <v>1750000</v>
      </c>
      <c r="AB41" s="2">
        <f t="shared" si="18"/>
        <v>0</v>
      </c>
      <c r="AC41" s="2">
        <f t="shared" si="19"/>
        <v>0</v>
      </c>
      <c r="AD41" s="2">
        <f t="shared" si="20"/>
        <v>0</v>
      </c>
      <c r="AE41" s="17">
        <f t="shared" si="21"/>
        <v>-1749153.0239544658</v>
      </c>
      <c r="AF41" s="17">
        <f t="shared" si="28"/>
        <v>-3500719.9561062213</v>
      </c>
      <c r="AG41" s="5">
        <f t="shared" si="29"/>
        <v>6300000</v>
      </c>
      <c r="AH41" s="4">
        <f t="shared" si="22"/>
        <v>0.9</v>
      </c>
      <c r="AI41" s="17">
        <f t="shared" si="30"/>
        <v>27999280.043893773</v>
      </c>
      <c r="AJ41" s="17">
        <f t="shared" si="31"/>
        <v>31500000</v>
      </c>
      <c r="AL41" s="8">
        <f t="shared" si="23"/>
        <v>5.5448524722795008E-5</v>
      </c>
    </row>
    <row r="42" spans="1:38" x14ac:dyDescent="0.2">
      <c r="A42" s="2">
        <v>19</v>
      </c>
      <c r="B42" s="7">
        <f t="shared" si="6"/>
        <v>350000</v>
      </c>
      <c r="C42" s="8">
        <f t="shared" si="0"/>
        <v>1.6601497806134477E-6</v>
      </c>
      <c r="D42" s="23">
        <f t="shared" si="7"/>
        <v>0</v>
      </c>
      <c r="E42" s="5">
        <f t="shared" si="8"/>
        <v>0</v>
      </c>
      <c r="F42" s="5">
        <f t="shared" si="9"/>
        <v>0</v>
      </c>
      <c r="G42" s="5">
        <f t="shared" si="1"/>
        <v>0.58105242321470674</v>
      </c>
      <c r="H42" s="4">
        <f>SUM(G24:G42)/G45</f>
        <v>0.99999088877972697</v>
      </c>
      <c r="I42" s="4">
        <f t="shared" si="24"/>
        <v>1.8492464061504441</v>
      </c>
      <c r="J42" s="4">
        <f t="shared" si="25"/>
        <v>1.6601497806134624E-5</v>
      </c>
      <c r="K42" s="4">
        <f t="shared" si="10"/>
        <v>3.0700260154708933E-5</v>
      </c>
      <c r="L42" s="27">
        <f t="shared" si="11"/>
        <v>3.320299561226895E-4</v>
      </c>
      <c r="M42" s="17">
        <f t="shared" si="26"/>
        <v>34999.681107290438</v>
      </c>
      <c r="N42" s="27">
        <f t="shared" si="12"/>
        <v>999</v>
      </c>
      <c r="O42" s="27">
        <f t="shared" si="13"/>
        <v>1.0526219881891861</v>
      </c>
      <c r="P42" s="5">
        <f t="shared" si="2"/>
        <v>349999.41894757678</v>
      </c>
      <c r="Q42" s="4">
        <f>SUM(P24:P42)/P44</f>
        <v>0.94974878950361952</v>
      </c>
      <c r="R42" s="5">
        <f t="shared" si="3"/>
        <v>0</v>
      </c>
      <c r="S42" s="5">
        <f t="shared" si="14"/>
        <v>0</v>
      </c>
      <c r="T42" s="4">
        <f>SUM(R24:R42)/$R$44</f>
        <v>1</v>
      </c>
      <c r="U42" s="4">
        <f>SUM(S24:S42)/$S$44</f>
        <v>1</v>
      </c>
      <c r="V42" s="4">
        <f t="shared" si="27"/>
        <v>2</v>
      </c>
      <c r="W42" s="4">
        <f t="shared" si="32"/>
        <v>0</v>
      </c>
      <c r="X42" s="4">
        <f t="shared" si="15"/>
        <v>0</v>
      </c>
      <c r="Z42" s="17">
        <f t="shared" si="16"/>
        <v>464.84193857176541</v>
      </c>
      <c r="AA42" s="17">
        <f t="shared" si="17"/>
        <v>1750000</v>
      </c>
      <c r="AB42" s="2">
        <f t="shared" si="18"/>
        <v>0</v>
      </c>
      <c r="AC42" s="2">
        <f t="shared" si="19"/>
        <v>0</v>
      </c>
      <c r="AD42" s="2">
        <f t="shared" si="20"/>
        <v>0</v>
      </c>
      <c r="AE42" s="17">
        <f t="shared" si="21"/>
        <v>-1749535.1580614282</v>
      </c>
      <c r="AF42" s="17">
        <f t="shared" si="28"/>
        <v>-5250255.1141676493</v>
      </c>
      <c r="AG42" s="5">
        <f t="shared" si="29"/>
        <v>6650000</v>
      </c>
      <c r="AH42" s="4">
        <f t="shared" si="22"/>
        <v>0.95</v>
      </c>
      <c r="AI42" s="17">
        <f t="shared" si="30"/>
        <v>27999744.885832343</v>
      </c>
      <c r="AJ42" s="17">
        <f t="shared" si="31"/>
        <v>33250000</v>
      </c>
      <c r="AL42" s="8">
        <f t="shared" si="23"/>
        <v>3.0431556900565329E-5</v>
      </c>
    </row>
    <row r="43" spans="1:38" x14ac:dyDescent="0.2">
      <c r="A43" s="2">
        <v>20</v>
      </c>
      <c r="B43" s="7">
        <f t="shared" si="6"/>
        <v>350000</v>
      </c>
      <c r="C43" s="8">
        <f t="shared" si="0"/>
        <v>9.1112202729702514E-7</v>
      </c>
      <c r="D43" s="23">
        <f t="shared" si="7"/>
        <v>0</v>
      </c>
      <c r="E43" s="5">
        <f t="shared" si="8"/>
        <v>0</v>
      </c>
      <c r="F43" s="5">
        <f t="shared" si="9"/>
        <v>0</v>
      </c>
      <c r="G43" s="5">
        <f t="shared" si="1"/>
        <v>0.31889270955395882</v>
      </c>
      <c r="H43" s="4">
        <f>SUM(G24:G43)/G45</f>
        <v>1</v>
      </c>
      <c r="I43" s="4">
        <f t="shared" si="24"/>
        <v>1.9497487895036194</v>
      </c>
      <c r="J43" s="4">
        <f t="shared" si="25"/>
        <v>9.1112202730281311E-6</v>
      </c>
      <c r="K43" s="4">
        <f t="shared" si="10"/>
        <v>1.7764590698237436E-5</v>
      </c>
      <c r="L43" s="27">
        <f t="shared" si="11"/>
        <v>1.8222440545940502E-4</v>
      </c>
      <c r="M43" s="17">
        <f t="shared" si="26"/>
        <v>34999.999999999993</v>
      </c>
      <c r="N43" s="27">
        <f t="shared" si="12"/>
        <v>999</v>
      </c>
      <c r="O43" s="27">
        <f t="shared" si="13"/>
        <v>0.99999999999999978</v>
      </c>
      <c r="P43" s="5">
        <f t="shared" si="2"/>
        <v>349999.68110729044</v>
      </c>
      <c r="Q43" s="4">
        <f>SUM(P24:P43)/P44</f>
        <v>1</v>
      </c>
      <c r="R43" s="5">
        <f t="shared" si="3"/>
        <v>0</v>
      </c>
      <c r="S43" s="5">
        <f t="shared" si="14"/>
        <v>0</v>
      </c>
      <c r="T43" s="4">
        <f>SUM(R24:R43)/$R$44</f>
        <v>1</v>
      </c>
      <c r="U43" s="4">
        <f>SUM(S24:S43)/$S$44</f>
        <v>1</v>
      </c>
      <c r="V43" s="4">
        <f t="shared" si="27"/>
        <v>2</v>
      </c>
      <c r="W43" s="4">
        <f t="shared" si="32"/>
        <v>0</v>
      </c>
      <c r="X43" s="4">
        <f t="shared" si="15"/>
        <v>0</v>
      </c>
      <c r="Z43" s="17">
        <f t="shared" si="16"/>
        <v>255.11416764316706</v>
      </c>
      <c r="AA43" s="17">
        <f t="shared" si="17"/>
        <v>1750000</v>
      </c>
      <c r="AB43" s="2">
        <f t="shared" si="18"/>
        <v>0</v>
      </c>
      <c r="AC43" s="2">
        <f t="shared" si="19"/>
        <v>0</v>
      </c>
      <c r="AD43" s="2">
        <f t="shared" si="20"/>
        <v>0</v>
      </c>
      <c r="AE43" s="17">
        <f t="shared" si="21"/>
        <v>-1749744.8858323568</v>
      </c>
      <c r="AF43" s="17">
        <f t="shared" si="28"/>
        <v>-7000000.0000000056</v>
      </c>
      <c r="AG43" s="5">
        <f t="shared" si="29"/>
        <v>7000000</v>
      </c>
      <c r="AH43" s="4">
        <f t="shared" si="22"/>
        <v>1</v>
      </c>
      <c r="AI43" s="17">
        <f t="shared" si="30"/>
        <v>27999999.999999985</v>
      </c>
      <c r="AJ43" s="17">
        <f t="shared" si="31"/>
        <v>35000000</v>
      </c>
      <c r="AL43" s="8">
        <f t="shared" si="23"/>
        <v>1.6701421848095181E-5</v>
      </c>
    </row>
    <row r="44" spans="1:38" ht="26.25" thickBot="1" x14ac:dyDescent="0.25">
      <c r="B44" s="2">
        <f>SUM(B24:B43)</f>
        <v>7000000</v>
      </c>
      <c r="C44" s="8">
        <f t="shared" si="0"/>
        <v>5.0000000000000001E-3</v>
      </c>
      <c r="E44" s="5">
        <f>SUM(E24:E43)</f>
        <v>31999.175137431928</v>
      </c>
      <c r="F44" s="5">
        <f>SUM(F24:F43)</f>
        <v>1750000</v>
      </c>
      <c r="G44" s="5">
        <f>SUM(G24:G43)</f>
        <v>34999.999999999993</v>
      </c>
      <c r="H44" s="4"/>
      <c r="I44" s="4"/>
      <c r="J44" s="40" t="s">
        <v>55</v>
      </c>
      <c r="K44" s="4">
        <f>SUM(K24:K43)</f>
        <v>0.21644692084009687</v>
      </c>
      <c r="M44" s="17"/>
      <c r="N44" s="17">
        <f>MIN(N24:N43)</f>
        <v>3.6570485871350775</v>
      </c>
      <c r="O44" s="2" t="s">
        <v>57</v>
      </c>
      <c r="P44" s="11">
        <f>SUM(P24:P43)</f>
        <v>6964999.9999999991</v>
      </c>
      <c r="R44" s="11">
        <f>SUM(R24:R43)</f>
        <v>1718000.8248625682</v>
      </c>
      <c r="S44" s="11">
        <f>SUM(S24:S43)</f>
        <v>31999.175137431928</v>
      </c>
      <c r="T44" s="4"/>
      <c r="U44" s="4"/>
      <c r="V44" s="4"/>
      <c r="W44" s="40" t="s">
        <v>55</v>
      </c>
      <c r="X44" s="4">
        <f>SUM(X24:X43)</f>
        <v>0.70549973178612146</v>
      </c>
      <c r="Z44" s="17">
        <f>SUM(Z24:Z43)</f>
        <v>27999999.999999985</v>
      </c>
      <c r="AA44" s="17">
        <f>SUM(AA24:AA43)</f>
        <v>35000000</v>
      </c>
      <c r="AB44" s="17">
        <f>SUM(AB24:AB43)</f>
        <v>25599340.109945543</v>
      </c>
      <c r="AC44" s="17">
        <f>SUM(AC24:AC43)</f>
        <v>8750000</v>
      </c>
      <c r="AL44" s="10">
        <f>AVERAGE(AL24:AL43)</f>
        <v>9.1653046176714423E-2</v>
      </c>
    </row>
    <row r="45" spans="1:38" ht="26.25" thickBot="1" x14ac:dyDescent="0.25">
      <c r="C45" s="4">
        <f>G44/B44</f>
        <v>4.9999999999999992E-3</v>
      </c>
      <c r="F45" s="5" t="s">
        <v>54</v>
      </c>
      <c r="G45" s="5">
        <f>SUM(G24:G43)</f>
        <v>34999.999999999993</v>
      </c>
      <c r="H45" s="4"/>
      <c r="I45" s="4"/>
      <c r="J45" s="40" t="s">
        <v>56</v>
      </c>
      <c r="K45" s="16">
        <f>1-K44</f>
        <v>0.78355307915990313</v>
      </c>
      <c r="M45" s="17"/>
      <c r="N45" s="17"/>
      <c r="T45" s="4"/>
      <c r="U45" s="4"/>
      <c r="V45" s="4"/>
      <c r="W45" s="40" t="s">
        <v>12</v>
      </c>
      <c r="X45" s="16">
        <f>1-X44</f>
        <v>0.29450026821387854</v>
      </c>
    </row>
    <row r="46" spans="1:38" x14ac:dyDescent="0.2">
      <c r="C46" s="2" t="s">
        <v>8</v>
      </c>
      <c r="D46" s="9">
        <v>-0.6</v>
      </c>
      <c r="M46" s="17"/>
      <c r="N46" s="17"/>
    </row>
    <row r="47" spans="1:38" x14ac:dyDescent="0.2">
      <c r="C47" s="2" t="s">
        <v>9</v>
      </c>
      <c r="D47" s="9">
        <v>1</v>
      </c>
      <c r="M47" s="17"/>
      <c r="N47" s="17"/>
    </row>
    <row r="50" spans="1:11" ht="38.25" x14ac:dyDescent="0.2">
      <c r="A50" s="34" t="s">
        <v>20</v>
      </c>
      <c r="B50" s="35" t="s">
        <v>9</v>
      </c>
      <c r="C50" s="35" t="s">
        <v>8</v>
      </c>
      <c r="D50" s="35" t="s">
        <v>12</v>
      </c>
      <c r="E50" s="36" t="s">
        <v>30</v>
      </c>
      <c r="F50" s="36" t="s">
        <v>31</v>
      </c>
      <c r="G50" s="36" t="s">
        <v>28</v>
      </c>
      <c r="H50" s="10">
        <f>D52-D66</f>
        <v>0.50341500553004404</v>
      </c>
      <c r="I50" s="5">
        <f>E52-E66</f>
        <v>13721519.781201785</v>
      </c>
      <c r="J50" s="5">
        <f>I50/H50</f>
        <v>27256874.806015052</v>
      </c>
    </row>
    <row r="51" spans="1:11" x14ac:dyDescent="0.2">
      <c r="A51" s="15">
        <f>B16</f>
        <v>8750000</v>
      </c>
      <c r="B51" s="18">
        <f>D47</f>
        <v>1</v>
      </c>
      <c r="C51" s="18">
        <f>D46</f>
        <v>-0.6</v>
      </c>
      <c r="D51" s="19">
        <f>K45</f>
        <v>0.78355307915990313</v>
      </c>
      <c r="E51" s="15">
        <f>B18</f>
        <v>16849340.109945543</v>
      </c>
      <c r="F51" s="19">
        <f>B9</f>
        <v>0.25</v>
      </c>
      <c r="G51" s="19">
        <f>B11</f>
        <v>0.9142621467837696</v>
      </c>
      <c r="H51" s="24">
        <v>0.01</v>
      </c>
      <c r="I51" s="37" t="s">
        <v>32</v>
      </c>
      <c r="J51" s="6">
        <f>J50*H51</f>
        <v>272568.74806015054</v>
      </c>
      <c r="K51" s="25" t="s">
        <v>13</v>
      </c>
    </row>
    <row r="52" spans="1:11" x14ac:dyDescent="0.2">
      <c r="A52" s="20">
        <v>8750000</v>
      </c>
      <c r="B52" s="21">
        <v>1</v>
      </c>
      <c r="C52" s="21">
        <v>-0.6</v>
      </c>
      <c r="D52" s="22">
        <v>0.78355307915990313</v>
      </c>
      <c r="E52" s="20">
        <v>16849340.109945543</v>
      </c>
      <c r="F52" s="22">
        <v>0.25</v>
      </c>
      <c r="G52" s="22">
        <v>0.9142621467837696</v>
      </c>
    </row>
    <row r="53" spans="1:11" x14ac:dyDescent="0.2">
      <c r="A53" s="20">
        <v>8750000</v>
      </c>
      <c r="B53" s="21">
        <v>1</v>
      </c>
      <c r="C53" s="21">
        <v>-0.5</v>
      </c>
      <c r="D53" s="22">
        <v>0.73814058558178486</v>
      </c>
      <c r="E53" s="20">
        <v>15330310.23044724</v>
      </c>
      <c r="F53" s="22">
        <v>0.25</v>
      </c>
      <c r="G53" s="22">
        <v>0.86001107965882972</v>
      </c>
    </row>
    <row r="54" spans="1:11" x14ac:dyDescent="0.2">
      <c r="A54" s="20">
        <v>10500000</v>
      </c>
      <c r="B54" s="21">
        <v>1</v>
      </c>
      <c r="C54" s="21">
        <v>-0.4</v>
      </c>
      <c r="D54" s="22">
        <v>0.67058916419207359</v>
      </c>
      <c r="E54" s="20">
        <v>13134993.026854187</v>
      </c>
      <c r="F54" s="22">
        <v>0.3</v>
      </c>
      <c r="G54" s="22">
        <v>0.84410689381622106</v>
      </c>
    </row>
    <row r="55" spans="1:11" x14ac:dyDescent="0.2">
      <c r="A55" s="20">
        <v>10500000</v>
      </c>
      <c r="B55" s="21">
        <v>1</v>
      </c>
      <c r="C55" s="21">
        <v>-0.3</v>
      </c>
      <c r="D55" s="22">
        <v>0.56377480110115519</v>
      </c>
      <c r="E55" s="20">
        <v>10018791.809949901</v>
      </c>
      <c r="F55" s="22">
        <v>0.3</v>
      </c>
      <c r="G55" s="22">
        <v>0.73281399321249663</v>
      </c>
    </row>
    <row r="56" spans="1:11" x14ac:dyDescent="0.2">
      <c r="A56" s="20">
        <v>12250000</v>
      </c>
      <c r="B56" s="21">
        <v>1</v>
      </c>
      <c r="C56" s="21">
        <v>-0.28000000000000003</v>
      </c>
      <c r="D56" s="22">
        <v>0.53545328308621154</v>
      </c>
      <c r="E56" s="20">
        <v>9281163.2595172822</v>
      </c>
      <c r="F56" s="22">
        <v>0.35</v>
      </c>
      <c r="G56" s="22">
        <v>0.76897011641133162</v>
      </c>
    </row>
    <row r="57" spans="1:11" x14ac:dyDescent="0.2">
      <c r="A57" s="20">
        <v>12250000</v>
      </c>
      <c r="B57" s="21">
        <v>1</v>
      </c>
      <c r="C57" s="21">
        <v>-0.26</v>
      </c>
      <c r="D57" s="22">
        <v>0.5042804625535795</v>
      </c>
      <c r="E57" s="20">
        <v>8476737.6308632605</v>
      </c>
      <c r="F57" s="22">
        <v>0.35</v>
      </c>
      <c r="G57" s="22">
        <v>0.74024062967368764</v>
      </c>
    </row>
    <row r="58" spans="1:11" x14ac:dyDescent="0.2">
      <c r="A58" s="20">
        <v>12250000</v>
      </c>
      <c r="B58" s="21">
        <v>1</v>
      </c>
      <c r="C58" s="21">
        <v>-0.24</v>
      </c>
      <c r="D58" s="22">
        <v>0.47008047627652105</v>
      </c>
      <c r="E58" s="20">
        <v>7606997.5719227158</v>
      </c>
      <c r="F58" s="22">
        <v>0.35</v>
      </c>
      <c r="G58" s="22">
        <v>0.70917848471152545</v>
      </c>
    </row>
    <row r="59" spans="1:11" x14ac:dyDescent="0.2">
      <c r="A59" s="20">
        <v>12250000</v>
      </c>
      <c r="B59" s="21">
        <v>1</v>
      </c>
      <c r="C59" s="21">
        <v>-0.23</v>
      </c>
      <c r="D59" s="22">
        <v>0.45181156366759845</v>
      </c>
      <c r="E59" s="20">
        <v>7149194.9738552794</v>
      </c>
      <c r="F59" s="22">
        <v>0.35</v>
      </c>
      <c r="G59" s="22">
        <v>0.69282839192340251</v>
      </c>
    </row>
    <row r="60" spans="1:11" x14ac:dyDescent="0.2">
      <c r="A60" s="20">
        <v>12250000</v>
      </c>
      <c r="B60" s="21">
        <v>1</v>
      </c>
      <c r="C60" s="21">
        <v>-0.22</v>
      </c>
      <c r="D60" s="22">
        <v>0.43275992861640566</v>
      </c>
      <c r="E60" s="20">
        <v>6677392.6924372278</v>
      </c>
      <c r="F60" s="22">
        <v>0.35</v>
      </c>
      <c r="G60" s="22">
        <v>0.67597831044418699</v>
      </c>
    </row>
    <row r="61" spans="1:11" x14ac:dyDescent="0.2">
      <c r="A61" s="20">
        <v>12250000</v>
      </c>
      <c r="B61" s="21">
        <v>1</v>
      </c>
      <c r="C61" s="21">
        <v>-0.2</v>
      </c>
      <c r="D61" s="22">
        <v>0.39235974895745873</v>
      </c>
      <c r="E61" s="20">
        <v>5697230.307047829</v>
      </c>
      <c r="F61" s="22">
        <v>0.35</v>
      </c>
      <c r="G61" s="22">
        <v>0.64097251096599361</v>
      </c>
    </row>
    <row r="62" spans="1:11" x14ac:dyDescent="0.2">
      <c r="A62" s="20">
        <v>12250000</v>
      </c>
      <c r="B62" s="21">
        <v>1</v>
      </c>
      <c r="C62" s="21">
        <v>-0.18</v>
      </c>
      <c r="D62" s="22">
        <v>0.34911960149763366</v>
      </c>
      <c r="E62" s="20">
        <v>4680287.2542042509</v>
      </c>
      <c r="F62" s="22">
        <v>0.35</v>
      </c>
      <c r="G62" s="22">
        <v>0.60465311622158024</v>
      </c>
    </row>
    <row r="63" spans="1:11" x14ac:dyDescent="0.2">
      <c r="A63" s="20">
        <v>12250000</v>
      </c>
      <c r="B63" s="21">
        <v>1</v>
      </c>
      <c r="C63" s="21">
        <v>-0.17199999999999999</v>
      </c>
      <c r="D63" s="22">
        <v>0.33113180694146682</v>
      </c>
      <c r="E63" s="20">
        <v>4267211.4874376934</v>
      </c>
      <c r="F63" s="22">
        <v>0.35</v>
      </c>
      <c r="G63" s="22">
        <v>0.58990041026563189</v>
      </c>
    </row>
    <row r="64" spans="1:11" x14ac:dyDescent="0.2">
      <c r="A64" s="20">
        <v>12250000</v>
      </c>
      <c r="B64" s="21">
        <v>1</v>
      </c>
      <c r="C64" s="21">
        <v>-0.17</v>
      </c>
      <c r="D64" s="22">
        <v>0.32658129310000072</v>
      </c>
      <c r="E64" s="20">
        <v>4163641.1187159233</v>
      </c>
      <c r="F64" s="22">
        <v>0.35</v>
      </c>
      <c r="G64" s="22">
        <v>0.58620146852556854</v>
      </c>
    </row>
    <row r="65" spans="1:7" x14ac:dyDescent="0.2">
      <c r="A65" s="20">
        <v>12250000</v>
      </c>
      <c r="B65" s="21">
        <v>1</v>
      </c>
      <c r="C65" s="21">
        <v>-0.16</v>
      </c>
      <c r="D65" s="22">
        <v>0.30354875632112466</v>
      </c>
      <c r="E65" s="20">
        <v>3645139.2553013191</v>
      </c>
      <c r="F65" s="22">
        <v>0.35</v>
      </c>
      <c r="G65" s="22">
        <v>0.5676835448321903</v>
      </c>
    </row>
    <row r="66" spans="1:7" x14ac:dyDescent="0.2">
      <c r="A66" s="20">
        <v>12250000</v>
      </c>
      <c r="B66" s="21">
        <v>1</v>
      </c>
      <c r="C66" s="21">
        <v>-0.15</v>
      </c>
      <c r="D66" s="22">
        <v>0.2801380736298591</v>
      </c>
      <c r="E66" s="20">
        <v>3127820.3287437577</v>
      </c>
      <c r="F66" s="22">
        <v>0.35</v>
      </c>
      <c r="G66" s="22">
        <v>0.54920786888370576</v>
      </c>
    </row>
    <row r="69" spans="1:7" x14ac:dyDescent="0.2">
      <c r="B69" s="28">
        <v>0.01</v>
      </c>
      <c r="C69" s="38" t="s">
        <v>32</v>
      </c>
      <c r="D69" s="30">
        <v>272568.74806015054</v>
      </c>
      <c r="E69" s="29" t="s">
        <v>13</v>
      </c>
    </row>
    <row r="70" spans="1:7" x14ac:dyDescent="0.2">
      <c r="B70" s="28">
        <v>0.05</v>
      </c>
      <c r="C70" s="38" t="s">
        <v>32</v>
      </c>
      <c r="D70" s="30">
        <v>1362843.7403007527</v>
      </c>
      <c r="E70" s="29" t="s">
        <v>13</v>
      </c>
    </row>
    <row r="71" spans="1:7" x14ac:dyDescent="0.2">
      <c r="B71" s="28">
        <v>0.1</v>
      </c>
      <c r="C71" s="38" t="s">
        <v>32</v>
      </c>
      <c r="D71" s="30">
        <v>2725687.4806015054</v>
      </c>
      <c r="E71" s="29" t="s">
        <v>13</v>
      </c>
    </row>
  </sheetData>
  <pageMargins left="0" right="0" top="0.78740157480314965" bottom="0" header="0" footer="0"/>
  <pageSetup paperSize="9" scale="140" orientation="landscape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7" sqref="S27"/>
    </sheetView>
  </sheetViews>
  <sheetFormatPr defaultRowHeight="12.75" x14ac:dyDescent="0.2"/>
  <sheetData>
    <row r="1" spans="1:1" x14ac:dyDescent="0.2">
      <c r="A1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IloscPobran xmlns="15eff680-7205-4d96-b943-900c91f8b861">74</IloscPobran>
    <IloscPobranLast xmlns="15eff680-7205-4d96-b943-900c91f8b861">74</IloscPobranLast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6169E91E682348829F391E18E24ADC" ma:contentTypeVersion="3" ma:contentTypeDescription="Utwórz nowy dokument." ma:contentTypeScope="" ma:versionID="8d987f166263a89b8f9d9a4d00248ac5">
  <xsd:schema xmlns:xsd="http://www.w3.org/2001/XMLSchema" xmlns:xs="http://www.w3.org/2001/XMLSchema" xmlns:p="http://schemas.microsoft.com/office/2006/metadata/properties" xmlns:ns1="http://schemas.microsoft.com/sharepoint/v3" xmlns:ns2="15eff680-7205-4d96-b943-900c91f8b861" targetNamespace="http://schemas.microsoft.com/office/2006/metadata/properties" ma:root="true" ma:fieldsID="01d90da5a6219a11e736808c48a3d393" ns1:_="" ns2:_="">
    <xsd:import namespace="http://schemas.microsoft.com/sharepoint/v3"/>
    <xsd:import namespace="15eff680-7205-4d96-b943-900c91f8b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IloscPobran" minOccurs="0"/>
                <xsd:element ref="ns2:IloscPobranLa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Planowana data rozpoczęcia" ma:internalName="PublishingStartDate">
      <xsd:simpleType>
        <xsd:restriction base="dms:Unknown"/>
      </xsd:simpleType>
    </xsd:element>
    <xsd:element name="PublishingExpirationDate" ma:index="9" nillable="true" ma:displayName="Planowana data zakończenia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ff680-7205-4d96-b943-900c91f8b861" elementFormDefault="qualified">
    <xsd:import namespace="http://schemas.microsoft.com/office/2006/documentManagement/types"/>
    <xsd:import namespace="http://schemas.microsoft.com/office/infopath/2007/PartnerControls"/>
    <xsd:element name="IloscPobran" ma:index="10" nillable="true" ma:displayName="IloscPobran" ma:decimals="0" ma:internalName="IloscPobran">
      <xsd:simpleType>
        <xsd:restriction base="dms:Number"/>
      </xsd:simpleType>
    </xsd:element>
    <xsd:element name="IloscPobranLast" ma:index="11" nillable="true" ma:displayName="IloscPobranLast" ma:decimals="0" ma:internalName="IloscPobranLast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C957C5-DF73-48C1-A0F8-F81CE5AFDEB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5eff680-7205-4d96-b943-900c91f8b861"/>
  </ds:schemaRefs>
</ds:datastoreItem>
</file>

<file path=customXml/itemProps2.xml><?xml version="1.0" encoding="utf-8"?>
<ds:datastoreItem xmlns:ds="http://schemas.openxmlformats.org/officeDocument/2006/customXml" ds:itemID="{16713FDD-1F99-446F-A092-B9A7C88462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3072A6-3C54-4203-AD84-6FB683A34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5eff680-7205-4d96-b943-900c91f8b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Analysis</vt:lpstr>
      <vt:lpstr>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Karol Przanowski</cp:lastModifiedBy>
  <cp:lastPrinted>2014-11-22T14:15:33Z</cp:lastPrinted>
  <dcterms:created xsi:type="dcterms:W3CDTF">2008-06-27T13:02:34Z</dcterms:created>
  <dcterms:modified xsi:type="dcterms:W3CDTF">2018-02-19T22:21:20Z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0x010100256169E91E682348829F391E18E24ADC</vt:lpwstr>
  </property>
</Properties>
</file>