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360" windowWidth="14595" windowHeight="7680"/>
  </bookViews>
  <sheets>
    <sheet name="Analysis" sheetId="4" r:id="rId1"/>
    <sheet name="Graphs" sheetId="5" r:id="rId2"/>
  </sheets>
  <externalReferences>
    <externalReference r:id="rId3"/>
    <externalReference r:id="rId4"/>
  </externalReferences>
  <definedNames>
    <definedName name="Note">[1]Note!$A$1:$W$2</definedName>
    <definedName name="Notedg">'[2]9'!$A$1:$Z$2</definedName>
    <definedName name="To">#REF!</definedName>
    <definedName name="Zone_impres_MI">#REF!</definedName>
  </definedNames>
  <calcPr calcId="145621"/>
</workbook>
</file>

<file path=xl/calcChain.xml><?xml version="1.0" encoding="utf-8"?>
<calcChain xmlns="http://schemas.openxmlformats.org/spreadsheetml/2006/main">
  <c r="I49" i="4" l="1"/>
  <c r="J49" i="4" s="1"/>
  <c r="J50" i="4" s="1"/>
  <c r="H49" i="4"/>
  <c r="C50" i="4"/>
  <c r="B50" i="4"/>
  <c r="AK24" i="4"/>
  <c r="AK25" i="4"/>
  <c r="AK26" i="4"/>
  <c r="AK27" i="4"/>
  <c r="AK28" i="4"/>
  <c r="AK29" i="4"/>
  <c r="AK30" i="4"/>
  <c r="AK31" i="4"/>
  <c r="AK32" i="4"/>
  <c r="AK33" i="4"/>
  <c r="AK34" i="4"/>
  <c r="AK35" i="4"/>
  <c r="AK36" i="4"/>
  <c r="AK37" i="4"/>
  <c r="AK38" i="4"/>
  <c r="AK39" i="4"/>
  <c r="AK40" i="4"/>
  <c r="AK41" i="4"/>
  <c r="AK42" i="4"/>
  <c r="AK23" i="4"/>
  <c r="AK43" i="4" l="1"/>
  <c r="C43" i="4" s="1"/>
  <c r="B42" i="4"/>
  <c r="B41" i="4"/>
  <c r="Z41" i="4" s="1"/>
  <c r="B40" i="4"/>
  <c r="Z40" i="4" s="1"/>
  <c r="B39" i="4"/>
  <c r="Z39" i="4" s="1"/>
  <c r="B38" i="4"/>
  <c r="Z38" i="4" s="1"/>
  <c r="B37" i="4"/>
  <c r="Z37" i="4" s="1"/>
  <c r="B36" i="4"/>
  <c r="Z36" i="4" s="1"/>
  <c r="B35" i="4"/>
  <c r="Z35" i="4" s="1"/>
  <c r="B34" i="4"/>
  <c r="Z34" i="4" s="1"/>
  <c r="B33" i="4"/>
  <c r="Z33" i="4" s="1"/>
  <c r="B32" i="4"/>
  <c r="Z32" i="4" s="1"/>
  <c r="B31" i="4"/>
  <c r="Z31" i="4" s="1"/>
  <c r="B30" i="4"/>
  <c r="Z30" i="4" s="1"/>
  <c r="B29" i="4"/>
  <c r="Z29" i="4" s="1"/>
  <c r="B28" i="4"/>
  <c r="Z28" i="4" s="1"/>
  <c r="B27" i="4"/>
  <c r="Z27" i="4" s="1"/>
  <c r="B26" i="4"/>
  <c r="Z26" i="4" s="1"/>
  <c r="B25" i="4"/>
  <c r="Z25" i="4" s="1"/>
  <c r="B24" i="4"/>
  <c r="B23" i="4"/>
  <c r="Z23" i="4" l="1"/>
  <c r="AI23" i="4" s="1"/>
  <c r="AF23" i="4"/>
  <c r="Z24" i="4"/>
  <c r="AI24" i="4" s="1"/>
  <c r="AI25" i="4" s="1"/>
  <c r="AI26" i="4" s="1"/>
  <c r="AI27" i="4" s="1"/>
  <c r="AI28" i="4" s="1"/>
  <c r="AI29" i="4" s="1"/>
  <c r="AI30" i="4" s="1"/>
  <c r="AI31" i="4" s="1"/>
  <c r="AI32" i="4" s="1"/>
  <c r="AI33" i="4" s="1"/>
  <c r="AI34" i="4" s="1"/>
  <c r="AI35" i="4" s="1"/>
  <c r="AI36" i="4" s="1"/>
  <c r="AI37" i="4" s="1"/>
  <c r="AI38" i="4" s="1"/>
  <c r="AI39" i="4" s="1"/>
  <c r="AI40" i="4" s="1"/>
  <c r="AI41" i="4" s="1"/>
  <c r="AF24" i="4"/>
  <c r="Z42" i="4"/>
  <c r="C24" i="4"/>
  <c r="C34" i="4"/>
  <c r="C23" i="4"/>
  <c r="C28" i="4"/>
  <c r="L28" i="4" s="1"/>
  <c r="C27" i="4"/>
  <c r="C26" i="4"/>
  <c r="C30" i="4"/>
  <c r="C38" i="4"/>
  <c r="L38" i="4" s="1"/>
  <c r="C35" i="4"/>
  <c r="C42" i="4"/>
  <c r="C31" i="4"/>
  <c r="C39" i="4"/>
  <c r="L39" i="4" s="1"/>
  <c r="C32" i="4"/>
  <c r="C36" i="4"/>
  <c r="C40" i="4"/>
  <c r="C25" i="4"/>
  <c r="L25" i="4" s="1"/>
  <c r="C29" i="4"/>
  <c r="C33" i="4"/>
  <c r="C37" i="4"/>
  <c r="C41" i="4"/>
  <c r="B43" i="4"/>
  <c r="AG23" i="4" s="1"/>
  <c r="G39" i="4"/>
  <c r="Y39" i="4" s="1"/>
  <c r="G38" i="4" l="1"/>
  <c r="Y38" i="4" s="1"/>
  <c r="G28" i="4"/>
  <c r="Y28" i="4" s="1"/>
  <c r="G33" i="4"/>
  <c r="Y33" i="4" s="1"/>
  <c r="L33" i="4"/>
  <c r="G25" i="4"/>
  <c r="Y25" i="4" s="1"/>
  <c r="G37" i="4"/>
  <c r="Y37" i="4" s="1"/>
  <c r="L37" i="4"/>
  <c r="G29" i="4"/>
  <c r="Y29" i="4" s="1"/>
  <c r="L29" i="4"/>
  <c r="G40" i="4"/>
  <c r="Y40" i="4" s="1"/>
  <c r="L40" i="4"/>
  <c r="G32" i="4"/>
  <c r="Y32" i="4" s="1"/>
  <c r="L32" i="4"/>
  <c r="G31" i="4"/>
  <c r="Y31" i="4" s="1"/>
  <c r="L31" i="4"/>
  <c r="G35" i="4"/>
  <c r="Y35" i="4" s="1"/>
  <c r="L35" i="4"/>
  <c r="G30" i="4"/>
  <c r="Y30" i="4" s="1"/>
  <c r="L30" i="4"/>
  <c r="G27" i="4"/>
  <c r="Y27" i="4" s="1"/>
  <c r="L27" i="4"/>
  <c r="G23" i="4"/>
  <c r="L23" i="4"/>
  <c r="G24" i="4"/>
  <c r="O24" i="4" s="1"/>
  <c r="L24" i="4"/>
  <c r="G41" i="4"/>
  <c r="Y41" i="4" s="1"/>
  <c r="L41" i="4"/>
  <c r="G36" i="4"/>
  <c r="Y36" i="4" s="1"/>
  <c r="L36" i="4"/>
  <c r="G42" i="4"/>
  <c r="Y42" i="4" s="1"/>
  <c r="AD42" i="4" s="1"/>
  <c r="L42" i="4"/>
  <c r="G26" i="4"/>
  <c r="Y26" i="4" s="1"/>
  <c r="L26" i="4"/>
  <c r="G34" i="4"/>
  <c r="Y34" i="4" s="1"/>
  <c r="L34" i="4"/>
  <c r="Y24" i="4"/>
  <c r="AG24" i="4"/>
  <c r="AF25" i="4"/>
  <c r="AI42" i="4"/>
  <c r="O42" i="4"/>
  <c r="O29" i="4"/>
  <c r="AD29" i="4" s="1"/>
  <c r="AC29" i="4" s="1"/>
  <c r="D29" i="4" s="1"/>
  <c r="AA29" i="4" s="1"/>
  <c r="O39" i="4"/>
  <c r="O38" i="4"/>
  <c r="O27" i="4"/>
  <c r="O28" i="4"/>
  <c r="O36" i="4" l="1"/>
  <c r="O35" i="4"/>
  <c r="O37" i="4"/>
  <c r="AD37" i="4" s="1"/>
  <c r="AC37" i="4" s="1"/>
  <c r="D37" i="4" s="1"/>
  <c r="R37" i="4" s="1"/>
  <c r="G44" i="4"/>
  <c r="H42" i="4" s="1"/>
  <c r="O40" i="4"/>
  <c r="O32" i="4"/>
  <c r="O31" i="4"/>
  <c r="O41" i="4"/>
  <c r="AD41" i="4" s="1"/>
  <c r="AC41" i="4" s="1"/>
  <c r="D41" i="4" s="1"/>
  <c r="F41" i="4" s="1"/>
  <c r="O30" i="4"/>
  <c r="AD30" i="4" s="1"/>
  <c r="AC30" i="4" s="1"/>
  <c r="D30" i="4" s="1"/>
  <c r="F30" i="4" s="1"/>
  <c r="O26" i="4"/>
  <c r="AD26" i="4" s="1"/>
  <c r="AC26" i="4" s="1"/>
  <c r="D26" i="4" s="1"/>
  <c r="F26" i="4" s="1"/>
  <c r="O34" i="4"/>
  <c r="AD34" i="4" s="1"/>
  <c r="AC34" i="4" s="1"/>
  <c r="D34" i="4" s="1"/>
  <c r="R34" i="4" s="1"/>
  <c r="H29" i="4"/>
  <c r="O33" i="4"/>
  <c r="G43" i="4"/>
  <c r="C44" i="4" s="1"/>
  <c r="O25" i="4"/>
  <c r="Y23" i="4"/>
  <c r="AH23" i="4" s="1"/>
  <c r="AH24" i="4" s="1"/>
  <c r="AH25" i="4" s="1"/>
  <c r="AH26" i="4" s="1"/>
  <c r="AH27" i="4" s="1"/>
  <c r="AH28" i="4" s="1"/>
  <c r="AH29" i="4" s="1"/>
  <c r="AH30" i="4" s="1"/>
  <c r="AH31" i="4" s="1"/>
  <c r="AH32" i="4" s="1"/>
  <c r="AH33" i="4" s="1"/>
  <c r="AH34" i="4" s="1"/>
  <c r="AH35" i="4" s="1"/>
  <c r="AH36" i="4" s="1"/>
  <c r="AH37" i="4" s="1"/>
  <c r="AH38" i="4" s="1"/>
  <c r="AH39" i="4" s="1"/>
  <c r="AH40" i="4" s="1"/>
  <c r="AH41" i="4" s="1"/>
  <c r="AH42" i="4" s="1"/>
  <c r="M23" i="4"/>
  <c r="AF26" i="4"/>
  <c r="AG25" i="4"/>
  <c r="AA34" i="4"/>
  <c r="F34" i="4"/>
  <c r="R26" i="4"/>
  <c r="E41" i="4"/>
  <c r="E30" i="4"/>
  <c r="R29" i="4"/>
  <c r="E29" i="4"/>
  <c r="F29" i="4"/>
  <c r="E37" i="4"/>
  <c r="AB29" i="4"/>
  <c r="AA37" i="4"/>
  <c r="AC42" i="4"/>
  <c r="D42" i="4" s="1"/>
  <c r="AB30" i="4"/>
  <c r="AB37" i="4"/>
  <c r="H24" i="4"/>
  <c r="Z43" i="4"/>
  <c r="B11" i="4" s="1"/>
  <c r="AD40" i="4"/>
  <c r="AC40" i="4" s="1"/>
  <c r="D40" i="4" s="1"/>
  <c r="AD32" i="4"/>
  <c r="AC32" i="4" s="1"/>
  <c r="D32" i="4" s="1"/>
  <c r="AD24" i="4"/>
  <c r="AC24" i="4" s="1"/>
  <c r="D24" i="4" s="1"/>
  <c r="AD35" i="4"/>
  <c r="AC35" i="4" s="1"/>
  <c r="D35" i="4" s="1"/>
  <c r="AD33" i="4"/>
  <c r="AC33" i="4" s="1"/>
  <c r="D33" i="4" s="1"/>
  <c r="AD36" i="4"/>
  <c r="AC36" i="4" s="1"/>
  <c r="D36" i="4" s="1"/>
  <c r="AA36" i="4" s="1"/>
  <c r="AD28" i="4"/>
  <c r="AC28" i="4" s="1"/>
  <c r="D28" i="4" s="1"/>
  <c r="AA28" i="4" s="1"/>
  <c r="AD27" i="4"/>
  <c r="AC27" i="4" s="1"/>
  <c r="D27" i="4" s="1"/>
  <c r="AA27" i="4" s="1"/>
  <c r="AD38" i="4"/>
  <c r="AC38" i="4" s="1"/>
  <c r="D38" i="4" s="1"/>
  <c r="AB38" i="4" s="1"/>
  <c r="AD39" i="4"/>
  <c r="AC39" i="4" s="1"/>
  <c r="D39" i="4" s="1"/>
  <c r="AA39" i="4" s="1"/>
  <c r="AD31" i="4"/>
  <c r="AC31" i="4" s="1"/>
  <c r="D31" i="4" s="1"/>
  <c r="AB31" i="4" s="1"/>
  <c r="AD25" i="4"/>
  <c r="AC25" i="4" s="1"/>
  <c r="D25" i="4" s="1"/>
  <c r="AA25" i="4" s="1"/>
  <c r="H31" i="4"/>
  <c r="H23" i="4"/>
  <c r="J23" i="4" s="1"/>
  <c r="H27" i="4"/>
  <c r="H33" i="4" l="1"/>
  <c r="H34" i="4"/>
  <c r="J34" i="4" s="1"/>
  <c r="AA41" i="4"/>
  <c r="AB41" i="4"/>
  <c r="E26" i="4"/>
  <c r="AB34" i="4"/>
  <c r="AA30" i="4"/>
  <c r="F37" i="4"/>
  <c r="R30" i="4"/>
  <c r="E34" i="4"/>
  <c r="H26" i="4"/>
  <c r="J27" i="4" s="1"/>
  <c r="H30" i="4"/>
  <c r="J30" i="4" s="1"/>
  <c r="H28" i="4"/>
  <c r="J29" i="4" s="1"/>
  <c r="H25" i="4"/>
  <c r="AA26" i="4"/>
  <c r="AB26" i="4"/>
  <c r="R41" i="4"/>
  <c r="H32" i="4"/>
  <c r="N23" i="4"/>
  <c r="M24" i="4"/>
  <c r="AF27" i="4"/>
  <c r="AG26" i="4"/>
  <c r="J33" i="4"/>
  <c r="J32" i="4"/>
  <c r="Q30" i="4"/>
  <c r="Q41" i="4"/>
  <c r="Q26" i="4"/>
  <c r="Q34" i="4"/>
  <c r="AA31" i="4"/>
  <c r="AA38" i="4"/>
  <c r="F33" i="4"/>
  <c r="E33" i="4"/>
  <c r="R33" i="4"/>
  <c r="AB33" i="4"/>
  <c r="F35" i="4"/>
  <c r="R35" i="4"/>
  <c r="E35" i="4"/>
  <c r="AB35" i="4"/>
  <c r="E24" i="4"/>
  <c r="R24" i="4"/>
  <c r="F24" i="4"/>
  <c r="Q24" i="4" s="1"/>
  <c r="AB24" i="4"/>
  <c r="F32" i="4"/>
  <c r="E32" i="4"/>
  <c r="R32" i="4"/>
  <c r="AB32" i="4"/>
  <c r="R40" i="4"/>
  <c r="E40" i="4"/>
  <c r="F40" i="4"/>
  <c r="AB40" i="4"/>
  <c r="R25" i="4"/>
  <c r="F25" i="4"/>
  <c r="E25" i="4"/>
  <c r="F31" i="4"/>
  <c r="R31" i="4"/>
  <c r="E31" i="4"/>
  <c r="F39" i="4"/>
  <c r="R39" i="4"/>
  <c r="E39" i="4"/>
  <c r="R38" i="4"/>
  <c r="F38" i="4"/>
  <c r="E38" i="4"/>
  <c r="R27" i="4"/>
  <c r="F27" i="4"/>
  <c r="E27" i="4"/>
  <c r="R28" i="4"/>
  <c r="E28" i="4"/>
  <c r="F28" i="4"/>
  <c r="AB28" i="4"/>
  <c r="R36" i="4"/>
  <c r="E36" i="4"/>
  <c r="F36" i="4"/>
  <c r="AB36" i="4"/>
  <c r="AA33" i="4"/>
  <c r="AA35" i="4"/>
  <c r="AA24" i="4"/>
  <c r="AA32" i="4"/>
  <c r="AA40" i="4"/>
  <c r="R42" i="4"/>
  <c r="E42" i="4"/>
  <c r="F42" i="4"/>
  <c r="AA42" i="4"/>
  <c r="AB42" i="4"/>
  <c r="Q37" i="4"/>
  <c r="Q29" i="4"/>
  <c r="AB25" i="4"/>
  <c r="AB39" i="4"/>
  <c r="AB27" i="4"/>
  <c r="J25" i="4"/>
  <c r="J31" i="4"/>
  <c r="J24" i="4"/>
  <c r="J28" i="4"/>
  <c r="J26" i="4" l="1"/>
  <c r="N24" i="4"/>
  <c r="M25" i="4"/>
  <c r="AF28" i="4"/>
  <c r="AG27" i="4"/>
  <c r="Q42" i="4"/>
  <c r="Q36" i="4"/>
  <c r="Q27" i="4"/>
  <c r="Q38" i="4"/>
  <c r="Q25" i="4"/>
  <c r="Q31" i="4"/>
  <c r="Q28" i="4"/>
  <c r="Q39" i="4"/>
  <c r="Q40" i="4"/>
  <c r="Q32" i="4"/>
  <c r="Q35" i="4"/>
  <c r="Q33" i="4"/>
  <c r="N25" i="4" l="1"/>
  <c r="M26" i="4"/>
  <c r="AF29" i="4"/>
  <c r="AG28" i="4"/>
  <c r="O23" i="4"/>
  <c r="M27" i="4" l="1"/>
  <c r="N26" i="4"/>
  <c r="AF30" i="4"/>
  <c r="AG29" i="4"/>
  <c r="AD23" i="4"/>
  <c r="AE23" i="4" s="1"/>
  <c r="AE24" i="4" s="1"/>
  <c r="AE25" i="4" s="1"/>
  <c r="AE26" i="4" s="1"/>
  <c r="AE27" i="4" s="1"/>
  <c r="AE28" i="4" s="1"/>
  <c r="AE29" i="4" s="1"/>
  <c r="AE30" i="4" s="1"/>
  <c r="AE31" i="4" s="1"/>
  <c r="AE32" i="4" s="1"/>
  <c r="AE33" i="4" s="1"/>
  <c r="AE34" i="4" s="1"/>
  <c r="AE35" i="4" s="1"/>
  <c r="AE36" i="4" s="1"/>
  <c r="AE37" i="4" s="1"/>
  <c r="AE38" i="4" s="1"/>
  <c r="AE39" i="4" s="1"/>
  <c r="AE40" i="4" s="1"/>
  <c r="AE41" i="4" s="1"/>
  <c r="AE42" i="4" s="1"/>
  <c r="Y43" i="4"/>
  <c r="O43" i="4"/>
  <c r="P40" i="4" s="1"/>
  <c r="H41" i="4"/>
  <c r="H39" i="4"/>
  <c r="H37" i="4"/>
  <c r="H35" i="4"/>
  <c r="J35" i="4" s="1"/>
  <c r="H40" i="4"/>
  <c r="H38" i="4"/>
  <c r="H36" i="4"/>
  <c r="M28" i="4" l="1"/>
  <c r="N27" i="4"/>
  <c r="AF31" i="4"/>
  <c r="AG30" i="4"/>
  <c r="B12" i="4"/>
  <c r="B13" i="4" s="1"/>
  <c r="J36" i="4"/>
  <c r="AC23" i="4"/>
  <c r="D23" i="4" s="1"/>
  <c r="J40" i="4"/>
  <c r="J41" i="4"/>
  <c r="J42" i="4"/>
  <c r="P25" i="4"/>
  <c r="J38" i="4"/>
  <c r="J39" i="4"/>
  <c r="P24" i="4"/>
  <c r="P23" i="4"/>
  <c r="P28" i="4"/>
  <c r="P27" i="4"/>
  <c r="P35" i="4"/>
  <c r="P39" i="4"/>
  <c r="I40" i="4" s="1"/>
  <c r="P26" i="4"/>
  <c r="P31" i="4"/>
  <c r="P34" i="4"/>
  <c r="I35" i="4" s="1"/>
  <c r="K35" i="4" s="1"/>
  <c r="P38" i="4"/>
  <c r="I39" i="4" s="1"/>
  <c r="K39" i="4" s="1"/>
  <c r="P42" i="4"/>
  <c r="J37" i="4"/>
  <c r="P30" i="4"/>
  <c r="P33" i="4"/>
  <c r="P37" i="4"/>
  <c r="P41" i="4"/>
  <c r="P29" i="4"/>
  <c r="I30" i="4" s="1"/>
  <c r="K30" i="4" s="1"/>
  <c r="P32" i="4"/>
  <c r="I33" i="4" s="1"/>
  <c r="K33" i="4" s="1"/>
  <c r="P36" i="4"/>
  <c r="I37" i="4" s="1"/>
  <c r="K40" i="4" l="1"/>
  <c r="M29" i="4"/>
  <c r="N28" i="4"/>
  <c r="AF32" i="4"/>
  <c r="AG31" i="4"/>
  <c r="E23" i="4"/>
  <c r="E43" i="4" s="1"/>
  <c r="R23" i="4"/>
  <c r="F23" i="4"/>
  <c r="AB23" i="4"/>
  <c r="AB43" i="4" s="1"/>
  <c r="B15" i="4" s="1"/>
  <c r="A50" i="4" s="1"/>
  <c r="AA23" i="4"/>
  <c r="AA43" i="4" s="1"/>
  <c r="B16" i="4" s="1"/>
  <c r="I34" i="4"/>
  <c r="K34" i="4" s="1"/>
  <c r="I28" i="4"/>
  <c r="K28" i="4" s="1"/>
  <c r="I42" i="4"/>
  <c r="K42" i="4" s="1"/>
  <c r="I26" i="4"/>
  <c r="K26" i="4" s="1"/>
  <c r="K37" i="4"/>
  <c r="I38" i="4"/>
  <c r="K38" i="4" s="1"/>
  <c r="I31" i="4"/>
  <c r="K31" i="4" s="1"/>
  <c r="I27" i="4"/>
  <c r="K27" i="4" s="1"/>
  <c r="I36" i="4"/>
  <c r="K36" i="4" s="1"/>
  <c r="I29" i="4"/>
  <c r="K29" i="4" s="1"/>
  <c r="I25" i="4"/>
  <c r="K25" i="4" s="1"/>
  <c r="I41" i="4"/>
  <c r="K41" i="4" s="1"/>
  <c r="I23" i="4"/>
  <c r="K23" i="4" s="1"/>
  <c r="I24" i="4"/>
  <c r="K24" i="4" s="1"/>
  <c r="I32" i="4"/>
  <c r="K32" i="4" s="1"/>
  <c r="M30" i="4" l="1"/>
  <c r="N29" i="4"/>
  <c r="AF33" i="4"/>
  <c r="AG32" i="4"/>
  <c r="B19" i="4"/>
  <c r="B20" i="4" s="1"/>
  <c r="B10" i="4"/>
  <c r="G50" i="4" s="1"/>
  <c r="R43" i="4"/>
  <c r="T39" i="4" s="1"/>
  <c r="B17" i="4"/>
  <c r="E50" i="4" s="1"/>
  <c r="F43" i="4"/>
  <c r="Q23" i="4"/>
  <c r="K43" i="4"/>
  <c r="K44" i="4" s="1"/>
  <c r="N30" i="4" l="1"/>
  <c r="M31" i="4"/>
  <c r="AF34" i="4"/>
  <c r="AG33" i="4"/>
  <c r="B9" i="4"/>
  <c r="F50" i="4" s="1"/>
  <c r="B18" i="4"/>
  <c r="B8" i="4"/>
  <c r="T32" i="4"/>
  <c r="T23" i="4"/>
  <c r="V23" i="4" s="1"/>
  <c r="T25" i="4"/>
  <c r="T24" i="4"/>
  <c r="T27" i="4"/>
  <c r="T33" i="4"/>
  <c r="T29" i="4"/>
  <c r="T35" i="4"/>
  <c r="T31" i="4"/>
  <c r="V32" i="4" s="1"/>
  <c r="T26" i="4"/>
  <c r="T30" i="4"/>
  <c r="V31" i="4" s="1"/>
  <c r="T36" i="4"/>
  <c r="V36" i="4" s="1"/>
  <c r="T41" i="4"/>
  <c r="T38" i="4"/>
  <c r="T28" i="4"/>
  <c r="V28" i="4" s="1"/>
  <c r="T40" i="4"/>
  <c r="V40" i="4" s="1"/>
  <c r="T37" i="4"/>
  <c r="T42" i="4"/>
  <c r="T34" i="4"/>
  <c r="Q43" i="4"/>
  <c r="S40" i="4" s="1"/>
  <c r="B5" i="4"/>
  <c r="D50" i="4"/>
  <c r="N31" i="4" l="1"/>
  <c r="M32" i="4"/>
  <c r="V25" i="4"/>
  <c r="AF35" i="4"/>
  <c r="AG34" i="4"/>
  <c r="V35" i="4"/>
  <c r="V33" i="4"/>
  <c r="S32" i="4"/>
  <c r="S25" i="4"/>
  <c r="V24" i="4"/>
  <c r="V26" i="4"/>
  <c r="S24" i="4"/>
  <c r="S23" i="4"/>
  <c r="U23" i="4" s="1"/>
  <c r="W23" i="4" s="1"/>
  <c r="V42" i="4"/>
  <c r="S38" i="4"/>
  <c r="V29" i="4"/>
  <c r="V30" i="4"/>
  <c r="S26" i="4"/>
  <c r="S37" i="4"/>
  <c r="U38" i="4" s="1"/>
  <c r="V27" i="4"/>
  <c r="V38" i="4"/>
  <c r="V34" i="4"/>
  <c r="V39" i="4"/>
  <c r="V37" i="4"/>
  <c r="V41" i="4"/>
  <c r="S28" i="4"/>
  <c r="S39" i="4"/>
  <c r="U39" i="4" s="1"/>
  <c r="S36" i="4"/>
  <c r="S35" i="4"/>
  <c r="S34" i="4"/>
  <c r="S33" i="4"/>
  <c r="S31" i="4"/>
  <c r="U32" i="4" s="1"/>
  <c r="W32" i="4" s="1"/>
  <c r="S30" i="4"/>
  <c r="S42" i="4"/>
  <c r="S29" i="4"/>
  <c r="S41" i="4"/>
  <c r="U41" i="4" s="1"/>
  <c r="S27" i="4"/>
  <c r="N32" i="4" l="1"/>
  <c r="M33" i="4"/>
  <c r="AF36" i="4"/>
  <c r="AG35" i="4"/>
  <c r="U25" i="4"/>
  <c r="W25" i="4" s="1"/>
  <c r="U33" i="4"/>
  <c r="W33" i="4" s="1"/>
  <c r="U24" i="4"/>
  <c r="W24" i="4" s="1"/>
  <c r="U26" i="4"/>
  <c r="W26" i="4" s="1"/>
  <c r="U37" i="4"/>
  <c r="W37" i="4" s="1"/>
  <c r="W41" i="4"/>
  <c r="U27" i="4"/>
  <c r="W27" i="4" s="1"/>
  <c r="W38" i="4"/>
  <c r="U29" i="4"/>
  <c r="W29" i="4" s="1"/>
  <c r="U35" i="4"/>
  <c r="W35" i="4" s="1"/>
  <c r="W39" i="4"/>
  <c r="U34" i="4"/>
  <c r="W34" i="4" s="1"/>
  <c r="U36" i="4"/>
  <c r="W36" i="4" s="1"/>
  <c r="U40" i="4"/>
  <c r="W40" i="4" s="1"/>
  <c r="U30" i="4"/>
  <c r="W30" i="4" s="1"/>
  <c r="U28" i="4"/>
  <c r="W28" i="4" s="1"/>
  <c r="U42" i="4"/>
  <c r="W42" i="4" s="1"/>
  <c r="U31" i="4"/>
  <c r="W31" i="4" s="1"/>
  <c r="N33" i="4" l="1"/>
  <c r="M34" i="4"/>
  <c r="AF37" i="4"/>
  <c r="AG36" i="4"/>
  <c r="W43" i="4"/>
  <c r="W44" i="4" s="1"/>
  <c r="M35" i="4" l="1"/>
  <c r="N34" i="4"/>
  <c r="AF38" i="4"/>
  <c r="AG37" i="4"/>
  <c r="M36" i="4" l="1"/>
  <c r="N35" i="4"/>
  <c r="AF39" i="4"/>
  <c r="AG38" i="4"/>
  <c r="M37" i="4" l="1"/>
  <c r="N36" i="4"/>
  <c r="AF40" i="4"/>
  <c r="AG39" i="4"/>
  <c r="M38" i="4" l="1"/>
  <c r="N37" i="4"/>
  <c r="AF41" i="4"/>
  <c r="AG40" i="4"/>
  <c r="M39" i="4" l="1"/>
  <c r="N38" i="4"/>
  <c r="AF42" i="4"/>
  <c r="AG42" i="4" s="1"/>
  <c r="AG41" i="4"/>
  <c r="M40" i="4" l="1"/>
  <c r="N39" i="4"/>
  <c r="M41" i="4" l="1"/>
  <c r="N40" i="4"/>
  <c r="M42" i="4" l="1"/>
  <c r="N42" i="4" s="1"/>
  <c r="N41" i="4"/>
</calcChain>
</file>

<file path=xl/sharedStrings.xml><?xml version="1.0" encoding="utf-8"?>
<sst xmlns="http://schemas.openxmlformats.org/spreadsheetml/2006/main" count="75" uniqueCount="57">
  <si>
    <t>Acceptance rate</t>
  </si>
  <si>
    <t>Global income</t>
  </si>
  <si>
    <t>Global profit</t>
  </si>
  <si>
    <t>Accepted income</t>
  </si>
  <si>
    <t>Accepted profit</t>
  </si>
  <si>
    <t>Score bands</t>
  </si>
  <si>
    <t>Accepted flag</t>
  </si>
  <si>
    <t>Accepted</t>
  </si>
  <si>
    <t>a</t>
  </si>
  <si>
    <t>b</t>
  </si>
  <si>
    <t>Z</t>
  </si>
  <si>
    <t>Gini global</t>
  </si>
  <si>
    <t>Gini</t>
  </si>
  <si>
    <t>PLN</t>
  </si>
  <si>
    <t>Number of cases</t>
  </si>
  <si>
    <t>Average cost of contact, offer, campaign</t>
  </si>
  <si>
    <t>Global cost</t>
  </si>
  <si>
    <t>Accepted cost</t>
  </si>
  <si>
    <t>Captured percent (Gains)</t>
  </si>
  <si>
    <t>Number of offers</t>
  </si>
  <si>
    <t>Observed response rate</t>
  </si>
  <si>
    <t>Responders</t>
  </si>
  <si>
    <t>Accepted nonresponders</t>
  </si>
  <si>
    <t>Accepted responders</t>
  </si>
  <si>
    <t>Lift</t>
  </si>
  <si>
    <t>Global churn rate</t>
  </si>
  <si>
    <t>Accepted churn rate</t>
  </si>
  <si>
    <t>Average income on non-chuner</t>
  </si>
  <si>
    <t>Number of captured churners</t>
  </si>
  <si>
    <t>Number of non-captured churners</t>
  </si>
  <si>
    <t>of Gini</t>
  </si>
  <si>
    <t>Cum responders(%)</t>
  </si>
  <si>
    <t>Nonresponders+</t>
  </si>
  <si>
    <t>Responders-</t>
  </si>
  <si>
    <t>Cum responders</t>
  </si>
  <si>
    <t>For accepted</t>
  </si>
  <si>
    <t>Cum lift</t>
  </si>
  <si>
    <t>Nonresponders</t>
  </si>
  <si>
    <t>Cum nonresponders(%)</t>
  </si>
  <si>
    <t>Acc responders</t>
  </si>
  <si>
    <t>Cum nonresponders</t>
  </si>
  <si>
    <t>Income</t>
  </si>
  <si>
    <t>Cost</t>
  </si>
  <si>
    <t>Acc income</t>
  </si>
  <si>
    <t>Acc cost</t>
  </si>
  <si>
    <t>Profit</t>
  </si>
  <si>
    <t>Profit cum</t>
  </si>
  <si>
    <t>All cum</t>
  </si>
  <si>
    <t>Acc rate</t>
  </si>
  <si>
    <t>Income cum</t>
  </si>
  <si>
    <t>Cost cum</t>
  </si>
  <si>
    <t>Sum bads</t>
  </si>
  <si>
    <t>Sum Z</t>
  </si>
  <si>
    <t xml:space="preserve">Gini </t>
  </si>
  <si>
    <t>Sum goods</t>
  </si>
  <si>
    <t>Opt acc rate</t>
  </si>
  <si>
    <t>Optimal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</si>
</sst>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10" fontId="0" fillId="0" borderId="0" xfId="1" applyNumberFormat="1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3" fontId="0" fillId="3" borderId="0" xfId="0" applyNumberFormat="1" applyFill="1" applyAlignment="1">
      <alignment vertical="center" wrapText="1"/>
    </xf>
    <xf numFmtId="3" fontId="0" fillId="0" borderId="0" xfId="0" applyNumberFormat="1" applyFill="1" applyAlignment="1">
      <alignment vertical="center" wrapText="1"/>
    </xf>
    <xf numFmtId="10" fontId="2" fillId="4" borderId="0" xfId="1" applyNumberFormat="1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10" fontId="0" fillId="0" borderId="0" xfId="0" applyNumberFormat="1" applyAlignment="1">
      <alignment vertical="center" wrapText="1"/>
    </xf>
    <xf numFmtId="3" fontId="0" fillId="5" borderId="0" xfId="0" applyNumberFormat="1" applyFill="1" applyAlignment="1">
      <alignment vertical="center" wrapText="1"/>
    </xf>
    <xf numFmtId="0" fontId="0" fillId="0" borderId="2" xfId="0" applyBorder="1" applyAlignment="1">
      <alignment vertical="center" wrapText="1"/>
    </xf>
    <xf numFmtId="3" fontId="0" fillId="2" borderId="2" xfId="0" applyNumberForma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0" fontId="0" fillId="3" borderId="2" xfId="1" applyNumberFormat="1" applyFont="1" applyFill="1" applyBorder="1" applyAlignment="1">
      <alignment vertical="center" wrapText="1"/>
    </xf>
    <xf numFmtId="3" fontId="0" fillId="3" borderId="2" xfId="0" applyNumberFormat="1" applyFill="1" applyBorder="1" applyAlignment="1">
      <alignment vertical="center" wrapText="1"/>
    </xf>
    <xf numFmtId="10" fontId="0" fillId="2" borderId="1" xfId="1" applyNumberFormat="1" applyFont="1" applyFill="1" applyBorder="1" applyAlignment="1">
      <alignment vertical="center" wrapText="1"/>
    </xf>
    <xf numFmtId="2" fontId="0" fillId="0" borderId="0" xfId="0" applyNumberFormat="1" applyAlignment="1">
      <alignment vertical="center" wrapText="1"/>
    </xf>
    <xf numFmtId="0" fontId="0" fillId="3" borderId="2" xfId="0" applyFill="1" applyBorder="1" applyAlignment="1">
      <alignment vertical="center" wrapText="1"/>
    </xf>
    <xf numFmtId="10" fontId="0" fillId="3" borderId="2" xfId="0" applyNumberFormat="1" applyFill="1" applyBorder="1" applyAlignment="1">
      <alignment vertical="center" wrapText="1"/>
    </xf>
    <xf numFmtId="3" fontId="0" fillId="0" borderId="2" xfId="0" applyNumberForma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10" fontId="0" fillId="0" borderId="2" xfId="0" applyNumberForma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9" fontId="0" fillId="3" borderId="0" xfId="0" applyNumberForma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2" fontId="0" fillId="3" borderId="2" xfId="0" applyNumberFormat="1" applyFill="1" applyBorder="1" applyAlignment="1">
      <alignment vertical="center" wrapText="1"/>
    </xf>
    <xf numFmtId="9" fontId="0" fillId="6" borderId="2" xfId="0" applyNumberForma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3" fontId="0" fillId="6" borderId="2" xfId="0" applyNumberFormat="1" applyFill="1" applyBorder="1" applyAlignment="1">
      <alignment vertical="center" wrapText="1"/>
    </xf>
    <xf numFmtId="10" fontId="0" fillId="2" borderId="2" xfId="0" applyNumberForma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10" fontId="1" fillId="0" borderId="0" xfId="1" applyNumberFormat="1" applyFont="1" applyAlignment="1">
      <alignment vertical="center" wrapText="1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colors>
    <mruColors>
      <color rgb="FFFFFF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Churn rate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Profit</c:v>
          </c:tx>
          <c:cat>
            <c:numRef>
              <c:f>Analysis!$A$23:$A$42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Analysis!$C$23:$C$42</c:f>
              <c:numCache>
                <c:formatCode>0.00%</c:formatCode>
                <c:ptCount val="20"/>
                <c:pt idx="0">
                  <c:v>0.10205141338451533</c:v>
                </c:pt>
                <c:pt idx="1">
                  <c:v>8.197436223461603E-2</c:v>
                </c:pt>
                <c:pt idx="2">
                  <c:v>6.1897311084716744E-2</c:v>
                </c:pt>
                <c:pt idx="3">
                  <c:v>4.4092602990552968E-2</c:v>
                </c:pt>
                <c:pt idx="4">
                  <c:v>2.9908431938683651E-2</c:v>
                </c:pt>
                <c:pt idx="5">
                  <c:v>1.9543167018531503E-2</c:v>
                </c:pt>
                <c:pt idx="6">
                  <c:v>1.2436851855040263E-2</c:v>
                </c:pt>
                <c:pt idx="7">
                  <c:v>7.7754114143016393E-3</c:v>
                </c:pt>
                <c:pt idx="8">
                  <c:v>4.8057028430326682E-3</c:v>
                </c:pt>
                <c:pt idx="9">
                  <c:v>2.9488161813207058E-3</c:v>
                </c:pt>
                <c:pt idx="10">
                  <c:v>1.801295230102381E-3</c:v>
                </c:pt>
                <c:pt idx="11">
                  <c:v>1.097284372099223E-3</c:v>
                </c:pt>
                <c:pt idx="12">
                  <c:v>6.6729388693528369E-4</c:v>
                </c:pt>
                <c:pt idx="13">
                  <c:v>4.0538341262335746E-4</c:v>
                </c:pt>
                <c:pt idx="14">
                  <c:v>2.4611691618787302E-4</c:v>
                </c:pt>
                <c:pt idx="15">
                  <c:v>1.4936568124815618E-4</c:v>
                </c:pt>
                <c:pt idx="16">
                  <c:v>9.0627352437464885E-5</c:v>
                </c:pt>
                <c:pt idx="17">
                  <c:v>5.4980226140569641E-5</c:v>
                </c:pt>
                <c:pt idx="18">
                  <c:v>3.3351593574781571E-5</c:v>
                </c:pt>
                <c:pt idx="19">
                  <c:v>2.0230383339364423E-5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30732288"/>
        <c:axId val="30734208"/>
      </c:lineChart>
      <c:catAx>
        <c:axId val="30732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Score band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0734208"/>
        <c:crosses val="autoZero"/>
        <c:auto val="1"/>
        <c:lblAlgn val="ctr"/>
        <c:lblOffset val="100"/>
        <c:noMultiLvlLbl val="0"/>
      </c:catAx>
      <c:valAx>
        <c:axId val="30734208"/>
        <c:scaling>
          <c:orientation val="minMax"/>
        </c:scaling>
        <c:delete val="0"/>
        <c:axPos val="l"/>
        <c:majorGridlines/>
        <c:numFmt formatCode="0.0%" sourceLinked="0"/>
        <c:majorTickMark val="out"/>
        <c:minorTickMark val="none"/>
        <c:tickLblPos val="nextTo"/>
        <c:crossAx val="30732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Optimal profit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Profit</c:v>
          </c:tx>
          <c:xVal>
            <c:numRef>
              <c:f>Analysis!$D$51:$D$65</c:f>
              <c:numCache>
                <c:formatCode>0.00%</c:formatCode>
                <c:ptCount val="15"/>
                <c:pt idx="0">
                  <c:v>0.78355307915990313</c:v>
                </c:pt>
                <c:pt idx="1">
                  <c:v>0.73814058558178486</c:v>
                </c:pt>
                <c:pt idx="2">
                  <c:v>0.67058916419207359</c:v>
                </c:pt>
                <c:pt idx="3">
                  <c:v>0.56377480110115519</c:v>
                </c:pt>
                <c:pt idx="4">
                  <c:v>0.53545328308621154</c:v>
                </c:pt>
                <c:pt idx="5">
                  <c:v>0.5042804625535795</c:v>
                </c:pt>
                <c:pt idx="6">
                  <c:v>0.47008047627652105</c:v>
                </c:pt>
                <c:pt idx="7">
                  <c:v>0.45181156366759845</c:v>
                </c:pt>
                <c:pt idx="8">
                  <c:v>0.43275992861640566</c:v>
                </c:pt>
                <c:pt idx="9">
                  <c:v>0.39235974895745873</c:v>
                </c:pt>
                <c:pt idx="10">
                  <c:v>0.34911960149763366</c:v>
                </c:pt>
                <c:pt idx="11">
                  <c:v>0.33113180694146682</c:v>
                </c:pt>
                <c:pt idx="12">
                  <c:v>0.32658129310000072</c:v>
                </c:pt>
                <c:pt idx="13">
                  <c:v>0.30354875632112466</c:v>
                </c:pt>
                <c:pt idx="14">
                  <c:v>0.2801380736298591</c:v>
                </c:pt>
              </c:numCache>
            </c:numRef>
          </c:xVal>
          <c:yVal>
            <c:numRef>
              <c:f>Analysis!$E$51:$E$65</c:f>
              <c:numCache>
                <c:formatCode>#,##0</c:formatCode>
                <c:ptCount val="15"/>
                <c:pt idx="0">
                  <c:v>16849340.109945543</c:v>
                </c:pt>
                <c:pt idx="1">
                  <c:v>15330310.23044724</c:v>
                </c:pt>
                <c:pt idx="2">
                  <c:v>13134993.026854187</c:v>
                </c:pt>
                <c:pt idx="3">
                  <c:v>10018791.809949901</c:v>
                </c:pt>
                <c:pt idx="4">
                  <c:v>9281163.2595172822</c:v>
                </c:pt>
                <c:pt idx="5">
                  <c:v>8476737.6308632605</c:v>
                </c:pt>
                <c:pt idx="6">
                  <c:v>7606997.5719227158</c:v>
                </c:pt>
                <c:pt idx="7">
                  <c:v>7149194.9738552794</c:v>
                </c:pt>
                <c:pt idx="8">
                  <c:v>6677392.6924372278</c:v>
                </c:pt>
                <c:pt idx="9">
                  <c:v>5697230.307047829</c:v>
                </c:pt>
                <c:pt idx="10">
                  <c:v>4680287.2542042509</c:v>
                </c:pt>
                <c:pt idx="11">
                  <c:v>4267211.4874376934</c:v>
                </c:pt>
                <c:pt idx="12">
                  <c:v>4163641.1187159233</c:v>
                </c:pt>
                <c:pt idx="13">
                  <c:v>3645139.2553013191</c:v>
                </c:pt>
                <c:pt idx="14">
                  <c:v>3127820.3287437577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50208"/>
        <c:axId val="30752128"/>
      </c:scatterChart>
      <c:valAx>
        <c:axId val="30750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Gini</a:t>
                </a:r>
              </a:p>
            </c:rich>
          </c:tx>
          <c:layout/>
          <c:overlay val="0"/>
        </c:title>
        <c:numFmt formatCode="0.00%" sourceLinked="1"/>
        <c:majorTickMark val="none"/>
        <c:minorTickMark val="none"/>
        <c:tickLblPos val="nextTo"/>
        <c:crossAx val="30752128"/>
        <c:crosses val="autoZero"/>
        <c:crossBetween val="midCat"/>
      </c:valAx>
      <c:valAx>
        <c:axId val="30752128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307502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Profit</c:v>
          </c:tx>
          <c:cat>
            <c:numRef>
              <c:f>Analysis!$AG$23:$AG$42</c:f>
              <c:numCache>
                <c:formatCode>0.00%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cat>
          <c:val>
            <c:numRef>
              <c:f>Analysis!$AE$23:$AE$42</c:f>
              <c:numCache>
                <c:formatCode>0.00</c:formatCode>
                <c:ptCount val="20"/>
                <c:pt idx="0">
                  <c:v>-2925604.2523357086</c:v>
                </c:pt>
                <c:pt idx="1">
                  <c:v>-11472782.826643217</c:v>
                </c:pt>
                <c:pt idx="2">
                  <c:v>-25641535.72292253</c:v>
                </c:pt>
                <c:pt idx="3">
                  <c:v>-44795606.885567695</c:v>
                </c:pt>
                <c:pt idx="4">
                  <c:v>-67921245.942736268</c:v>
                </c:pt>
                <c:pt idx="5">
                  <c:v>-93949159.177547455</c:v>
                </c:pt>
                <c:pt idx="6">
                  <c:v>-121966840.65813619</c:v>
                </c:pt>
                <c:pt idx="7">
                  <c:v>-151289725.46213174</c:v>
                </c:pt>
                <c:pt idx="8">
                  <c:v>-181444128.66608259</c:v>
                </c:pt>
                <c:pt idx="9">
                  <c:v>-212118460.1353128</c:v>
                </c:pt>
                <c:pt idx="10">
                  <c:v>-243114097.47088414</c:v>
                </c:pt>
                <c:pt idx="11">
                  <c:v>-274306857.84669638</c:v>
                </c:pt>
                <c:pt idx="12">
                  <c:v>-305620015.5583545</c:v>
                </c:pt>
                <c:pt idx="13">
                  <c:v>-337006508.20281994</c:v>
                </c:pt>
                <c:pt idx="14">
                  <c:v>-368437595.46628731</c:v>
                </c:pt>
                <c:pt idx="15">
                  <c:v>-399895773.0755378</c:v>
                </c:pt>
                <c:pt idx="16">
                  <c:v>-431370397.41685534</c:v>
                </c:pt>
                <c:pt idx="17">
                  <c:v>-462855002.95353597</c:v>
                </c:pt>
                <c:pt idx="18">
                  <c:v>-494345664.50733507</c:v>
                </c:pt>
                <c:pt idx="19">
                  <c:v>-525840000.00000006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30781440"/>
        <c:axId val="30783360"/>
      </c:lineChart>
      <c:catAx>
        <c:axId val="30781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Acceptance rate</a:t>
                </a:r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crossAx val="30783360"/>
        <c:crosses val="autoZero"/>
        <c:auto val="1"/>
        <c:lblAlgn val="ctr"/>
        <c:lblOffset val="100"/>
        <c:noMultiLvlLbl val="0"/>
      </c:catAx>
      <c:valAx>
        <c:axId val="30783360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30781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Cost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Profit</c:v>
          </c:tx>
          <c:cat>
            <c:numRef>
              <c:f>Analysis!$AG$23:$AG$42</c:f>
              <c:numCache>
                <c:formatCode>0.00%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cat>
          <c:val>
            <c:numRef>
              <c:f>Analysis!$AI$23:$AI$42</c:f>
              <c:numCache>
                <c:formatCode>0.00</c:formatCode>
                <c:ptCount val="20"/>
                <c:pt idx="0">
                  <c:v>31500000</c:v>
                </c:pt>
                <c:pt idx="1">
                  <c:v>63000000</c:v>
                </c:pt>
                <c:pt idx="2">
                  <c:v>94500000</c:v>
                </c:pt>
                <c:pt idx="3">
                  <c:v>126000000</c:v>
                </c:pt>
                <c:pt idx="4">
                  <c:v>157500000</c:v>
                </c:pt>
                <c:pt idx="5">
                  <c:v>189000000</c:v>
                </c:pt>
                <c:pt idx="6">
                  <c:v>220500000</c:v>
                </c:pt>
                <c:pt idx="7">
                  <c:v>252000000</c:v>
                </c:pt>
                <c:pt idx="8">
                  <c:v>283500000</c:v>
                </c:pt>
                <c:pt idx="9">
                  <c:v>315000000</c:v>
                </c:pt>
                <c:pt idx="10">
                  <c:v>346500000</c:v>
                </c:pt>
                <c:pt idx="11">
                  <c:v>378000000</c:v>
                </c:pt>
                <c:pt idx="12">
                  <c:v>409500000</c:v>
                </c:pt>
                <c:pt idx="13">
                  <c:v>441000000</c:v>
                </c:pt>
                <c:pt idx="14">
                  <c:v>472500000</c:v>
                </c:pt>
                <c:pt idx="15">
                  <c:v>504000000</c:v>
                </c:pt>
                <c:pt idx="16">
                  <c:v>535500000</c:v>
                </c:pt>
                <c:pt idx="17">
                  <c:v>567000000</c:v>
                </c:pt>
                <c:pt idx="18">
                  <c:v>598500000</c:v>
                </c:pt>
                <c:pt idx="19">
                  <c:v>630000000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30791552"/>
        <c:axId val="30797824"/>
      </c:lineChart>
      <c:catAx>
        <c:axId val="30791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Acceptance rate</a:t>
                </a:r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crossAx val="30797824"/>
        <c:crosses val="autoZero"/>
        <c:auto val="1"/>
        <c:lblAlgn val="ctr"/>
        <c:lblOffset val="100"/>
        <c:noMultiLvlLbl val="0"/>
      </c:catAx>
      <c:valAx>
        <c:axId val="30797824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30791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Income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Profit</c:v>
          </c:tx>
          <c:cat>
            <c:numRef>
              <c:f>Analysis!$AG$23:$AG$42</c:f>
              <c:numCache>
                <c:formatCode>0.00%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cat>
          <c:val>
            <c:numRef>
              <c:f>Analysis!$AH$23:$AH$42</c:f>
              <c:numCache>
                <c:formatCode>0.00</c:formatCode>
                <c:ptCount val="20"/>
                <c:pt idx="0">
                  <c:v>28574395.747664291</c:v>
                </c:pt>
                <c:pt idx="1">
                  <c:v>51527217.173356786</c:v>
                </c:pt>
                <c:pt idx="2">
                  <c:v>68858464.277077466</c:v>
                </c:pt>
                <c:pt idx="3">
                  <c:v>81204393.114432305</c:v>
                </c:pt>
                <c:pt idx="4">
                  <c:v>89578754.057263732</c:v>
                </c:pt>
                <c:pt idx="5">
                  <c:v>95050840.822452545</c:v>
                </c:pt>
                <c:pt idx="6">
                  <c:v>98533159.341863826</c:v>
                </c:pt>
                <c:pt idx="7">
                  <c:v>100710274.53786829</c:v>
                </c:pt>
                <c:pt idx="8">
                  <c:v>102055871.33391744</c:v>
                </c:pt>
                <c:pt idx="9">
                  <c:v>102881539.86468723</c:v>
                </c:pt>
                <c:pt idx="10">
                  <c:v>103385902.5291159</c:v>
                </c:pt>
                <c:pt idx="11">
                  <c:v>103693142.15330368</c:v>
                </c:pt>
                <c:pt idx="12">
                  <c:v>103879984.44164556</c:v>
                </c:pt>
                <c:pt idx="13">
                  <c:v>103993491.7971801</c:v>
                </c:pt>
                <c:pt idx="14">
                  <c:v>104062404.5337127</c:v>
                </c:pt>
                <c:pt idx="15">
                  <c:v>104104226.92446218</c:v>
                </c:pt>
                <c:pt idx="16">
                  <c:v>104129602.58314468</c:v>
                </c:pt>
                <c:pt idx="17">
                  <c:v>104144997.04646404</c:v>
                </c:pt>
                <c:pt idx="18">
                  <c:v>104154335.49266498</c:v>
                </c:pt>
                <c:pt idx="19">
                  <c:v>104160000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30822784"/>
        <c:axId val="30824704"/>
      </c:lineChart>
      <c:catAx>
        <c:axId val="30822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Acceptance rate</a:t>
                </a:r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crossAx val="30824704"/>
        <c:crosses val="autoZero"/>
        <c:auto val="1"/>
        <c:lblAlgn val="ctr"/>
        <c:lblOffset val="100"/>
        <c:noMultiLvlLbl val="0"/>
      </c:catAx>
      <c:valAx>
        <c:axId val="30824704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308227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102577</xdr:colOff>
      <xdr:row>0</xdr:row>
      <xdr:rowOff>51288</xdr:rowOff>
    </xdr:from>
    <xdr:to>
      <xdr:col>7</xdr:col>
      <xdr:colOff>549519</xdr:colOff>
      <xdr:row>18</xdr:row>
      <xdr:rowOff>146538</xdr:rowOff>
    </xdr:to>
    <xdr:graphicFrame macro="">
      <xdr:nvGraphicFramePr>
        <xdr:cNvPr id="3" name="Wykres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66</xdr:row>
      <xdr:rowOff>0</xdr:rowOff>
    </xdr:from>
    <xdr:to>
      <xdr:col>8</xdr:col>
      <xdr:colOff>0</xdr:colOff>
      <xdr:row>82</xdr:row>
      <xdr:rowOff>146539</xdr:rowOff>
    </xdr:to>
    <xdr:graphicFrame macro="">
      <xdr:nvGraphicFramePr>
        <xdr:cNvPr id="4" name="Wykres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0</xdr:row>
      <xdr:rowOff>0</xdr:rowOff>
    </xdr:from>
    <xdr:to>
      <xdr:col>15</xdr:col>
      <xdr:colOff>600074</xdr:colOff>
      <xdr:row>19</xdr:row>
      <xdr:rowOff>152399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0</xdr:rowOff>
    </xdr:from>
    <xdr:to>
      <xdr:col>15</xdr:col>
      <xdr:colOff>581025</xdr:colOff>
      <xdr:row>41</xdr:row>
      <xdr:rowOff>152399</xdr:rowOff>
    </xdr:to>
    <xdr:graphicFrame macro="">
      <xdr:nvGraphicFramePr>
        <xdr:cNvPr id="4" name="Wykres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44</xdr:row>
      <xdr:rowOff>0</xdr:rowOff>
    </xdr:from>
    <xdr:to>
      <xdr:col>15</xdr:col>
      <xdr:colOff>581025</xdr:colOff>
      <xdr:row>63</xdr:row>
      <xdr:rowOff>152399</xdr:rowOff>
    </xdr:to>
    <xdr:graphicFrame macro="">
      <xdr:nvGraphicFramePr>
        <xdr:cNvPr id="5" name="Wykres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karprza/Ustawienia%20lokalne/Temporary%20Internet%20Files/OLK77/1%20-%20Modele%20YOUNG%20Final/300107%20-%20perf%20modele%20DG%20ap%20reint%20modele%20ACP%2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hareserver.cofinoga.net\DATA\Data\SDSC_SCORES\Quelle\Preacc%20CP\R&#233;int&#233;gration\P&#233;nalit&#233;%20Variable\Mod&#232;le%20Final\Mod&#232;le%20Fin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"/>
      <sheetName val="Modele sur DG ap modele acp 2"/>
      <sheetName val="DG"/>
      <sheetName val="DG + BKR"/>
      <sheetName val="Comparaison perfs"/>
      <sheetName val="Score SD"/>
      <sheetName val="Score actuel"/>
      <sheetName val="Test valid"/>
      <sheetName val="scoresd valid"/>
      <sheetName val="DG + BKR Def"/>
      <sheetName val="DG + BKR Rev"/>
      <sheetName val="DG + BKR FT"/>
      <sheetName val="Score actuel Def"/>
      <sheetName val="Score actuel Rev"/>
      <sheetName val="Score actuel FT"/>
      <sheetName val="DG Def"/>
      <sheetName val="DG Rev"/>
      <sheetName val="DG FT"/>
      <sheetName val="Scoresd Def"/>
      <sheetName val="Scoresd Rev"/>
      <sheetName val="Scoresd FT"/>
      <sheetName val="DG + BKR FT hors REFSCO"/>
      <sheetName val="score actuel FT hors REFSCO"/>
      <sheetName val="DG FT hors REFSCO"/>
      <sheetName val="score SD FT hors REFSCO"/>
    </sheetNames>
    <sheetDataSet>
      <sheetData sheetId="0">
        <row r="1">
          <cell r="A1" t="str">
            <v>xid1</v>
          </cell>
          <cell r="B1" t="str">
            <v>xid2</v>
          </cell>
          <cell r="C1" t="str">
            <v>xid3</v>
          </cell>
        </row>
        <row r="2">
          <cell r="A2">
            <v>28</v>
          </cell>
          <cell r="B2">
            <v>37</v>
          </cell>
          <cell r="C2">
            <v>60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Grille 1 Old"/>
      <sheetName val="9"/>
      <sheetName val="Grille 9 Old"/>
      <sheetName val="Final 1"/>
      <sheetName val="Final 1 10"/>
      <sheetName val="Final 2"/>
      <sheetName val="Final 2 10"/>
      <sheetName val="Final 3 bof"/>
      <sheetName val="Final 3 10 bof"/>
      <sheetName val="Final 4"/>
      <sheetName val="Final 4 10"/>
      <sheetName val="Final 5"/>
      <sheetName val="Final 5 10"/>
      <sheetName val="Final 6"/>
      <sheetName val="Final 6 10"/>
      <sheetName val="Final 7"/>
      <sheetName val="Final 7 10"/>
      <sheetName val="Final 8"/>
      <sheetName val="Final 8 10"/>
      <sheetName val="Final 8bis"/>
      <sheetName val="Final 8bis 10"/>
      <sheetName val="Feuil1"/>
      <sheetName val="Final 9"/>
      <sheetName val="Final 9 10"/>
      <sheetName val="test"/>
      <sheetName val="Grille 1"/>
      <sheetName val="Grille 9"/>
    </sheetNames>
    <sheetDataSet>
      <sheetData sheetId="0"/>
      <sheetData sheetId="1"/>
      <sheetData sheetId="2">
        <row r="1">
          <cell r="A1" t="str">
            <v>a_age1</v>
          </cell>
          <cell r="B1" t="str">
            <v>a_age2</v>
          </cell>
          <cell r="C1" t="str">
            <v>a_age3</v>
          </cell>
        </row>
        <row r="2">
          <cell r="A2">
            <v>31</v>
          </cell>
          <cell r="B2">
            <v>43</v>
          </cell>
          <cell r="C2">
            <v>62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5"/>
  <sheetViews>
    <sheetView tabSelected="1" topLeftCell="A34" zoomScale="115" zoomScaleNormal="115" workbookViewId="0">
      <selection activeCell="D23" sqref="D23:E29"/>
    </sheetView>
  </sheetViews>
  <sheetFormatPr defaultRowHeight="12.75" x14ac:dyDescent="0.2"/>
  <cols>
    <col min="1" max="1" width="35.42578125" style="2" customWidth="1"/>
    <col min="2" max="2" width="12.140625" style="2" customWidth="1"/>
    <col min="3" max="3" width="12" style="2" customWidth="1"/>
    <col min="4" max="4" width="9.140625" style="2"/>
    <col min="5" max="5" width="12.28515625" style="2" customWidth="1"/>
    <col min="6" max="6" width="9.140625" style="2"/>
    <col min="7" max="7" width="13.5703125" style="2" customWidth="1"/>
    <col min="8" max="8" width="10.7109375" style="2" customWidth="1"/>
    <col min="9" max="9" width="10.140625" style="2" bestFit="1" customWidth="1"/>
    <col min="10" max="10" width="11.5703125" style="2" bestFit="1" customWidth="1"/>
    <col min="11" max="15" width="9.140625" style="2"/>
    <col min="16" max="16" width="11.28515625" style="2" customWidth="1"/>
    <col min="17" max="17" width="9.140625" style="2"/>
    <col min="18" max="18" width="11.140625" style="2" bestFit="1" customWidth="1"/>
    <col min="19" max="19" width="9.7109375" style="2" bestFit="1" customWidth="1"/>
    <col min="20" max="20" width="10.28515625" style="2" customWidth="1"/>
    <col min="21" max="22" width="9.140625" style="2"/>
    <col min="23" max="23" width="8.140625" style="2" customWidth="1"/>
    <col min="24" max="24" width="9.140625" style="2"/>
    <col min="25" max="25" width="12.5703125" style="2" bestFit="1" customWidth="1"/>
    <col min="26" max="28" width="11.5703125" style="2" bestFit="1" customWidth="1"/>
    <col min="29" max="29" width="9.140625" style="2"/>
    <col min="30" max="30" width="11.140625" style="2" bestFit="1" customWidth="1"/>
    <col min="31" max="31" width="11.5703125" style="2" bestFit="1" customWidth="1"/>
    <col min="32" max="33" width="9.140625" style="2"/>
    <col min="34" max="35" width="11.5703125" style="2" bestFit="1" customWidth="1"/>
    <col min="36" max="16384" width="9.140625" style="2"/>
  </cols>
  <sheetData>
    <row r="1" spans="1:2" ht="18" customHeight="1" x14ac:dyDescent="0.2">
      <c r="A1" s="12" t="s">
        <v>14</v>
      </c>
      <c r="B1" s="13">
        <v>7000000</v>
      </c>
    </row>
    <row r="2" spans="1:2" ht="18" customHeight="1" x14ac:dyDescent="0.2">
      <c r="A2" s="32" t="s">
        <v>27</v>
      </c>
      <c r="B2" s="13">
        <v>800</v>
      </c>
    </row>
    <row r="3" spans="1:2" ht="18" customHeight="1" x14ac:dyDescent="0.2">
      <c r="A3" s="12" t="s">
        <v>15</v>
      </c>
      <c r="B3" s="13">
        <v>90</v>
      </c>
    </row>
    <row r="4" spans="1:2" ht="18" customHeight="1" x14ac:dyDescent="0.2"/>
    <row r="5" spans="1:2" ht="18" customHeight="1" x14ac:dyDescent="0.2">
      <c r="A5" s="12" t="s">
        <v>11</v>
      </c>
      <c r="B5" s="15">
        <f>K44</f>
        <v>0.74836955640297209</v>
      </c>
    </row>
    <row r="6" spans="1:2" ht="18" customHeight="1" x14ac:dyDescent="0.2"/>
    <row r="7" spans="1:2" ht="18" customHeight="1" x14ac:dyDescent="0.2">
      <c r="A7" s="32" t="s">
        <v>25</v>
      </c>
      <c r="B7" s="31">
        <v>1.8599999999999998E-2</v>
      </c>
    </row>
    <row r="8" spans="1:2" ht="18" customHeight="1" x14ac:dyDescent="0.2">
      <c r="A8" s="32" t="s">
        <v>26</v>
      </c>
      <c r="B8" s="15" t="e">
        <f>E43/F43</f>
        <v>#DIV/0!</v>
      </c>
    </row>
    <row r="9" spans="1:2" ht="18" customHeight="1" x14ac:dyDescent="0.2">
      <c r="A9" s="12" t="s">
        <v>0</v>
      </c>
      <c r="B9" s="15">
        <f>F43/B43</f>
        <v>0</v>
      </c>
    </row>
    <row r="10" spans="1:2" ht="18" customHeight="1" x14ac:dyDescent="0.2">
      <c r="A10" s="32" t="s">
        <v>18</v>
      </c>
      <c r="B10" s="15">
        <f>E43/G43</f>
        <v>0</v>
      </c>
    </row>
    <row r="11" spans="1:2" ht="18" customHeight="1" x14ac:dyDescent="0.2">
      <c r="A11" s="12" t="s">
        <v>16</v>
      </c>
      <c r="B11" s="16">
        <f>Z43</f>
        <v>630000000</v>
      </c>
    </row>
    <row r="12" spans="1:2" ht="18" customHeight="1" x14ac:dyDescent="0.2">
      <c r="A12" s="12" t="s">
        <v>1</v>
      </c>
      <c r="B12" s="16">
        <f>Y43</f>
        <v>104160000</v>
      </c>
    </row>
    <row r="13" spans="1:2" ht="18" customHeight="1" x14ac:dyDescent="0.2">
      <c r="A13" s="12" t="s">
        <v>2</v>
      </c>
      <c r="B13" s="16">
        <f>B12-B11</f>
        <v>-525840000</v>
      </c>
    </row>
    <row r="14" spans="1:2" ht="18" customHeight="1" x14ac:dyDescent="0.2"/>
    <row r="15" spans="1:2" ht="18" customHeight="1" x14ac:dyDescent="0.2">
      <c r="A15" s="12" t="s">
        <v>17</v>
      </c>
      <c r="B15" s="16">
        <f>AB43</f>
        <v>0</v>
      </c>
    </row>
    <row r="16" spans="1:2" ht="18" customHeight="1" x14ac:dyDescent="0.2">
      <c r="A16" s="12" t="s">
        <v>3</v>
      </c>
      <c r="B16" s="16">
        <f>AA43</f>
        <v>0</v>
      </c>
    </row>
    <row r="17" spans="1:37" ht="18" customHeight="1" x14ac:dyDescent="0.2">
      <c r="A17" s="12" t="s">
        <v>4</v>
      </c>
      <c r="B17" s="16">
        <f>B16-B15</f>
        <v>0</v>
      </c>
    </row>
    <row r="18" spans="1:37" ht="18" customHeight="1" x14ac:dyDescent="0.2">
      <c r="A18" s="12" t="s">
        <v>19</v>
      </c>
      <c r="B18" s="16">
        <f>F43</f>
        <v>0</v>
      </c>
    </row>
    <row r="19" spans="1:37" ht="18" customHeight="1" x14ac:dyDescent="0.2">
      <c r="A19" s="32" t="s">
        <v>28</v>
      </c>
      <c r="B19" s="16">
        <f>E43</f>
        <v>0</v>
      </c>
    </row>
    <row r="20" spans="1:37" ht="18" customHeight="1" x14ac:dyDescent="0.2">
      <c r="A20" s="32" t="s">
        <v>29</v>
      </c>
      <c r="B20" s="16">
        <f>B1*B7-B19</f>
        <v>130199.99999999999</v>
      </c>
      <c r="Q20" s="35" t="s">
        <v>35</v>
      </c>
    </row>
    <row r="22" spans="1:37" ht="38.25" x14ac:dyDescent="0.2">
      <c r="A22" s="2" t="s">
        <v>5</v>
      </c>
      <c r="B22" s="2" t="s">
        <v>14</v>
      </c>
      <c r="C22" s="2" t="s">
        <v>20</v>
      </c>
      <c r="D22" s="2" t="s">
        <v>6</v>
      </c>
      <c r="E22" s="2" t="s">
        <v>23</v>
      </c>
      <c r="F22" s="2" t="s">
        <v>7</v>
      </c>
      <c r="G22" s="2" t="s">
        <v>21</v>
      </c>
      <c r="H22" s="35" t="s">
        <v>31</v>
      </c>
      <c r="I22" s="35" t="s">
        <v>32</v>
      </c>
      <c r="J22" s="35" t="s">
        <v>33</v>
      </c>
      <c r="K22" s="3" t="s">
        <v>10</v>
      </c>
      <c r="L22" s="19" t="s">
        <v>24</v>
      </c>
      <c r="M22" s="35" t="s">
        <v>34</v>
      </c>
      <c r="N22" s="36" t="s">
        <v>36</v>
      </c>
      <c r="O22" s="2" t="s">
        <v>37</v>
      </c>
      <c r="P22" s="35" t="s">
        <v>38</v>
      </c>
      <c r="Q22" s="2" t="s">
        <v>22</v>
      </c>
      <c r="R22" s="35" t="s">
        <v>39</v>
      </c>
      <c r="S22" s="35" t="s">
        <v>40</v>
      </c>
      <c r="T22" s="35" t="s">
        <v>34</v>
      </c>
      <c r="U22" s="35" t="s">
        <v>32</v>
      </c>
      <c r="V22" s="35" t="s">
        <v>33</v>
      </c>
      <c r="W22" s="3" t="s">
        <v>10</v>
      </c>
      <c r="Y22" s="35" t="s">
        <v>41</v>
      </c>
      <c r="Z22" s="35" t="s">
        <v>42</v>
      </c>
      <c r="AA22" s="35" t="s">
        <v>43</v>
      </c>
      <c r="AB22" s="35" t="s">
        <v>44</v>
      </c>
      <c r="AD22" s="35" t="s">
        <v>45</v>
      </c>
      <c r="AE22" s="35" t="s">
        <v>46</v>
      </c>
      <c r="AF22" s="35" t="s">
        <v>47</v>
      </c>
      <c r="AG22" s="35" t="s">
        <v>48</v>
      </c>
      <c r="AH22" s="35" t="s">
        <v>49</v>
      </c>
      <c r="AI22" s="35" t="s">
        <v>50</v>
      </c>
      <c r="AK22" s="2" t="s">
        <v>20</v>
      </c>
    </row>
    <row r="23" spans="1:37" x14ac:dyDescent="0.2">
      <c r="A23" s="2">
        <v>1</v>
      </c>
      <c r="B23" s="7">
        <f>$B$1/20</f>
        <v>350000</v>
      </c>
      <c r="C23" s="8">
        <f t="shared" ref="C23:C43" si="0">AK23*$B$7/$AK$43</f>
        <v>0.10205141338451533</v>
      </c>
      <c r="D23" s="24">
        <f>AC23</f>
        <v>0</v>
      </c>
      <c r="E23" s="5">
        <f>B23*C23*D23</f>
        <v>0</v>
      </c>
      <c r="F23" s="5">
        <f>B23*D23</f>
        <v>0</v>
      </c>
      <c r="G23" s="5">
        <f t="shared" ref="G23:G42" si="1">B23*C23</f>
        <v>35717.994684580364</v>
      </c>
      <c r="H23" s="4">
        <f>G23/G44</f>
        <v>0.27433175640998753</v>
      </c>
      <c r="I23" s="4">
        <f>P23</f>
        <v>4.5748348615013479E-2</v>
      </c>
      <c r="J23" s="4">
        <f>H23</f>
        <v>0.27433175640998753</v>
      </c>
      <c r="K23" s="4">
        <f>I23*J23</f>
        <v>1.2550224828413068E-2</v>
      </c>
      <c r="L23" s="27">
        <f>C23/$B$7</f>
        <v>5.4866351281997492</v>
      </c>
      <c r="M23" s="18">
        <f>G23</f>
        <v>35717.994684580364</v>
      </c>
      <c r="N23" s="27">
        <f>(M23/AF23)/$B$7</f>
        <v>5.4866351281997492</v>
      </c>
      <c r="O23" s="5">
        <f t="shared" ref="O23:O42" si="2">B23-G23</f>
        <v>314282.00531541964</v>
      </c>
      <c r="P23" s="4">
        <f>O23/O43</f>
        <v>4.5748348615013479E-2</v>
      </c>
      <c r="Q23" s="5">
        <f t="shared" ref="Q23:Q42" si="3">F23-E23</f>
        <v>0</v>
      </c>
      <c r="R23" s="5">
        <f>B23*C23*D23</f>
        <v>0</v>
      </c>
      <c r="S23" s="4" t="e">
        <f t="shared" ref="S23:S25" si="4">SUM(Q20:Q23)/$Q$43</f>
        <v>#DIV/0!</v>
      </c>
      <c r="T23" s="4" t="e">
        <f t="shared" ref="T23:T25" si="5">SUM(R20:R23)/$R$43</f>
        <v>#DIV/0!</v>
      </c>
      <c r="U23" s="4" t="e">
        <f>S23</f>
        <v>#DIV/0!</v>
      </c>
      <c r="V23" s="4" t="e">
        <f>T23</f>
        <v>#DIV/0!</v>
      </c>
      <c r="W23" s="4" t="e">
        <f>U23*V23</f>
        <v>#DIV/0!</v>
      </c>
      <c r="Y23" s="18">
        <f>G23*$B$2</f>
        <v>28574395.747664291</v>
      </c>
      <c r="Z23" s="18">
        <f>B23*$B$3</f>
        <v>31500000</v>
      </c>
      <c r="AA23" s="2">
        <f>Y23*D23</f>
        <v>0</v>
      </c>
      <c r="AB23" s="2">
        <f>Z23*D23</f>
        <v>0</v>
      </c>
      <c r="AC23" s="2">
        <f>IF(AD23&lt;0, 0, 1)</f>
        <v>0</v>
      </c>
      <c r="AD23" s="18">
        <f>Y23-Z23</f>
        <v>-2925604.2523357086</v>
      </c>
      <c r="AE23" s="18">
        <f>AD23</f>
        <v>-2925604.2523357086</v>
      </c>
      <c r="AF23" s="5">
        <f>B23</f>
        <v>350000</v>
      </c>
      <c r="AG23" s="4">
        <f>AF23/$B$43</f>
        <v>0.05</v>
      </c>
      <c r="AH23" s="18">
        <f>Y23</f>
        <v>28574395.747664291</v>
      </c>
      <c r="AI23" s="18">
        <f>Z23</f>
        <v>31500000</v>
      </c>
      <c r="AK23" s="8">
        <f>1/(1+EXP(-($D$45*A23+$D$46)))</f>
        <v>0.62245933120185459</v>
      </c>
    </row>
    <row r="24" spans="1:37" x14ac:dyDescent="0.2">
      <c r="A24" s="2">
        <v>2</v>
      </c>
      <c r="B24" s="7">
        <f t="shared" ref="B24:B42" si="6">$B$1/20</f>
        <v>350000</v>
      </c>
      <c r="C24" s="8">
        <f t="shared" si="0"/>
        <v>8.197436223461603E-2</v>
      </c>
      <c r="D24" s="24">
        <f t="shared" ref="D24:D42" si="7">AC24</f>
        <v>0</v>
      </c>
      <c r="E24" s="5">
        <f t="shared" ref="E24:E42" si="8">B24*C24*D24</f>
        <v>0</v>
      </c>
      <c r="F24" s="5">
        <f t="shared" ref="F24:F42" si="9">B24*D24</f>
        <v>0</v>
      </c>
      <c r="G24" s="5">
        <f t="shared" si="1"/>
        <v>28691.026782115612</v>
      </c>
      <c r="H24" s="4">
        <f>SUM(G23:G24)/G44</f>
        <v>0.49469294521271889</v>
      </c>
      <c r="I24" s="4">
        <f>P23+P24</f>
        <v>0.13826792393500881</v>
      </c>
      <c r="J24" s="4">
        <f>H24-H23</f>
        <v>0.22036118880273137</v>
      </c>
      <c r="K24" s="4">
        <f t="shared" ref="K24:K42" si="10">I24*J24</f>
        <v>3.0468884091604174E-2</v>
      </c>
      <c r="L24" s="27">
        <f t="shared" ref="L24:L42" si="11">C24/$B$7</f>
        <v>4.407223776054626</v>
      </c>
      <c r="M24" s="18">
        <f>M23+G24</f>
        <v>64409.02146669598</v>
      </c>
      <c r="N24" s="27">
        <f t="shared" ref="N24:N42" si="12">(M24/AF24)/$B$7</f>
        <v>4.9469294521271872</v>
      </c>
      <c r="O24" s="5">
        <f t="shared" si="2"/>
        <v>321308.97321788437</v>
      </c>
      <c r="P24" s="4">
        <f>(O24+O23)/O43</f>
        <v>9.2519575319995342E-2</v>
      </c>
      <c r="Q24" s="5">
        <f t="shared" si="3"/>
        <v>0</v>
      </c>
      <c r="R24" s="5">
        <f t="shared" ref="R24:R42" si="13">B24*C24*D24</f>
        <v>0</v>
      </c>
      <c r="S24" s="4" t="e">
        <f t="shared" si="4"/>
        <v>#DIV/0!</v>
      </c>
      <c r="T24" s="4" t="e">
        <f t="shared" si="5"/>
        <v>#DIV/0!</v>
      </c>
      <c r="U24" s="4" t="e">
        <f>S24+S23</f>
        <v>#DIV/0!</v>
      </c>
      <c r="V24" s="4" t="e">
        <f>T24-T23</f>
        <v>#DIV/0!</v>
      </c>
      <c r="W24" s="4" t="e">
        <f t="shared" ref="W24:W42" si="14">U24*V24</f>
        <v>#DIV/0!</v>
      </c>
      <c r="Y24" s="18">
        <f t="shared" ref="Y24:Y42" si="15">G24*$B$2</f>
        <v>22952821.425692491</v>
      </c>
      <c r="Z24" s="18">
        <f t="shared" ref="Z24:Z42" si="16">B24*$B$3</f>
        <v>31500000</v>
      </c>
      <c r="AA24" s="2">
        <f t="shared" ref="AA24:AA42" si="17">Y24*D24</f>
        <v>0</v>
      </c>
      <c r="AB24" s="2">
        <f t="shared" ref="AB24:AB42" si="18">Z24*D24</f>
        <v>0</v>
      </c>
      <c r="AC24" s="2">
        <f t="shared" ref="AC24:AC42" si="19">IF(AD24&lt;0, 0, 1)</f>
        <v>0</v>
      </c>
      <c r="AD24" s="18">
        <f t="shared" ref="AD24:AD42" si="20">Y24-Z24</f>
        <v>-8547178.5743075088</v>
      </c>
      <c r="AE24" s="18">
        <f>AE23+AD24</f>
        <v>-11472782.826643217</v>
      </c>
      <c r="AF24" s="5">
        <f>AF23+B24</f>
        <v>700000</v>
      </c>
      <c r="AG24" s="4">
        <f t="shared" ref="AG24:AG42" si="21">AF24/$B$43</f>
        <v>0.1</v>
      </c>
      <c r="AH24" s="18">
        <f>AH23+Y24</f>
        <v>51527217.173356786</v>
      </c>
      <c r="AI24" s="18">
        <f>AI23+Z24</f>
        <v>63000000</v>
      </c>
      <c r="AK24" s="8">
        <f t="shared" ref="AK24:AK42" si="22">1/(1+EXP(-($D$45*A24+$D$46)))</f>
        <v>0.5</v>
      </c>
    </row>
    <row r="25" spans="1:37" x14ac:dyDescent="0.2">
      <c r="A25" s="2">
        <v>3</v>
      </c>
      <c r="B25" s="7">
        <f t="shared" si="6"/>
        <v>350000</v>
      </c>
      <c r="C25" s="8">
        <f t="shared" si="0"/>
        <v>6.1897311084716744E-2</v>
      </c>
      <c r="D25" s="24">
        <f t="shared" si="7"/>
        <v>0</v>
      </c>
      <c r="E25" s="5">
        <f t="shared" si="8"/>
        <v>0</v>
      </c>
      <c r="F25" s="5">
        <f t="shared" si="9"/>
        <v>0</v>
      </c>
      <c r="G25" s="5">
        <f t="shared" si="1"/>
        <v>21664.05887965086</v>
      </c>
      <c r="H25" s="4">
        <f>SUM(G23:G25)/G44</f>
        <v>0.66108356640819399</v>
      </c>
      <c r="I25" s="4">
        <f t="shared" ref="I25:I42" si="23">P24+P25</f>
        <v>0.23283325543494093</v>
      </c>
      <c r="J25" s="4">
        <f t="shared" ref="J25:J42" si="24">H25-H24</f>
        <v>0.1663906211954751</v>
      </c>
      <c r="K25" s="4">
        <f t="shared" si="10"/>
        <v>3.8741270006784553E-2</v>
      </c>
      <c r="L25" s="27">
        <f t="shared" si="11"/>
        <v>3.3278124239095028</v>
      </c>
      <c r="M25" s="18">
        <f t="shared" ref="M25:M42" si="25">M24+G25</f>
        <v>86073.080346346833</v>
      </c>
      <c r="N25" s="27">
        <f t="shared" si="12"/>
        <v>4.407223776054626</v>
      </c>
      <c r="O25" s="5">
        <f t="shared" si="2"/>
        <v>328335.94112034916</v>
      </c>
      <c r="P25" s="4">
        <f>SUM(O23:O25)/O43</f>
        <v>0.14031368011494558</v>
      </c>
      <c r="Q25" s="5">
        <f t="shared" si="3"/>
        <v>0</v>
      </c>
      <c r="R25" s="5">
        <f t="shared" si="13"/>
        <v>0</v>
      </c>
      <c r="S25" s="4" t="e">
        <f t="shared" si="4"/>
        <v>#DIV/0!</v>
      </c>
      <c r="T25" s="4" t="e">
        <f t="shared" si="5"/>
        <v>#DIV/0!</v>
      </c>
      <c r="U25" s="4" t="e">
        <f t="shared" ref="U25:U42" si="26">S25+S24</f>
        <v>#DIV/0!</v>
      </c>
      <c r="V25" s="4" t="e">
        <f>T25-T24</f>
        <v>#DIV/0!</v>
      </c>
      <c r="W25" s="4" t="e">
        <f t="shared" si="14"/>
        <v>#DIV/0!</v>
      </c>
      <c r="Y25" s="18">
        <f t="shared" si="15"/>
        <v>17331247.103720687</v>
      </c>
      <c r="Z25" s="18">
        <f t="shared" si="16"/>
        <v>31500000</v>
      </c>
      <c r="AA25" s="2">
        <f t="shared" si="17"/>
        <v>0</v>
      </c>
      <c r="AB25" s="2">
        <f t="shared" si="18"/>
        <v>0</v>
      </c>
      <c r="AC25" s="2">
        <f t="shared" si="19"/>
        <v>0</v>
      </c>
      <c r="AD25" s="18">
        <f t="shared" si="20"/>
        <v>-14168752.896279313</v>
      </c>
      <c r="AE25" s="18">
        <f t="shared" ref="AE25:AE42" si="27">AE24+AD25</f>
        <v>-25641535.72292253</v>
      </c>
      <c r="AF25" s="5">
        <f t="shared" ref="AF25:AF42" si="28">AF24+B25</f>
        <v>1050000</v>
      </c>
      <c r="AG25" s="4">
        <f t="shared" si="21"/>
        <v>0.15</v>
      </c>
      <c r="AH25" s="18">
        <f t="shared" ref="AH25:AH42" si="29">AH24+Y25</f>
        <v>68858464.277077466</v>
      </c>
      <c r="AI25" s="18">
        <f t="shared" ref="AI25:AI42" si="30">AI24+Z25</f>
        <v>94500000</v>
      </c>
      <c r="AK25" s="8">
        <f t="shared" si="22"/>
        <v>0.37754066879814541</v>
      </c>
    </row>
    <row r="26" spans="1:37" x14ac:dyDescent="0.2">
      <c r="A26" s="2">
        <v>4</v>
      </c>
      <c r="B26" s="7">
        <f t="shared" si="6"/>
        <v>350000</v>
      </c>
      <c r="C26" s="8">
        <f t="shared" si="0"/>
        <v>4.4092602990552968E-2</v>
      </c>
      <c r="D26" s="24">
        <f t="shared" si="7"/>
        <v>0</v>
      </c>
      <c r="E26" s="5">
        <f t="shared" si="8"/>
        <v>0</v>
      </c>
      <c r="F26" s="5">
        <f t="shared" si="9"/>
        <v>0</v>
      </c>
      <c r="G26" s="5">
        <f t="shared" si="1"/>
        <v>15432.411046693538</v>
      </c>
      <c r="H26" s="4">
        <f>SUM(G23:G26)/G44</f>
        <v>0.7796120690709708</v>
      </c>
      <c r="I26" s="4">
        <f t="shared" si="23"/>
        <v>0.32932857263102455</v>
      </c>
      <c r="J26" s="4">
        <f t="shared" si="24"/>
        <v>0.11852850266277681</v>
      </c>
      <c r="K26" s="4">
        <f t="shared" si="10"/>
        <v>3.9034822598024883E-2</v>
      </c>
      <c r="L26" s="27">
        <f t="shared" si="11"/>
        <v>2.3705700532555363</v>
      </c>
      <c r="M26" s="18">
        <f t="shared" si="25"/>
        <v>101505.49139304037</v>
      </c>
      <c r="N26" s="27">
        <f t="shared" si="12"/>
        <v>3.8980603453548532</v>
      </c>
      <c r="O26" s="5">
        <f t="shared" si="2"/>
        <v>334567.58895330643</v>
      </c>
      <c r="P26" s="4">
        <f>SUM(O23:O26)/O43</f>
        <v>0.18901489251607898</v>
      </c>
      <c r="Q26" s="5">
        <f t="shared" si="3"/>
        <v>0</v>
      </c>
      <c r="R26" s="5">
        <f t="shared" si="13"/>
        <v>0</v>
      </c>
      <c r="S26" s="4" t="e">
        <f>SUM(Q23:Q26)/$Q$43</f>
        <v>#DIV/0!</v>
      </c>
      <c r="T26" s="4" t="e">
        <f>SUM(R23:R26)/$R$43</f>
        <v>#DIV/0!</v>
      </c>
      <c r="U26" s="4" t="e">
        <f t="shared" si="26"/>
        <v>#DIV/0!</v>
      </c>
      <c r="V26" s="4" t="e">
        <f t="shared" ref="V26:V42" si="31">T26-T25</f>
        <v>#DIV/0!</v>
      </c>
      <c r="W26" s="4" t="e">
        <f t="shared" si="14"/>
        <v>#DIV/0!</v>
      </c>
      <c r="Y26" s="18">
        <f t="shared" si="15"/>
        <v>12345928.837354831</v>
      </c>
      <c r="Z26" s="18">
        <f t="shared" si="16"/>
        <v>31500000</v>
      </c>
      <c r="AA26" s="2">
        <f t="shared" si="17"/>
        <v>0</v>
      </c>
      <c r="AB26" s="2">
        <f t="shared" si="18"/>
        <v>0</v>
      </c>
      <c r="AC26" s="2">
        <f t="shared" si="19"/>
        <v>0</v>
      </c>
      <c r="AD26" s="18">
        <f t="shared" si="20"/>
        <v>-19154071.162645169</v>
      </c>
      <c r="AE26" s="18">
        <f t="shared" si="27"/>
        <v>-44795606.885567695</v>
      </c>
      <c r="AF26" s="5">
        <f t="shared" si="28"/>
        <v>1400000</v>
      </c>
      <c r="AG26" s="4">
        <f t="shared" si="21"/>
        <v>0.2</v>
      </c>
      <c r="AH26" s="18">
        <f t="shared" si="29"/>
        <v>81204393.114432305</v>
      </c>
      <c r="AI26" s="18">
        <f t="shared" si="30"/>
        <v>126000000</v>
      </c>
      <c r="AK26" s="8">
        <f t="shared" si="22"/>
        <v>0.2689414213699951</v>
      </c>
    </row>
    <row r="27" spans="1:37" x14ac:dyDescent="0.2">
      <c r="A27" s="2">
        <v>5</v>
      </c>
      <c r="B27" s="7">
        <f t="shared" si="6"/>
        <v>350000</v>
      </c>
      <c r="C27" s="8">
        <f t="shared" si="0"/>
        <v>2.9908431938683651E-2</v>
      </c>
      <c r="D27" s="24">
        <f t="shared" si="7"/>
        <v>0</v>
      </c>
      <c r="E27" s="5">
        <f>B27*C27*D27</f>
        <v>0</v>
      </c>
      <c r="F27" s="5">
        <f>B27*D27</f>
        <v>0</v>
      </c>
      <c r="G27" s="5">
        <f t="shared" si="1"/>
        <v>10467.951178539277</v>
      </c>
      <c r="H27" s="4">
        <f>SUM(G23:G27)/G44</f>
        <v>0.86001107965883017</v>
      </c>
      <c r="I27" s="4">
        <f t="shared" si="23"/>
        <v>0.42745364727290158</v>
      </c>
      <c r="J27" s="4">
        <f t="shared" si="24"/>
        <v>8.0399010587859365E-2</v>
      </c>
      <c r="K27" s="4">
        <f t="shared" si="10"/>
        <v>3.4366850312913116E-2</v>
      </c>
      <c r="L27" s="27">
        <f t="shared" si="11"/>
        <v>1.6079802117571858</v>
      </c>
      <c r="M27" s="18">
        <f t="shared" si="25"/>
        <v>111973.44257157965</v>
      </c>
      <c r="N27" s="27">
        <f t="shared" si="12"/>
        <v>3.4400443186353202</v>
      </c>
      <c r="O27" s="5">
        <f t="shared" si="2"/>
        <v>339532.04882146075</v>
      </c>
      <c r="P27" s="4">
        <f>SUM(O23:O27)/O43</f>
        <v>0.23843875475682264</v>
      </c>
      <c r="Q27" s="5">
        <f t="shared" si="3"/>
        <v>0</v>
      </c>
      <c r="R27" s="5">
        <f t="shared" si="13"/>
        <v>0</v>
      </c>
      <c r="S27" s="4" t="e">
        <f>SUM(Q23:Q27)/$Q$43</f>
        <v>#DIV/0!</v>
      </c>
      <c r="T27" s="4" t="e">
        <f>SUM(R23:R27)/$R$43</f>
        <v>#DIV/0!</v>
      </c>
      <c r="U27" s="4" t="e">
        <f t="shared" si="26"/>
        <v>#DIV/0!</v>
      </c>
      <c r="V27" s="4" t="e">
        <f t="shared" si="31"/>
        <v>#DIV/0!</v>
      </c>
      <c r="W27" s="4" t="e">
        <f t="shared" si="14"/>
        <v>#DIV/0!</v>
      </c>
      <c r="Y27" s="18">
        <f t="shared" si="15"/>
        <v>8374360.9428314213</v>
      </c>
      <c r="Z27" s="18">
        <f t="shared" si="16"/>
        <v>31500000</v>
      </c>
      <c r="AA27" s="2">
        <f t="shared" si="17"/>
        <v>0</v>
      </c>
      <c r="AB27" s="2">
        <f t="shared" si="18"/>
        <v>0</v>
      </c>
      <c r="AC27" s="2">
        <f t="shared" si="19"/>
        <v>0</v>
      </c>
      <c r="AD27" s="18">
        <f t="shared" si="20"/>
        <v>-23125639.057168581</v>
      </c>
      <c r="AE27" s="18">
        <f t="shared" si="27"/>
        <v>-67921245.942736268</v>
      </c>
      <c r="AF27" s="5">
        <f t="shared" si="28"/>
        <v>1750000</v>
      </c>
      <c r="AG27" s="4">
        <f t="shared" si="21"/>
        <v>0.25</v>
      </c>
      <c r="AH27" s="18">
        <f t="shared" si="29"/>
        <v>89578754.057263732</v>
      </c>
      <c r="AI27" s="18">
        <f t="shared" si="30"/>
        <v>157500000</v>
      </c>
      <c r="AK27" s="8">
        <f t="shared" si="22"/>
        <v>0.18242552380635635</v>
      </c>
    </row>
    <row r="28" spans="1:37" x14ac:dyDescent="0.2">
      <c r="A28" s="2">
        <v>6</v>
      </c>
      <c r="B28" s="7">
        <f t="shared" si="6"/>
        <v>350000</v>
      </c>
      <c r="C28" s="8">
        <f t="shared" si="0"/>
        <v>1.9543167018531503E-2</v>
      </c>
      <c r="D28" s="24">
        <f t="shared" si="7"/>
        <v>0</v>
      </c>
      <c r="E28" s="5">
        <f t="shared" si="8"/>
        <v>0</v>
      </c>
      <c r="F28" s="5">
        <f t="shared" si="9"/>
        <v>0</v>
      </c>
      <c r="G28" s="5">
        <f t="shared" si="1"/>
        <v>6840.1084564860257</v>
      </c>
      <c r="H28" s="4">
        <f>SUM(G23:G28)/G44</f>
        <v>0.91254647486993634</v>
      </c>
      <c r="I28" s="4">
        <f t="shared" si="23"/>
        <v>0.52682945739327991</v>
      </c>
      <c r="J28" s="4">
        <f t="shared" si="24"/>
        <v>5.2535395211106173E-2</v>
      </c>
      <c r="K28" s="4">
        <f t="shared" si="10"/>
        <v>2.7677193753008582E-2</v>
      </c>
      <c r="L28" s="27">
        <f t="shared" si="11"/>
        <v>1.0507079042221239</v>
      </c>
      <c r="M28" s="18">
        <f t="shared" si="25"/>
        <v>118813.55102806567</v>
      </c>
      <c r="N28" s="27">
        <f t="shared" si="12"/>
        <v>3.0418215828997868</v>
      </c>
      <c r="O28" s="5">
        <f t="shared" si="2"/>
        <v>343159.89154351398</v>
      </c>
      <c r="P28" s="4">
        <f>SUM(O23:O28)/O43</f>
        <v>0.28839070263645722</v>
      </c>
      <c r="Q28" s="5">
        <f t="shared" si="3"/>
        <v>0</v>
      </c>
      <c r="R28" s="5">
        <f t="shared" si="13"/>
        <v>0</v>
      </c>
      <c r="S28" s="4" t="e">
        <f>SUM(Q23:Q28)/$Q$43</f>
        <v>#DIV/0!</v>
      </c>
      <c r="T28" s="4" t="e">
        <f>SUM(R23:R28)/$R$43</f>
        <v>#DIV/0!</v>
      </c>
      <c r="U28" s="4" t="e">
        <f t="shared" si="26"/>
        <v>#DIV/0!</v>
      </c>
      <c r="V28" s="4" t="e">
        <f>T28-T27</f>
        <v>#DIV/0!</v>
      </c>
      <c r="W28" s="4" t="e">
        <f t="shared" si="14"/>
        <v>#DIV/0!</v>
      </c>
      <c r="Y28" s="18">
        <f t="shared" si="15"/>
        <v>5472086.7651888207</v>
      </c>
      <c r="Z28" s="18">
        <f t="shared" si="16"/>
        <v>31500000</v>
      </c>
      <c r="AA28" s="2">
        <f t="shared" si="17"/>
        <v>0</v>
      </c>
      <c r="AB28" s="2">
        <f t="shared" si="18"/>
        <v>0</v>
      </c>
      <c r="AC28" s="2">
        <f t="shared" si="19"/>
        <v>0</v>
      </c>
      <c r="AD28" s="18">
        <f t="shared" si="20"/>
        <v>-26027913.234811179</v>
      </c>
      <c r="AE28" s="18">
        <f t="shared" si="27"/>
        <v>-93949159.177547455</v>
      </c>
      <c r="AF28" s="5">
        <f t="shared" si="28"/>
        <v>2100000</v>
      </c>
      <c r="AG28" s="4">
        <f t="shared" si="21"/>
        <v>0.3</v>
      </c>
      <c r="AH28" s="18">
        <f t="shared" si="29"/>
        <v>95050840.822452545</v>
      </c>
      <c r="AI28" s="18">
        <f t="shared" si="30"/>
        <v>189000000</v>
      </c>
      <c r="AK28" s="8">
        <f t="shared" si="22"/>
        <v>0.11920292202211755</v>
      </c>
    </row>
    <row r="29" spans="1:37" x14ac:dyDescent="0.2">
      <c r="A29" s="2">
        <v>7</v>
      </c>
      <c r="B29" s="7">
        <f t="shared" si="6"/>
        <v>350000</v>
      </c>
      <c r="C29" s="8">
        <f t="shared" si="0"/>
        <v>1.2436851855040263E-2</v>
      </c>
      <c r="D29" s="24">
        <f t="shared" si="7"/>
        <v>0</v>
      </c>
      <c r="E29" s="5">
        <f t="shared" si="8"/>
        <v>0</v>
      </c>
      <c r="F29" s="5">
        <f t="shared" si="9"/>
        <v>0</v>
      </c>
      <c r="G29" s="5">
        <f t="shared" si="1"/>
        <v>4352.8981492640924</v>
      </c>
      <c r="H29" s="4">
        <f>SUM(G23:G29)/G44</f>
        <v>0.945978872329722</v>
      </c>
      <c r="I29" s="4">
        <f t="shared" si="23"/>
        <v>0.62709540303860423</v>
      </c>
      <c r="J29" s="4">
        <f t="shared" si="24"/>
        <v>3.3432397459785657E-2</v>
      </c>
      <c r="K29" s="4">
        <f t="shared" si="10"/>
        <v>2.0965302759591093E-2</v>
      </c>
      <c r="L29" s="27">
        <f t="shared" si="11"/>
        <v>0.66864794919571313</v>
      </c>
      <c r="M29" s="18">
        <f t="shared" si="25"/>
        <v>123166.44917732976</v>
      </c>
      <c r="N29" s="27">
        <f t="shared" si="12"/>
        <v>2.7027967780849194</v>
      </c>
      <c r="O29" s="5">
        <f t="shared" si="2"/>
        <v>345647.1018507359</v>
      </c>
      <c r="P29" s="4">
        <f>SUM(O23:O29)/O43</f>
        <v>0.33870470040214706</v>
      </c>
      <c r="Q29" s="5">
        <f t="shared" si="3"/>
        <v>0</v>
      </c>
      <c r="R29" s="5">
        <f t="shared" si="13"/>
        <v>0</v>
      </c>
      <c r="S29" s="4" t="e">
        <f>SUM(Q23:Q29)/$Q$43</f>
        <v>#DIV/0!</v>
      </c>
      <c r="T29" s="4" t="e">
        <f>SUM(R23:R29)/$R$43</f>
        <v>#DIV/0!</v>
      </c>
      <c r="U29" s="4" t="e">
        <f t="shared" si="26"/>
        <v>#DIV/0!</v>
      </c>
      <c r="V29" s="4" t="e">
        <f t="shared" si="31"/>
        <v>#DIV/0!</v>
      </c>
      <c r="W29" s="4" t="e">
        <f t="shared" si="14"/>
        <v>#DIV/0!</v>
      </c>
      <c r="Y29" s="18">
        <f t="shared" si="15"/>
        <v>3482318.5194112738</v>
      </c>
      <c r="Z29" s="18">
        <f t="shared" si="16"/>
        <v>31500000</v>
      </c>
      <c r="AA29" s="2">
        <f t="shared" si="17"/>
        <v>0</v>
      </c>
      <c r="AB29" s="2">
        <f t="shared" si="18"/>
        <v>0</v>
      </c>
      <c r="AC29" s="2">
        <f t="shared" si="19"/>
        <v>0</v>
      </c>
      <c r="AD29" s="18">
        <f t="shared" si="20"/>
        <v>-28017681.480588727</v>
      </c>
      <c r="AE29" s="18">
        <f t="shared" si="27"/>
        <v>-121966840.65813619</v>
      </c>
      <c r="AF29" s="5">
        <f t="shared" si="28"/>
        <v>2450000</v>
      </c>
      <c r="AG29" s="4">
        <f t="shared" si="21"/>
        <v>0.35</v>
      </c>
      <c r="AH29" s="18">
        <f t="shared" si="29"/>
        <v>98533159.341863826</v>
      </c>
      <c r="AI29" s="18">
        <f t="shared" si="30"/>
        <v>220500000</v>
      </c>
      <c r="AK29" s="8">
        <f t="shared" si="22"/>
        <v>7.5858180021243546E-2</v>
      </c>
    </row>
    <row r="30" spans="1:37" x14ac:dyDescent="0.2">
      <c r="A30" s="2">
        <v>8</v>
      </c>
      <c r="B30" s="7">
        <f t="shared" si="6"/>
        <v>350000</v>
      </c>
      <c r="C30" s="8">
        <f t="shared" si="0"/>
        <v>7.7754114143016393E-3</v>
      </c>
      <c r="D30" s="24">
        <f t="shared" si="7"/>
        <v>0</v>
      </c>
      <c r="E30" s="5">
        <f t="shared" si="8"/>
        <v>0</v>
      </c>
      <c r="F30" s="5">
        <f t="shared" si="9"/>
        <v>0</v>
      </c>
      <c r="G30" s="5">
        <f t="shared" si="1"/>
        <v>2721.3939950055737</v>
      </c>
      <c r="H30" s="4">
        <f>SUM(G23:G30)/G44</f>
        <v>0.96688051591655444</v>
      </c>
      <c r="I30" s="4">
        <f t="shared" si="23"/>
        <v>0.72796088789343705</v>
      </c>
      <c r="J30" s="4">
        <f t="shared" si="24"/>
        <v>2.0901643586832441E-2</v>
      </c>
      <c r="K30" s="4">
        <f t="shared" si="10"/>
        <v>1.5215579023902708E-2</v>
      </c>
      <c r="L30" s="27">
        <f t="shared" si="11"/>
        <v>0.41803287173664733</v>
      </c>
      <c r="M30" s="18">
        <f t="shared" si="25"/>
        <v>125887.84317233534</v>
      </c>
      <c r="N30" s="27">
        <f t="shared" si="12"/>
        <v>2.4172012897913855</v>
      </c>
      <c r="O30" s="5">
        <f t="shared" si="2"/>
        <v>347278.60600499442</v>
      </c>
      <c r="P30" s="4">
        <f>SUM(O23:O30)/O43</f>
        <v>0.38925618749128998</v>
      </c>
      <c r="Q30" s="5">
        <f t="shared" si="3"/>
        <v>0</v>
      </c>
      <c r="R30" s="5">
        <f t="shared" si="13"/>
        <v>0</v>
      </c>
      <c r="S30" s="4" t="e">
        <f>SUM(Q23:Q30)/$Q$43</f>
        <v>#DIV/0!</v>
      </c>
      <c r="T30" s="4" t="e">
        <f>SUM(R23:R30)/$R$43</f>
        <v>#DIV/0!</v>
      </c>
      <c r="U30" s="4" t="e">
        <f t="shared" si="26"/>
        <v>#DIV/0!</v>
      </c>
      <c r="V30" s="4" t="e">
        <f t="shared" si="31"/>
        <v>#DIV/0!</v>
      </c>
      <c r="W30" s="4" t="e">
        <f t="shared" si="14"/>
        <v>#DIV/0!</v>
      </c>
      <c r="Y30" s="18">
        <f t="shared" si="15"/>
        <v>2177115.1960044592</v>
      </c>
      <c r="Z30" s="18">
        <f t="shared" si="16"/>
        <v>31500000</v>
      </c>
      <c r="AA30" s="2">
        <f t="shared" si="17"/>
        <v>0</v>
      </c>
      <c r="AB30" s="2">
        <f t="shared" si="18"/>
        <v>0</v>
      </c>
      <c r="AC30" s="2">
        <f t="shared" si="19"/>
        <v>0</v>
      </c>
      <c r="AD30" s="18">
        <f t="shared" si="20"/>
        <v>-29322884.803995542</v>
      </c>
      <c r="AE30" s="18">
        <f t="shared" si="27"/>
        <v>-151289725.46213174</v>
      </c>
      <c r="AF30" s="5">
        <f t="shared" si="28"/>
        <v>2800000</v>
      </c>
      <c r="AG30" s="4">
        <f t="shared" si="21"/>
        <v>0.4</v>
      </c>
      <c r="AH30" s="18">
        <f t="shared" si="29"/>
        <v>100710274.53786829</v>
      </c>
      <c r="AI30" s="18">
        <f t="shared" si="30"/>
        <v>252000000</v>
      </c>
      <c r="AK30" s="8">
        <f t="shared" si="22"/>
        <v>4.7425873177566781E-2</v>
      </c>
    </row>
    <row r="31" spans="1:37" x14ac:dyDescent="0.2">
      <c r="A31" s="2">
        <v>9</v>
      </c>
      <c r="B31" s="7">
        <f t="shared" si="6"/>
        <v>350000</v>
      </c>
      <c r="C31" s="8">
        <f t="shared" si="0"/>
        <v>4.8057028430326682E-3</v>
      </c>
      <c r="D31" s="24">
        <f t="shared" si="7"/>
        <v>0</v>
      </c>
      <c r="E31" s="5">
        <f t="shared" si="8"/>
        <v>0</v>
      </c>
      <c r="F31" s="5">
        <f t="shared" si="9"/>
        <v>0</v>
      </c>
      <c r="G31" s="5">
        <f t="shared" si="1"/>
        <v>1681.9959950614339</v>
      </c>
      <c r="H31" s="4">
        <f>SUM(G23:G31)/G44</f>
        <v>0.97979907194621207</v>
      </c>
      <c r="I31" s="4">
        <f t="shared" si="23"/>
        <v>0.82921516167286768</v>
      </c>
      <c r="J31" s="4">
        <f t="shared" si="24"/>
        <v>1.2918556029657635E-2</v>
      </c>
      <c r="K31" s="4">
        <f t="shared" si="10"/>
        <v>1.0712262526712556E-2</v>
      </c>
      <c r="L31" s="27">
        <f t="shared" si="11"/>
        <v>0.2583711205931542</v>
      </c>
      <c r="M31" s="18">
        <f t="shared" si="25"/>
        <v>127569.83916739677</v>
      </c>
      <c r="N31" s="27">
        <f t="shared" si="12"/>
        <v>2.1773312709915817</v>
      </c>
      <c r="O31" s="5">
        <f t="shared" si="2"/>
        <v>348318.00400493859</v>
      </c>
      <c r="P31" s="4">
        <f>SUM(O23:O31)/O43</f>
        <v>0.4399589741815777</v>
      </c>
      <c r="Q31" s="5">
        <f t="shared" si="3"/>
        <v>0</v>
      </c>
      <c r="R31" s="5">
        <f t="shared" si="13"/>
        <v>0</v>
      </c>
      <c r="S31" s="4" t="e">
        <f>SUM(Q23:Q31)/$Q$43</f>
        <v>#DIV/0!</v>
      </c>
      <c r="T31" s="4" t="e">
        <f>SUM(R23:R31)/$R$43</f>
        <v>#DIV/0!</v>
      </c>
      <c r="U31" s="4" t="e">
        <f t="shared" si="26"/>
        <v>#DIV/0!</v>
      </c>
      <c r="V31" s="4" t="e">
        <f t="shared" si="31"/>
        <v>#DIV/0!</v>
      </c>
      <c r="W31" s="4" t="e">
        <f t="shared" si="14"/>
        <v>#DIV/0!</v>
      </c>
      <c r="Y31" s="18">
        <f t="shared" si="15"/>
        <v>1345596.7960491471</v>
      </c>
      <c r="Z31" s="18">
        <f t="shared" si="16"/>
        <v>31500000</v>
      </c>
      <c r="AA31" s="2">
        <f t="shared" si="17"/>
        <v>0</v>
      </c>
      <c r="AB31" s="2">
        <f t="shared" si="18"/>
        <v>0</v>
      </c>
      <c r="AC31" s="2">
        <f t="shared" si="19"/>
        <v>0</v>
      </c>
      <c r="AD31" s="18">
        <f t="shared" si="20"/>
        <v>-30154403.203950852</v>
      </c>
      <c r="AE31" s="18">
        <f t="shared" si="27"/>
        <v>-181444128.66608259</v>
      </c>
      <c r="AF31" s="5">
        <f t="shared" si="28"/>
        <v>3150000</v>
      </c>
      <c r="AG31" s="4">
        <f t="shared" si="21"/>
        <v>0.45</v>
      </c>
      <c r="AH31" s="18">
        <f t="shared" si="29"/>
        <v>102055871.33391744</v>
      </c>
      <c r="AI31" s="18">
        <f t="shared" si="30"/>
        <v>283500000</v>
      </c>
      <c r="AK31" s="8">
        <f t="shared" si="22"/>
        <v>2.9312230751356319E-2</v>
      </c>
    </row>
    <row r="32" spans="1:37" x14ac:dyDescent="0.2">
      <c r="A32" s="2">
        <v>10</v>
      </c>
      <c r="B32" s="7">
        <f t="shared" si="6"/>
        <v>350000</v>
      </c>
      <c r="C32" s="8">
        <f t="shared" si="0"/>
        <v>2.9488161813207058E-3</v>
      </c>
      <c r="D32" s="24">
        <f t="shared" si="7"/>
        <v>0</v>
      </c>
      <c r="E32" s="5">
        <f>B32*C32*D32</f>
        <v>0</v>
      </c>
      <c r="F32" s="5">
        <f t="shared" si="9"/>
        <v>0</v>
      </c>
      <c r="G32" s="5">
        <f t="shared" si="1"/>
        <v>1032.0856634622471</v>
      </c>
      <c r="H32" s="4">
        <f>SUM(G23:G32)/G44</f>
        <v>0.98772599716481613</v>
      </c>
      <c r="I32" s="4">
        <f t="shared" si="23"/>
        <v>0.93071533902031245</v>
      </c>
      <c r="J32" s="4">
        <f t="shared" si="24"/>
        <v>7.9269252186040529E-3</v>
      </c>
      <c r="K32" s="4">
        <f t="shared" si="10"/>
        <v>7.3777108922217357E-3</v>
      </c>
      <c r="L32" s="27">
        <f t="shared" si="11"/>
        <v>0.15853850437208097</v>
      </c>
      <c r="M32" s="18">
        <f t="shared" si="25"/>
        <v>128601.92483085902</v>
      </c>
      <c r="N32" s="27">
        <f t="shared" si="12"/>
        <v>1.9754519943296316</v>
      </c>
      <c r="O32" s="5">
        <f t="shared" si="2"/>
        <v>348967.91433653777</v>
      </c>
      <c r="P32" s="4">
        <f>SUM(O23:O32)/O43</f>
        <v>0.4907563648387348</v>
      </c>
      <c r="Q32" s="5">
        <f t="shared" si="3"/>
        <v>0</v>
      </c>
      <c r="R32" s="5">
        <f t="shared" si="13"/>
        <v>0</v>
      </c>
      <c r="S32" s="4" t="e">
        <f>SUM(Q23:Q32)/$Q$43</f>
        <v>#DIV/0!</v>
      </c>
      <c r="T32" s="4" t="e">
        <f>SUM(R23:R32)/$R$43</f>
        <v>#DIV/0!</v>
      </c>
      <c r="U32" s="4" t="e">
        <f t="shared" si="26"/>
        <v>#DIV/0!</v>
      </c>
      <c r="V32" s="4" t="e">
        <f t="shared" si="31"/>
        <v>#DIV/0!</v>
      </c>
      <c r="W32" s="4" t="e">
        <f t="shared" si="14"/>
        <v>#DIV/0!</v>
      </c>
      <c r="Y32" s="18">
        <f t="shared" si="15"/>
        <v>825668.53076979774</v>
      </c>
      <c r="Z32" s="18">
        <f t="shared" si="16"/>
        <v>31500000</v>
      </c>
      <c r="AA32" s="2">
        <f t="shared" si="17"/>
        <v>0</v>
      </c>
      <c r="AB32" s="2">
        <f t="shared" si="18"/>
        <v>0</v>
      </c>
      <c r="AC32" s="2">
        <f t="shared" si="19"/>
        <v>0</v>
      </c>
      <c r="AD32" s="18">
        <f t="shared" si="20"/>
        <v>-30674331.469230201</v>
      </c>
      <c r="AE32" s="18">
        <f t="shared" si="27"/>
        <v>-212118460.1353128</v>
      </c>
      <c r="AF32" s="5">
        <f t="shared" si="28"/>
        <v>3500000</v>
      </c>
      <c r="AG32" s="4">
        <f t="shared" si="21"/>
        <v>0.5</v>
      </c>
      <c r="AH32" s="18">
        <f t="shared" si="29"/>
        <v>102881539.86468723</v>
      </c>
      <c r="AI32" s="18">
        <f t="shared" si="30"/>
        <v>315000000</v>
      </c>
      <c r="AK32" s="8">
        <f t="shared" si="22"/>
        <v>1.7986209962091559E-2</v>
      </c>
    </row>
    <row r="33" spans="1:37" x14ac:dyDescent="0.2">
      <c r="A33" s="2">
        <v>11</v>
      </c>
      <c r="B33" s="7">
        <f t="shared" si="6"/>
        <v>350000</v>
      </c>
      <c r="C33" s="8">
        <f t="shared" si="0"/>
        <v>1.801295230102381E-3</v>
      </c>
      <c r="D33" s="24">
        <f t="shared" si="7"/>
        <v>0</v>
      </c>
      <c r="E33" s="5">
        <f t="shared" si="8"/>
        <v>0</v>
      </c>
      <c r="F33" s="5">
        <f t="shared" si="9"/>
        <v>0</v>
      </c>
      <c r="G33" s="5">
        <f t="shared" si="1"/>
        <v>630.4533305358334</v>
      </c>
      <c r="H33" s="4">
        <f>SUM(G23:G33)/G44</f>
        <v>0.99256818864358598</v>
      </c>
      <c r="I33" s="4">
        <f t="shared" si="23"/>
        <v>1.0323685838026937</v>
      </c>
      <c r="J33" s="4">
        <f t="shared" si="24"/>
        <v>4.8421914787698528E-3</v>
      </c>
      <c r="K33" s="4">
        <f t="shared" si="10"/>
        <v>4.9989263594391042E-3</v>
      </c>
      <c r="L33" s="27">
        <f t="shared" si="11"/>
        <v>9.6843829575396834E-2</v>
      </c>
      <c r="M33" s="18">
        <f t="shared" si="25"/>
        <v>129232.37816139485</v>
      </c>
      <c r="N33" s="27">
        <f t="shared" si="12"/>
        <v>1.8046694338974285</v>
      </c>
      <c r="O33" s="5">
        <f t="shared" si="2"/>
        <v>349369.54666946415</v>
      </c>
      <c r="P33" s="4">
        <f>SUM(O23:O33)/O43</f>
        <v>0.54161221896395884</v>
      </c>
      <c r="Q33" s="5">
        <f t="shared" si="3"/>
        <v>0</v>
      </c>
      <c r="R33" s="5">
        <f t="shared" si="13"/>
        <v>0</v>
      </c>
      <c r="S33" s="4" t="e">
        <f>SUM(Q23:Q33)/$Q$43</f>
        <v>#DIV/0!</v>
      </c>
      <c r="T33" s="4" t="e">
        <f>SUM(R23:R33)/$R$43</f>
        <v>#DIV/0!</v>
      </c>
      <c r="U33" s="4" t="e">
        <f t="shared" si="26"/>
        <v>#DIV/0!</v>
      </c>
      <c r="V33" s="4" t="e">
        <f t="shared" si="31"/>
        <v>#DIV/0!</v>
      </c>
      <c r="W33" s="4" t="e">
        <f t="shared" si="14"/>
        <v>#DIV/0!</v>
      </c>
      <c r="Y33" s="18">
        <f t="shared" si="15"/>
        <v>504362.6644286667</v>
      </c>
      <c r="Z33" s="18">
        <f t="shared" si="16"/>
        <v>31500000</v>
      </c>
      <c r="AA33" s="2">
        <f t="shared" si="17"/>
        <v>0</v>
      </c>
      <c r="AB33" s="2">
        <f t="shared" si="18"/>
        <v>0</v>
      </c>
      <c r="AC33" s="2">
        <f t="shared" si="19"/>
        <v>0</v>
      </c>
      <c r="AD33" s="18">
        <f t="shared" si="20"/>
        <v>-30995637.335571334</v>
      </c>
      <c r="AE33" s="18">
        <f t="shared" si="27"/>
        <v>-243114097.47088414</v>
      </c>
      <c r="AF33" s="5">
        <f t="shared" si="28"/>
        <v>3850000</v>
      </c>
      <c r="AG33" s="4">
        <f t="shared" si="21"/>
        <v>0.55000000000000004</v>
      </c>
      <c r="AH33" s="18">
        <f t="shared" si="29"/>
        <v>103385902.5291159</v>
      </c>
      <c r="AI33" s="18">
        <f t="shared" si="30"/>
        <v>346500000</v>
      </c>
      <c r="AK33" s="8">
        <f t="shared" si="22"/>
        <v>1.098694263059318E-2</v>
      </c>
    </row>
    <row r="34" spans="1:37" x14ac:dyDescent="0.2">
      <c r="A34" s="2">
        <v>12</v>
      </c>
      <c r="B34" s="7">
        <f t="shared" si="6"/>
        <v>350000</v>
      </c>
      <c r="C34" s="8">
        <f t="shared" si="0"/>
        <v>1.097284372099223E-3</v>
      </c>
      <c r="D34" s="24">
        <f t="shared" si="7"/>
        <v>0</v>
      </c>
      <c r="E34" s="5">
        <f t="shared" si="8"/>
        <v>0</v>
      </c>
      <c r="F34" s="5">
        <f t="shared" si="9"/>
        <v>0</v>
      </c>
      <c r="G34" s="5">
        <f t="shared" si="1"/>
        <v>384.04953023472802</v>
      </c>
      <c r="H34" s="4">
        <f>SUM(G23:G34)/G44</f>
        <v>0.99551787781589574</v>
      </c>
      <c r="I34" s="4">
        <f t="shared" si="23"/>
        <v>1.1341161597349232</v>
      </c>
      <c r="J34" s="4">
        <f t="shared" si="24"/>
        <v>2.9496891723097551E-3</v>
      </c>
      <c r="K34" s="4">
        <f t="shared" si="10"/>
        <v>3.3452901565116234E-3</v>
      </c>
      <c r="L34" s="27">
        <f t="shared" si="11"/>
        <v>5.899378344619479E-2</v>
      </c>
      <c r="M34" s="18">
        <f t="shared" si="25"/>
        <v>129616.42769162958</v>
      </c>
      <c r="N34" s="27">
        <f t="shared" si="12"/>
        <v>1.6591964630264924</v>
      </c>
      <c r="O34" s="5">
        <f t="shared" si="2"/>
        <v>349615.95046976529</v>
      </c>
      <c r="P34" s="4">
        <f>SUM(O23:O34)/O43</f>
        <v>0.59250394077096424</v>
      </c>
      <c r="Q34" s="5">
        <f t="shared" si="3"/>
        <v>0</v>
      </c>
      <c r="R34" s="5">
        <f t="shared" si="13"/>
        <v>0</v>
      </c>
      <c r="S34" s="4" t="e">
        <f>SUM(Q23:Q34)/$Q$43</f>
        <v>#DIV/0!</v>
      </c>
      <c r="T34" s="4" t="e">
        <f>SUM(R23:R34)/$R$43</f>
        <v>#DIV/0!</v>
      </c>
      <c r="U34" s="4" t="e">
        <f t="shared" si="26"/>
        <v>#DIV/0!</v>
      </c>
      <c r="V34" s="4" t="e">
        <f t="shared" si="31"/>
        <v>#DIV/0!</v>
      </c>
      <c r="W34" s="4" t="e">
        <f t="shared" si="14"/>
        <v>#DIV/0!</v>
      </c>
      <c r="Y34" s="18">
        <f t="shared" si="15"/>
        <v>307239.62418778241</v>
      </c>
      <c r="Z34" s="18">
        <f t="shared" si="16"/>
        <v>31500000</v>
      </c>
      <c r="AA34" s="2">
        <f t="shared" si="17"/>
        <v>0</v>
      </c>
      <c r="AB34" s="2">
        <f t="shared" si="18"/>
        <v>0</v>
      </c>
      <c r="AC34" s="2">
        <f t="shared" si="19"/>
        <v>0</v>
      </c>
      <c r="AD34" s="18">
        <f t="shared" si="20"/>
        <v>-31192760.375812218</v>
      </c>
      <c r="AE34" s="18">
        <f t="shared" si="27"/>
        <v>-274306857.84669638</v>
      </c>
      <c r="AF34" s="5">
        <f t="shared" si="28"/>
        <v>4200000</v>
      </c>
      <c r="AG34" s="4">
        <f t="shared" si="21"/>
        <v>0.6</v>
      </c>
      <c r="AH34" s="18">
        <f t="shared" si="29"/>
        <v>103693142.15330368</v>
      </c>
      <c r="AI34" s="18">
        <f t="shared" si="30"/>
        <v>378000000</v>
      </c>
      <c r="AK34" s="8">
        <f t="shared" si="22"/>
        <v>6.6928509242848554E-3</v>
      </c>
    </row>
    <row r="35" spans="1:37" x14ac:dyDescent="0.2">
      <c r="A35" s="2">
        <v>13</v>
      </c>
      <c r="B35" s="7">
        <f t="shared" si="6"/>
        <v>350000</v>
      </c>
      <c r="C35" s="8">
        <f t="shared" si="0"/>
        <v>6.6729388693528369E-4</v>
      </c>
      <c r="D35" s="24">
        <f t="shared" si="7"/>
        <v>0</v>
      </c>
      <c r="E35" s="5">
        <f t="shared" si="8"/>
        <v>0</v>
      </c>
      <c r="F35" s="5">
        <f t="shared" si="9"/>
        <v>0</v>
      </c>
      <c r="G35" s="5">
        <f t="shared" si="1"/>
        <v>233.55286042734929</v>
      </c>
      <c r="H35" s="4">
        <f>SUM(G23:G35)/G44</f>
        <v>0.99731167858722702</v>
      </c>
      <c r="I35" s="4">
        <f t="shared" si="23"/>
        <v>1.235921510343287</v>
      </c>
      <c r="J35" s="4">
        <f t="shared" si="24"/>
        <v>1.7938007713312887E-3</v>
      </c>
      <c r="K35" s="4">
        <f t="shared" si="10"/>
        <v>2.2169969585587195E-3</v>
      </c>
      <c r="L35" s="27">
        <f t="shared" si="11"/>
        <v>3.5876015426628161E-2</v>
      </c>
      <c r="M35" s="18">
        <f t="shared" si="25"/>
        <v>129849.98055205692</v>
      </c>
      <c r="N35" s="27">
        <f t="shared" si="12"/>
        <v>1.5343256593649643</v>
      </c>
      <c r="O35" s="5">
        <f t="shared" si="2"/>
        <v>349766.44713957264</v>
      </c>
      <c r="P35" s="4">
        <f>SUM(O23:O35)/O43</f>
        <v>0.64341756957232277</v>
      </c>
      <c r="Q35" s="5">
        <f t="shared" si="3"/>
        <v>0</v>
      </c>
      <c r="R35" s="5">
        <f t="shared" si="13"/>
        <v>0</v>
      </c>
      <c r="S35" s="4" t="e">
        <f>SUM(Q23:Q35)/$Q$43</f>
        <v>#DIV/0!</v>
      </c>
      <c r="T35" s="4" t="e">
        <f>SUM(R23:R35)/$R$43</f>
        <v>#DIV/0!</v>
      </c>
      <c r="U35" s="4" t="e">
        <f t="shared" si="26"/>
        <v>#DIV/0!</v>
      </c>
      <c r="V35" s="4" t="e">
        <f t="shared" si="31"/>
        <v>#DIV/0!</v>
      </c>
      <c r="W35" s="4" t="e">
        <f t="shared" si="14"/>
        <v>#DIV/0!</v>
      </c>
      <c r="Y35" s="18">
        <f t="shared" si="15"/>
        <v>186842.28834187944</v>
      </c>
      <c r="Z35" s="18">
        <f t="shared" si="16"/>
        <v>31500000</v>
      </c>
      <c r="AA35" s="2">
        <f t="shared" si="17"/>
        <v>0</v>
      </c>
      <c r="AB35" s="2">
        <f t="shared" si="18"/>
        <v>0</v>
      </c>
      <c r="AC35" s="2">
        <f t="shared" si="19"/>
        <v>0</v>
      </c>
      <c r="AD35" s="18">
        <f t="shared" si="20"/>
        <v>-31313157.71165812</v>
      </c>
      <c r="AE35" s="18">
        <f t="shared" si="27"/>
        <v>-305620015.5583545</v>
      </c>
      <c r="AF35" s="5">
        <f t="shared" si="28"/>
        <v>4550000</v>
      </c>
      <c r="AG35" s="4">
        <f t="shared" si="21"/>
        <v>0.65</v>
      </c>
      <c r="AH35" s="18">
        <f t="shared" si="29"/>
        <v>103879984.44164556</v>
      </c>
      <c r="AI35" s="18">
        <f t="shared" si="30"/>
        <v>409500000</v>
      </c>
      <c r="AK35" s="8">
        <f t="shared" si="22"/>
        <v>4.0701377158961277E-3</v>
      </c>
    </row>
    <row r="36" spans="1:37" x14ac:dyDescent="0.2">
      <c r="A36" s="2">
        <v>14</v>
      </c>
      <c r="B36" s="7">
        <f t="shared" si="6"/>
        <v>350000</v>
      </c>
      <c r="C36" s="8">
        <f t="shared" si="0"/>
        <v>4.0538341262335746E-4</v>
      </c>
      <c r="D36" s="24">
        <f t="shared" si="7"/>
        <v>0</v>
      </c>
      <c r="E36" s="5">
        <f t="shared" si="8"/>
        <v>0</v>
      </c>
      <c r="F36" s="5">
        <f t="shared" si="9"/>
        <v>0</v>
      </c>
      <c r="G36" s="5">
        <f t="shared" si="1"/>
        <v>141.8841944181751</v>
      </c>
      <c r="H36" s="4">
        <f>SUM(G23:G36)/G44</f>
        <v>0.99840141894374146</v>
      </c>
      <c r="I36" s="4">
        <f t="shared" si="23"/>
        <v>1.3377621116628529</v>
      </c>
      <c r="J36" s="4">
        <f t="shared" si="24"/>
        <v>1.0897403565144348E-3</v>
      </c>
      <c r="K36" s="4">
        <f t="shared" si="10"/>
        <v>1.4578133604949803E-3</v>
      </c>
      <c r="L36" s="27">
        <f t="shared" si="11"/>
        <v>2.1794807130288037E-2</v>
      </c>
      <c r="M36" s="18">
        <f t="shared" si="25"/>
        <v>129991.8647464751</v>
      </c>
      <c r="N36" s="27">
        <f t="shared" si="12"/>
        <v>1.4262877413482018</v>
      </c>
      <c r="O36" s="5">
        <f t="shared" si="2"/>
        <v>349858.11580558185</v>
      </c>
      <c r="P36" s="4">
        <f>SUM(O23:O36)/O43</f>
        <v>0.6943445420905302</v>
      </c>
      <c r="Q36" s="5">
        <f t="shared" si="3"/>
        <v>0</v>
      </c>
      <c r="R36" s="5">
        <f t="shared" si="13"/>
        <v>0</v>
      </c>
      <c r="S36" s="4" t="e">
        <f>SUM(Q23:Q36)/$Q$43</f>
        <v>#DIV/0!</v>
      </c>
      <c r="T36" s="4" t="e">
        <f>SUM(R23:R36)/$R$43</f>
        <v>#DIV/0!</v>
      </c>
      <c r="U36" s="4" t="e">
        <f t="shared" si="26"/>
        <v>#DIV/0!</v>
      </c>
      <c r="V36" s="4" t="e">
        <f t="shared" si="31"/>
        <v>#DIV/0!</v>
      </c>
      <c r="W36" s="4" t="e">
        <f t="shared" si="14"/>
        <v>#DIV/0!</v>
      </c>
      <c r="Y36" s="18">
        <f t="shared" si="15"/>
        <v>113507.35553454008</v>
      </c>
      <c r="Z36" s="18">
        <f t="shared" si="16"/>
        <v>31500000</v>
      </c>
      <c r="AA36" s="2">
        <f t="shared" si="17"/>
        <v>0</v>
      </c>
      <c r="AB36" s="2">
        <f t="shared" si="18"/>
        <v>0</v>
      </c>
      <c r="AC36" s="2">
        <f t="shared" si="19"/>
        <v>0</v>
      </c>
      <c r="AD36" s="18">
        <f t="shared" si="20"/>
        <v>-31386492.644465461</v>
      </c>
      <c r="AE36" s="18">
        <f t="shared" si="27"/>
        <v>-337006508.20281994</v>
      </c>
      <c r="AF36" s="5">
        <f t="shared" si="28"/>
        <v>4900000</v>
      </c>
      <c r="AG36" s="4">
        <f t="shared" si="21"/>
        <v>0.7</v>
      </c>
      <c r="AH36" s="18">
        <f t="shared" si="29"/>
        <v>103993491.7971801</v>
      </c>
      <c r="AI36" s="18">
        <f t="shared" si="30"/>
        <v>441000000</v>
      </c>
      <c r="AK36" s="8">
        <f t="shared" si="22"/>
        <v>2.4726231566347743E-3</v>
      </c>
    </row>
    <row r="37" spans="1:37" x14ac:dyDescent="0.2">
      <c r="A37" s="2">
        <v>15</v>
      </c>
      <c r="B37" s="7">
        <f t="shared" si="6"/>
        <v>350000</v>
      </c>
      <c r="C37" s="8">
        <f t="shared" si="0"/>
        <v>2.4611691618787302E-4</v>
      </c>
      <c r="D37" s="24">
        <f t="shared" si="7"/>
        <v>0</v>
      </c>
      <c r="E37" s="5">
        <f t="shared" si="8"/>
        <v>0</v>
      </c>
      <c r="F37" s="5">
        <f t="shared" si="9"/>
        <v>0</v>
      </c>
      <c r="G37" s="5">
        <f t="shared" si="1"/>
        <v>86.140920665755559</v>
      </c>
      <c r="H37" s="4">
        <f>SUM(G23:G37)/G44</f>
        <v>0.99906302355714971</v>
      </c>
      <c r="I37" s="4">
        <f t="shared" si="23"/>
        <v>1.4396241709491373</v>
      </c>
      <c r="J37" s="4">
        <f t="shared" si="24"/>
        <v>6.6160461340825094E-4</v>
      </c>
      <c r="K37" s="4">
        <f t="shared" si="10"/>
        <v>9.524619930739778E-4</v>
      </c>
      <c r="L37" s="27">
        <f t="shared" si="11"/>
        <v>1.3232092268165217E-2</v>
      </c>
      <c r="M37" s="18">
        <f t="shared" si="25"/>
        <v>130078.00566714085</v>
      </c>
      <c r="N37" s="27">
        <f t="shared" si="12"/>
        <v>1.3320840314095326</v>
      </c>
      <c r="O37" s="5">
        <f t="shared" si="2"/>
        <v>349913.85907933424</v>
      </c>
      <c r="P37" s="4">
        <f>SUM(O23:O37)/O43</f>
        <v>0.74527962885860699</v>
      </c>
      <c r="Q37" s="5">
        <f t="shared" si="3"/>
        <v>0</v>
      </c>
      <c r="R37" s="5">
        <f t="shared" si="13"/>
        <v>0</v>
      </c>
      <c r="S37" s="4" t="e">
        <f>SUM(Q23:Q37)/$Q$43</f>
        <v>#DIV/0!</v>
      </c>
      <c r="T37" s="4" t="e">
        <f>SUM(R23:R37)/$R$43</f>
        <v>#DIV/0!</v>
      </c>
      <c r="U37" s="4" t="e">
        <f t="shared" si="26"/>
        <v>#DIV/0!</v>
      </c>
      <c r="V37" s="4" t="e">
        <f t="shared" si="31"/>
        <v>#DIV/0!</v>
      </c>
      <c r="W37" s="4" t="e">
        <f t="shared" si="14"/>
        <v>#DIV/0!</v>
      </c>
      <c r="Y37" s="18">
        <f t="shared" si="15"/>
        <v>68912.736532604453</v>
      </c>
      <c r="Z37" s="18">
        <f t="shared" si="16"/>
        <v>31500000</v>
      </c>
      <c r="AA37" s="2">
        <f t="shared" si="17"/>
        <v>0</v>
      </c>
      <c r="AB37" s="2">
        <f t="shared" si="18"/>
        <v>0</v>
      </c>
      <c r="AC37" s="2">
        <f t="shared" si="19"/>
        <v>0</v>
      </c>
      <c r="AD37" s="18">
        <f t="shared" si="20"/>
        <v>-31431087.263467394</v>
      </c>
      <c r="AE37" s="18">
        <f t="shared" si="27"/>
        <v>-368437595.46628731</v>
      </c>
      <c r="AF37" s="5">
        <f t="shared" si="28"/>
        <v>5250000</v>
      </c>
      <c r="AG37" s="4">
        <f t="shared" si="21"/>
        <v>0.75</v>
      </c>
      <c r="AH37" s="18">
        <f t="shared" si="29"/>
        <v>104062404.5337127</v>
      </c>
      <c r="AI37" s="18">
        <f t="shared" si="30"/>
        <v>472500000</v>
      </c>
      <c r="AK37" s="8">
        <f t="shared" si="22"/>
        <v>1.5011822567369917E-3</v>
      </c>
    </row>
    <row r="38" spans="1:37" x14ac:dyDescent="0.2">
      <c r="A38" s="2">
        <v>16</v>
      </c>
      <c r="B38" s="7">
        <f t="shared" si="6"/>
        <v>350000</v>
      </c>
      <c r="C38" s="8">
        <f t="shared" si="0"/>
        <v>1.4936568124815618E-4</v>
      </c>
      <c r="D38" s="24">
        <f t="shared" si="7"/>
        <v>0</v>
      </c>
      <c r="E38" s="5">
        <f t="shared" si="8"/>
        <v>0</v>
      </c>
      <c r="F38" s="5">
        <f t="shared" si="9"/>
        <v>0</v>
      </c>
      <c r="G38" s="5">
        <f t="shared" si="1"/>
        <v>52.277988436854663</v>
      </c>
      <c r="H38" s="4">
        <f>SUM(G23:G38)/G44</f>
        <v>0.99946454420566622</v>
      </c>
      <c r="I38" s="4">
        <f t="shared" si="23"/>
        <v>1.5414992737310083</v>
      </c>
      <c r="J38" s="4">
        <f t="shared" si="24"/>
        <v>4.0152064851650682E-4</v>
      </c>
      <c r="K38" s="4">
        <f t="shared" si="10"/>
        <v>6.1894378807619865E-4</v>
      </c>
      <c r="L38" s="27">
        <f t="shared" si="11"/>
        <v>8.0304129703309777E-3</v>
      </c>
      <c r="M38" s="18">
        <f t="shared" si="25"/>
        <v>130130.2836555777</v>
      </c>
      <c r="N38" s="27">
        <f t="shared" si="12"/>
        <v>1.2493306802570825</v>
      </c>
      <c r="O38" s="5">
        <f t="shared" si="2"/>
        <v>349947.72201156314</v>
      </c>
      <c r="P38" s="4">
        <f>SUM(O23:O38)/O43</f>
        <v>0.79621964487240127</v>
      </c>
      <c r="Q38" s="5">
        <f t="shared" si="3"/>
        <v>0</v>
      </c>
      <c r="R38" s="5">
        <f t="shared" si="13"/>
        <v>0</v>
      </c>
      <c r="S38" s="4" t="e">
        <f>SUM(Q23:Q38)/$Q$43</f>
        <v>#DIV/0!</v>
      </c>
      <c r="T38" s="4" t="e">
        <f>SUM(R23:R38)/$R$43</f>
        <v>#DIV/0!</v>
      </c>
      <c r="U38" s="4" t="e">
        <f t="shared" si="26"/>
        <v>#DIV/0!</v>
      </c>
      <c r="V38" s="4" t="e">
        <f t="shared" si="31"/>
        <v>#DIV/0!</v>
      </c>
      <c r="W38" s="4" t="e">
        <f t="shared" si="14"/>
        <v>#DIV/0!</v>
      </c>
      <c r="Y38" s="18">
        <f t="shared" si="15"/>
        <v>41822.390749483733</v>
      </c>
      <c r="Z38" s="18">
        <f t="shared" si="16"/>
        <v>31500000</v>
      </c>
      <c r="AA38" s="2">
        <f t="shared" si="17"/>
        <v>0</v>
      </c>
      <c r="AB38" s="2">
        <f t="shared" si="18"/>
        <v>0</v>
      </c>
      <c r="AC38" s="2">
        <f t="shared" si="19"/>
        <v>0</v>
      </c>
      <c r="AD38" s="18">
        <f t="shared" si="20"/>
        <v>-31458177.609250516</v>
      </c>
      <c r="AE38" s="18">
        <f t="shared" si="27"/>
        <v>-399895773.0755378</v>
      </c>
      <c r="AF38" s="5">
        <f t="shared" si="28"/>
        <v>5600000</v>
      </c>
      <c r="AG38" s="4">
        <f t="shared" si="21"/>
        <v>0.8</v>
      </c>
      <c r="AH38" s="18">
        <f t="shared" si="29"/>
        <v>104104226.92446218</v>
      </c>
      <c r="AI38" s="18">
        <f t="shared" si="30"/>
        <v>504000000</v>
      </c>
      <c r="AK38" s="8">
        <f t="shared" si="22"/>
        <v>9.1105119440064539E-4</v>
      </c>
    </row>
    <row r="39" spans="1:37" x14ac:dyDescent="0.2">
      <c r="A39" s="2">
        <v>17</v>
      </c>
      <c r="B39" s="7">
        <f t="shared" si="6"/>
        <v>350000</v>
      </c>
      <c r="C39" s="8">
        <f t="shared" si="0"/>
        <v>9.0627352437464885E-5</v>
      </c>
      <c r="D39" s="24">
        <f t="shared" si="7"/>
        <v>0</v>
      </c>
      <c r="E39" s="5">
        <f t="shared" si="8"/>
        <v>0</v>
      </c>
      <c r="F39" s="5">
        <f t="shared" si="9"/>
        <v>0</v>
      </c>
      <c r="G39" s="5">
        <f t="shared" si="1"/>
        <v>31.719573353112711</v>
      </c>
      <c r="H39" s="4">
        <f>SUM(G23:G39)/G44</f>
        <v>0.9997081661208207</v>
      </c>
      <c r="I39" s="4">
        <f t="shared" si="23"/>
        <v>1.6433822983369955</v>
      </c>
      <c r="J39" s="4">
        <f t="shared" si="24"/>
        <v>2.436219151544794E-4</v>
      </c>
      <c r="K39" s="4">
        <f t="shared" si="10"/>
        <v>4.0036394285182883E-4</v>
      </c>
      <c r="L39" s="27">
        <f t="shared" si="11"/>
        <v>4.8724383030895107E-3</v>
      </c>
      <c r="M39" s="18">
        <f t="shared" si="25"/>
        <v>130162.00322893081</v>
      </c>
      <c r="N39" s="27">
        <f t="shared" si="12"/>
        <v>1.1761272542597887</v>
      </c>
      <c r="O39" s="5">
        <f t="shared" si="2"/>
        <v>349968.28042664687</v>
      </c>
      <c r="P39" s="4">
        <f>SUM(O23:O39)/O43</f>
        <v>0.84716265346459407</v>
      </c>
      <c r="Q39" s="5">
        <f t="shared" si="3"/>
        <v>0</v>
      </c>
      <c r="R39" s="5">
        <f t="shared" si="13"/>
        <v>0</v>
      </c>
      <c r="S39" s="4" t="e">
        <f>SUM(Q23:Q39)/$Q$43</f>
        <v>#DIV/0!</v>
      </c>
      <c r="T39" s="4" t="e">
        <f>SUM(R23:R39)/$R$43</f>
        <v>#DIV/0!</v>
      </c>
      <c r="U39" s="4" t="e">
        <f t="shared" si="26"/>
        <v>#DIV/0!</v>
      </c>
      <c r="V39" s="4" t="e">
        <f t="shared" si="31"/>
        <v>#DIV/0!</v>
      </c>
      <c r="W39" s="4" t="e">
        <f t="shared" si="14"/>
        <v>#DIV/0!</v>
      </c>
      <c r="Y39" s="18">
        <f t="shared" si="15"/>
        <v>25375.658682490168</v>
      </c>
      <c r="Z39" s="18">
        <f t="shared" si="16"/>
        <v>31500000</v>
      </c>
      <c r="AA39" s="2">
        <f t="shared" si="17"/>
        <v>0</v>
      </c>
      <c r="AB39" s="2">
        <f t="shared" si="18"/>
        <v>0</v>
      </c>
      <c r="AC39" s="2">
        <f t="shared" si="19"/>
        <v>0</v>
      </c>
      <c r="AD39" s="18">
        <f t="shared" si="20"/>
        <v>-31474624.341317508</v>
      </c>
      <c r="AE39" s="18">
        <f t="shared" si="27"/>
        <v>-431370397.41685534</v>
      </c>
      <c r="AF39" s="5">
        <f t="shared" si="28"/>
        <v>5950000</v>
      </c>
      <c r="AG39" s="4">
        <f t="shared" si="21"/>
        <v>0.85</v>
      </c>
      <c r="AH39" s="18">
        <f t="shared" si="29"/>
        <v>104129602.58314468</v>
      </c>
      <c r="AI39" s="18">
        <f t="shared" si="30"/>
        <v>535500000</v>
      </c>
      <c r="AK39" s="8">
        <f t="shared" si="22"/>
        <v>5.5277863692359955E-4</v>
      </c>
    </row>
    <row r="40" spans="1:37" x14ac:dyDescent="0.2">
      <c r="A40" s="2">
        <v>18</v>
      </c>
      <c r="B40" s="7">
        <f t="shared" si="6"/>
        <v>350000</v>
      </c>
      <c r="C40" s="8">
        <f t="shared" si="0"/>
        <v>5.4980226140569641E-5</v>
      </c>
      <c r="D40" s="24">
        <f t="shared" si="7"/>
        <v>0</v>
      </c>
      <c r="E40" s="5">
        <f t="shared" si="8"/>
        <v>0</v>
      </c>
      <c r="F40" s="5">
        <f t="shared" si="9"/>
        <v>0</v>
      </c>
      <c r="G40" s="5">
        <f t="shared" si="1"/>
        <v>19.243079149199374</v>
      </c>
      <c r="H40" s="4">
        <f>SUM(G23:G40)/G44</f>
        <v>0.99985596242765018</v>
      </c>
      <c r="I40" s="4">
        <f t="shared" si="23"/>
        <v>1.7452701316578341</v>
      </c>
      <c r="J40" s="4">
        <f t="shared" si="24"/>
        <v>1.4779630682948408E-4</v>
      </c>
      <c r="K40" s="4">
        <f t="shared" si="10"/>
        <v>2.5794447987883531E-4</v>
      </c>
      <c r="L40" s="27">
        <f t="shared" si="11"/>
        <v>2.9559261365897658E-3</v>
      </c>
      <c r="M40" s="18">
        <f t="shared" si="25"/>
        <v>130181.24630808001</v>
      </c>
      <c r="N40" s="27">
        <f t="shared" si="12"/>
        <v>1.1109510693640554</v>
      </c>
      <c r="O40" s="5">
        <f t="shared" si="2"/>
        <v>349980.75692085078</v>
      </c>
      <c r="P40" s="4">
        <f>SUM(O23:O40)/O43</f>
        <v>0.89810747819323988</v>
      </c>
      <c r="Q40" s="5">
        <f t="shared" si="3"/>
        <v>0</v>
      </c>
      <c r="R40" s="5">
        <f t="shared" si="13"/>
        <v>0</v>
      </c>
      <c r="S40" s="4" t="e">
        <f>SUM(Q23:Q40)/$Q$43</f>
        <v>#DIV/0!</v>
      </c>
      <c r="T40" s="4" t="e">
        <f>SUM(R23:R40)/$R$43</f>
        <v>#DIV/0!</v>
      </c>
      <c r="U40" s="4" t="e">
        <f t="shared" si="26"/>
        <v>#DIV/0!</v>
      </c>
      <c r="V40" s="4" t="e">
        <f t="shared" si="31"/>
        <v>#DIV/0!</v>
      </c>
      <c r="W40" s="4" t="e">
        <f t="shared" si="14"/>
        <v>#DIV/0!</v>
      </c>
      <c r="Y40" s="18">
        <f t="shared" si="15"/>
        <v>15394.4633193595</v>
      </c>
      <c r="Z40" s="18">
        <f t="shared" si="16"/>
        <v>31500000</v>
      </c>
      <c r="AA40" s="2">
        <f t="shared" si="17"/>
        <v>0</v>
      </c>
      <c r="AB40" s="2">
        <f t="shared" si="18"/>
        <v>0</v>
      </c>
      <c r="AC40" s="2">
        <f t="shared" si="19"/>
        <v>0</v>
      </c>
      <c r="AD40" s="18">
        <f t="shared" si="20"/>
        <v>-31484605.536680639</v>
      </c>
      <c r="AE40" s="18">
        <f t="shared" si="27"/>
        <v>-462855002.95353597</v>
      </c>
      <c r="AF40" s="5">
        <f t="shared" si="28"/>
        <v>6300000</v>
      </c>
      <c r="AG40" s="4">
        <f t="shared" si="21"/>
        <v>0.9</v>
      </c>
      <c r="AH40" s="18">
        <f t="shared" si="29"/>
        <v>104144997.04646404</v>
      </c>
      <c r="AI40" s="18">
        <f t="shared" si="30"/>
        <v>567000000</v>
      </c>
      <c r="AK40" s="8">
        <f t="shared" si="22"/>
        <v>3.3535013046647811E-4</v>
      </c>
    </row>
    <row r="41" spans="1:37" x14ac:dyDescent="0.2">
      <c r="A41" s="2">
        <v>19</v>
      </c>
      <c r="B41" s="7">
        <f t="shared" si="6"/>
        <v>350000</v>
      </c>
      <c r="C41" s="8">
        <f t="shared" si="0"/>
        <v>3.3351593574781571E-5</v>
      </c>
      <c r="D41" s="24">
        <f t="shared" si="7"/>
        <v>0</v>
      </c>
      <c r="E41" s="5">
        <f t="shared" si="8"/>
        <v>0</v>
      </c>
      <c r="F41" s="5">
        <f t="shared" si="9"/>
        <v>0</v>
      </c>
      <c r="G41" s="5">
        <f t="shared" si="1"/>
        <v>11.67305775117355</v>
      </c>
      <c r="H41" s="4">
        <f>SUM(G23:G41)/G44</f>
        <v>0.99994561724908781</v>
      </c>
      <c r="I41" s="4">
        <f t="shared" si="23"/>
        <v>1.847160883042605</v>
      </c>
      <c r="J41" s="4">
        <f t="shared" si="24"/>
        <v>8.9654821437634702E-5</v>
      </c>
      <c r="K41" s="4">
        <f t="shared" si="10"/>
        <v>1.6560687913576839E-4</v>
      </c>
      <c r="L41" s="27">
        <f t="shared" si="11"/>
        <v>1.7930964287516974E-3</v>
      </c>
      <c r="M41" s="18">
        <f t="shared" si="25"/>
        <v>130192.91936583119</v>
      </c>
      <c r="N41" s="27">
        <f t="shared" si="12"/>
        <v>1.052574333946408</v>
      </c>
      <c r="O41" s="5">
        <f t="shared" si="2"/>
        <v>349988.32694224885</v>
      </c>
      <c r="P41" s="4">
        <f>SUM(O23:O41)/O43</f>
        <v>0.94905340484936507</v>
      </c>
      <c r="Q41" s="5">
        <f t="shared" si="3"/>
        <v>0</v>
      </c>
      <c r="R41" s="5">
        <f t="shared" si="13"/>
        <v>0</v>
      </c>
      <c r="S41" s="4" t="e">
        <f>SUM(Q23:Q41)/$Q$43</f>
        <v>#DIV/0!</v>
      </c>
      <c r="T41" s="4" t="e">
        <f>SUM(R23:R41)/$R$43</f>
        <v>#DIV/0!</v>
      </c>
      <c r="U41" s="4" t="e">
        <f t="shared" si="26"/>
        <v>#DIV/0!</v>
      </c>
      <c r="V41" s="4" t="e">
        <f t="shared" si="31"/>
        <v>#DIV/0!</v>
      </c>
      <c r="W41" s="4" t="e">
        <f t="shared" si="14"/>
        <v>#DIV/0!</v>
      </c>
      <c r="Y41" s="18">
        <f t="shared" si="15"/>
        <v>9338.4462009388408</v>
      </c>
      <c r="Z41" s="18">
        <f t="shared" si="16"/>
        <v>31500000</v>
      </c>
      <c r="AA41" s="2">
        <f t="shared" si="17"/>
        <v>0</v>
      </c>
      <c r="AB41" s="2">
        <f t="shared" si="18"/>
        <v>0</v>
      </c>
      <c r="AC41" s="2">
        <f t="shared" si="19"/>
        <v>0</v>
      </c>
      <c r="AD41" s="18">
        <f t="shared" si="20"/>
        <v>-31490661.553799063</v>
      </c>
      <c r="AE41" s="18">
        <f t="shared" si="27"/>
        <v>-494345664.50733507</v>
      </c>
      <c r="AF41" s="5">
        <f t="shared" si="28"/>
        <v>6650000</v>
      </c>
      <c r="AG41" s="4">
        <f t="shared" si="21"/>
        <v>0.95</v>
      </c>
      <c r="AH41" s="18">
        <f t="shared" si="29"/>
        <v>104154335.49266498</v>
      </c>
      <c r="AI41" s="18">
        <f t="shared" si="30"/>
        <v>598500000</v>
      </c>
      <c r="AK41" s="8">
        <f t="shared" si="22"/>
        <v>2.0342697805520653E-4</v>
      </c>
    </row>
    <row r="42" spans="1:37" x14ac:dyDescent="0.2">
      <c r="A42" s="2">
        <v>20</v>
      </c>
      <c r="B42" s="7">
        <f t="shared" si="6"/>
        <v>350000</v>
      </c>
      <c r="C42" s="8">
        <f t="shared" si="0"/>
        <v>2.0230383339364423E-5</v>
      </c>
      <c r="D42" s="24">
        <f t="shared" si="7"/>
        <v>0</v>
      </c>
      <c r="E42" s="5">
        <f t="shared" si="8"/>
        <v>0</v>
      </c>
      <c r="F42" s="5">
        <f t="shared" si="9"/>
        <v>0</v>
      </c>
      <c r="G42" s="5">
        <f t="shared" si="1"/>
        <v>7.0806341687775483</v>
      </c>
      <c r="H42" s="4">
        <f>SUM(G23:G42)/G44</f>
        <v>1</v>
      </c>
      <c r="I42" s="4">
        <f t="shared" si="23"/>
        <v>1.9490534048493651</v>
      </c>
      <c r="J42" s="4">
        <f t="shared" si="24"/>
        <v>5.4382750912185251E-5</v>
      </c>
      <c r="K42" s="4">
        <f t="shared" si="10"/>
        <v>1.0599488583046958E-4</v>
      </c>
      <c r="L42" s="27">
        <f t="shared" si="11"/>
        <v>1.0876550182453992E-3</v>
      </c>
      <c r="M42" s="18">
        <f t="shared" si="25"/>
        <v>130199.99999999996</v>
      </c>
      <c r="N42" s="27">
        <f t="shared" si="12"/>
        <v>0.99999999999999978</v>
      </c>
      <c r="O42" s="5">
        <f t="shared" si="2"/>
        <v>349992.91936583124</v>
      </c>
      <c r="P42" s="4">
        <f>SUM(O23:O42)/O43</f>
        <v>1</v>
      </c>
      <c r="Q42" s="5">
        <f t="shared" si="3"/>
        <v>0</v>
      </c>
      <c r="R42" s="5">
        <f t="shared" si="13"/>
        <v>0</v>
      </c>
      <c r="S42" s="4" t="e">
        <f>SUM(Q23:Q42)/$Q$43</f>
        <v>#DIV/0!</v>
      </c>
      <c r="T42" s="4" t="e">
        <f>SUM(R23:R42)/$R$43</f>
        <v>#DIV/0!</v>
      </c>
      <c r="U42" s="4" t="e">
        <f t="shared" si="26"/>
        <v>#DIV/0!</v>
      </c>
      <c r="V42" s="4" t="e">
        <f t="shared" si="31"/>
        <v>#DIV/0!</v>
      </c>
      <c r="W42" s="4" t="e">
        <f t="shared" si="14"/>
        <v>#DIV/0!</v>
      </c>
      <c r="Y42" s="18">
        <f t="shared" si="15"/>
        <v>5664.5073350220382</v>
      </c>
      <c r="Z42" s="18">
        <f t="shared" si="16"/>
        <v>31500000</v>
      </c>
      <c r="AA42" s="2">
        <f t="shared" si="17"/>
        <v>0</v>
      </c>
      <c r="AB42" s="2">
        <f t="shared" si="18"/>
        <v>0</v>
      </c>
      <c r="AC42" s="2">
        <f t="shared" si="19"/>
        <v>0</v>
      </c>
      <c r="AD42" s="18">
        <f t="shared" si="20"/>
        <v>-31494335.492664978</v>
      </c>
      <c r="AE42" s="18">
        <f t="shared" si="27"/>
        <v>-525840000.00000006</v>
      </c>
      <c r="AF42" s="5">
        <f t="shared" si="28"/>
        <v>7000000</v>
      </c>
      <c r="AG42" s="4">
        <f t="shared" si="21"/>
        <v>1</v>
      </c>
      <c r="AH42" s="18">
        <f t="shared" si="29"/>
        <v>104160000</v>
      </c>
      <c r="AI42" s="18">
        <f t="shared" si="30"/>
        <v>630000000</v>
      </c>
      <c r="AK42" s="8">
        <f t="shared" si="22"/>
        <v>1.2339457598623172E-4</v>
      </c>
    </row>
    <row r="43" spans="1:37" ht="26.25" thickBot="1" x14ac:dyDescent="0.25">
      <c r="B43" s="2">
        <f>SUM(B23:B42)</f>
        <v>7000000</v>
      </c>
      <c r="C43" s="8">
        <f t="shared" si="0"/>
        <v>1.8600000000000002E-2</v>
      </c>
      <c r="E43" s="5">
        <f>SUM(E23:E42)</f>
        <v>0</v>
      </c>
      <c r="F43" s="5">
        <f>SUM(F23:F42)</f>
        <v>0</v>
      </c>
      <c r="G43" s="5">
        <f>SUM(G23:G42)</f>
        <v>130199.99999999996</v>
      </c>
      <c r="H43" s="4"/>
      <c r="I43" s="4"/>
      <c r="J43" s="37" t="s">
        <v>52</v>
      </c>
      <c r="K43" s="4">
        <f>SUM(K23:K42)</f>
        <v>0.25163044359702791</v>
      </c>
      <c r="M43" s="18"/>
      <c r="N43" s="2" t="s">
        <v>54</v>
      </c>
      <c r="O43" s="11">
        <f>SUM(O23:O42)</f>
        <v>6869800.0000000009</v>
      </c>
      <c r="Q43" s="11">
        <f>SUM(Q23:Q42)</f>
        <v>0</v>
      </c>
      <c r="R43" s="11">
        <f>SUM(R23:R42)</f>
        <v>0</v>
      </c>
      <c r="S43" s="4"/>
      <c r="T43" s="4"/>
      <c r="U43" s="4"/>
      <c r="V43" s="37" t="s">
        <v>52</v>
      </c>
      <c r="W43" s="4" t="e">
        <f>SUM(W23:W42)</f>
        <v>#DIV/0!</v>
      </c>
      <c r="Y43" s="18">
        <f>SUM(Y23:Y42)</f>
        <v>104160000</v>
      </c>
      <c r="Z43" s="18">
        <f>SUM(Z23:Z42)</f>
        <v>630000000</v>
      </c>
      <c r="AA43" s="18">
        <f>SUM(AA23:AA42)</f>
        <v>0</v>
      </c>
      <c r="AB43" s="18">
        <f>SUM(AB23:AB42)</f>
        <v>0</v>
      </c>
      <c r="AK43" s="10">
        <f>AVERAGE(AK23:AK42)</f>
        <v>0.11345010496553527</v>
      </c>
    </row>
    <row r="44" spans="1:37" ht="26.25" thickBot="1" x14ac:dyDescent="0.25">
      <c r="C44" s="4">
        <f>G43/B43</f>
        <v>1.8599999999999995E-2</v>
      </c>
      <c r="F44" s="5" t="s">
        <v>51</v>
      </c>
      <c r="G44" s="5">
        <f>SUM(G23:G42)</f>
        <v>130199.99999999996</v>
      </c>
      <c r="H44" s="4"/>
      <c r="I44" s="4"/>
      <c r="J44" s="37" t="s">
        <v>53</v>
      </c>
      <c r="K44" s="17">
        <f>1-K43</f>
        <v>0.74836955640297209</v>
      </c>
      <c r="M44" s="18"/>
      <c r="S44" s="4"/>
      <c r="T44" s="4"/>
      <c r="U44" s="4"/>
      <c r="V44" s="37" t="s">
        <v>12</v>
      </c>
      <c r="W44" s="17" t="e">
        <f>1-W43</f>
        <v>#DIV/0!</v>
      </c>
    </row>
    <row r="45" spans="1:37" x14ac:dyDescent="0.2">
      <c r="C45" s="2" t="s">
        <v>8</v>
      </c>
      <c r="D45" s="9">
        <v>-0.5</v>
      </c>
      <c r="M45" s="18"/>
    </row>
    <row r="46" spans="1:37" x14ac:dyDescent="0.2">
      <c r="C46" s="2" t="s">
        <v>9</v>
      </c>
      <c r="D46" s="9">
        <v>1</v>
      </c>
      <c r="M46" s="18"/>
    </row>
    <row r="49" spans="1:11" ht="38.25" x14ac:dyDescent="0.2">
      <c r="A49" s="12" t="s">
        <v>17</v>
      </c>
      <c r="B49" s="14" t="s">
        <v>9</v>
      </c>
      <c r="C49" s="14" t="s">
        <v>8</v>
      </c>
      <c r="D49" s="14" t="s">
        <v>12</v>
      </c>
      <c r="E49" s="32" t="s">
        <v>56</v>
      </c>
      <c r="F49" s="32" t="s">
        <v>55</v>
      </c>
      <c r="G49" s="14" t="s">
        <v>18</v>
      </c>
      <c r="H49" s="10">
        <f>D51-D65</f>
        <v>0.50341500553004404</v>
      </c>
      <c r="I49" s="5">
        <f>E51-E65</f>
        <v>13721519.781201785</v>
      </c>
      <c r="J49" s="5">
        <f>I49/H49</f>
        <v>27256874.806015052</v>
      </c>
    </row>
    <row r="50" spans="1:11" x14ac:dyDescent="0.2">
      <c r="A50" s="16">
        <f>B15</f>
        <v>0</v>
      </c>
      <c r="B50" s="19">
        <f>D46</f>
        <v>1</v>
      </c>
      <c r="C50" s="19">
        <f>D45</f>
        <v>-0.5</v>
      </c>
      <c r="D50" s="20">
        <f>K44</f>
        <v>0.74836955640297209</v>
      </c>
      <c r="E50" s="16">
        <f>B17</f>
        <v>0</v>
      </c>
      <c r="F50" s="20">
        <f>B9</f>
        <v>0</v>
      </c>
      <c r="G50" s="20">
        <f>B10</f>
        <v>0</v>
      </c>
      <c r="H50" s="25">
        <v>0.01</v>
      </c>
      <c r="I50" s="33" t="s">
        <v>30</v>
      </c>
      <c r="J50" s="6">
        <f>J49*H50</f>
        <v>272568.74806015054</v>
      </c>
      <c r="K50" s="26" t="s">
        <v>13</v>
      </c>
    </row>
    <row r="51" spans="1:11" x14ac:dyDescent="0.2">
      <c r="A51" s="21">
        <v>8750000</v>
      </c>
      <c r="B51" s="22">
        <v>1</v>
      </c>
      <c r="C51" s="22">
        <v>-0.6</v>
      </c>
      <c r="D51" s="23">
        <v>0.78355307915990313</v>
      </c>
      <c r="E51" s="21">
        <v>16849340.109945543</v>
      </c>
      <c r="F51" s="23">
        <v>0.25</v>
      </c>
      <c r="G51" s="23">
        <v>0.9142621467837696</v>
      </c>
    </row>
    <row r="52" spans="1:11" x14ac:dyDescent="0.2">
      <c r="A52" s="21">
        <v>8750000</v>
      </c>
      <c r="B52" s="22">
        <v>1</v>
      </c>
      <c r="C52" s="22">
        <v>-0.5</v>
      </c>
      <c r="D52" s="23">
        <v>0.73814058558178486</v>
      </c>
      <c r="E52" s="21">
        <v>15330310.23044724</v>
      </c>
      <c r="F52" s="23">
        <v>0.25</v>
      </c>
      <c r="G52" s="23">
        <v>0.86001107965882972</v>
      </c>
    </row>
    <row r="53" spans="1:11" x14ac:dyDescent="0.2">
      <c r="A53" s="21">
        <v>10500000</v>
      </c>
      <c r="B53" s="22">
        <v>1</v>
      </c>
      <c r="C53" s="22">
        <v>-0.4</v>
      </c>
      <c r="D53" s="23">
        <v>0.67058916419207359</v>
      </c>
      <c r="E53" s="21">
        <v>13134993.026854187</v>
      </c>
      <c r="F53" s="23">
        <v>0.3</v>
      </c>
      <c r="G53" s="23">
        <v>0.84410689381622106</v>
      </c>
      <c r="H53" s="28">
        <v>0.01</v>
      </c>
      <c r="I53" s="34" t="s">
        <v>30</v>
      </c>
      <c r="J53" s="30">
        <v>272568.74806015054</v>
      </c>
      <c r="K53" s="29" t="s">
        <v>13</v>
      </c>
    </row>
    <row r="54" spans="1:11" x14ac:dyDescent="0.2">
      <c r="A54" s="21">
        <v>10500000</v>
      </c>
      <c r="B54" s="22">
        <v>1</v>
      </c>
      <c r="C54" s="22">
        <v>-0.3</v>
      </c>
      <c r="D54" s="23">
        <v>0.56377480110115519</v>
      </c>
      <c r="E54" s="21">
        <v>10018791.809949901</v>
      </c>
      <c r="F54" s="23">
        <v>0.3</v>
      </c>
      <c r="G54" s="23">
        <v>0.73281399321249663</v>
      </c>
      <c r="H54" s="28">
        <v>0.05</v>
      </c>
      <c r="I54" s="34" t="s">
        <v>30</v>
      </c>
      <c r="J54" s="30">
        <v>1362843.7403007527</v>
      </c>
      <c r="K54" s="29" t="s">
        <v>13</v>
      </c>
    </row>
    <row r="55" spans="1:11" x14ac:dyDescent="0.2">
      <c r="A55" s="21">
        <v>12250000</v>
      </c>
      <c r="B55" s="22">
        <v>1</v>
      </c>
      <c r="C55" s="22">
        <v>-0.28000000000000003</v>
      </c>
      <c r="D55" s="23">
        <v>0.53545328308621154</v>
      </c>
      <c r="E55" s="21">
        <v>9281163.2595172822</v>
      </c>
      <c r="F55" s="23">
        <v>0.35</v>
      </c>
      <c r="G55" s="23">
        <v>0.76897011641133162</v>
      </c>
      <c r="H55" s="28">
        <v>0.1</v>
      </c>
      <c r="I55" s="34" t="s">
        <v>30</v>
      </c>
      <c r="J55" s="30">
        <v>2725687.4806015054</v>
      </c>
      <c r="K55" s="29" t="s">
        <v>13</v>
      </c>
    </row>
    <row r="56" spans="1:11" x14ac:dyDescent="0.2">
      <c r="A56" s="21">
        <v>12250000</v>
      </c>
      <c r="B56" s="22">
        <v>1</v>
      </c>
      <c r="C56" s="22">
        <v>-0.26</v>
      </c>
      <c r="D56" s="23">
        <v>0.5042804625535795</v>
      </c>
      <c r="E56" s="21">
        <v>8476737.6308632605</v>
      </c>
      <c r="F56" s="23">
        <v>0.35</v>
      </c>
      <c r="G56" s="23">
        <v>0.74024062967368764</v>
      </c>
    </row>
    <row r="57" spans="1:11" x14ac:dyDescent="0.2">
      <c r="A57" s="21">
        <v>12250000</v>
      </c>
      <c r="B57" s="22">
        <v>1</v>
      </c>
      <c r="C57" s="22">
        <v>-0.24</v>
      </c>
      <c r="D57" s="23">
        <v>0.47008047627652105</v>
      </c>
      <c r="E57" s="21">
        <v>7606997.5719227158</v>
      </c>
      <c r="F57" s="23">
        <v>0.35</v>
      </c>
      <c r="G57" s="23">
        <v>0.70917848471152545</v>
      </c>
    </row>
    <row r="58" spans="1:11" x14ac:dyDescent="0.2">
      <c r="A58" s="21">
        <v>12250000</v>
      </c>
      <c r="B58" s="22">
        <v>1</v>
      </c>
      <c r="C58" s="22">
        <v>-0.23</v>
      </c>
      <c r="D58" s="23">
        <v>0.45181156366759845</v>
      </c>
      <c r="E58" s="21">
        <v>7149194.9738552794</v>
      </c>
      <c r="F58" s="23">
        <v>0.35</v>
      </c>
      <c r="G58" s="23">
        <v>0.69282839192340251</v>
      </c>
    </row>
    <row r="59" spans="1:11" x14ac:dyDescent="0.2">
      <c r="A59" s="21">
        <v>12250000</v>
      </c>
      <c r="B59" s="22">
        <v>1</v>
      </c>
      <c r="C59" s="22">
        <v>-0.22</v>
      </c>
      <c r="D59" s="23">
        <v>0.43275992861640566</v>
      </c>
      <c r="E59" s="21">
        <v>6677392.6924372278</v>
      </c>
      <c r="F59" s="23">
        <v>0.35</v>
      </c>
      <c r="G59" s="23">
        <v>0.67597831044418699</v>
      </c>
    </row>
    <row r="60" spans="1:11" x14ac:dyDescent="0.2">
      <c r="A60" s="21">
        <v>12250000</v>
      </c>
      <c r="B60" s="22">
        <v>1</v>
      </c>
      <c r="C60" s="22">
        <v>-0.2</v>
      </c>
      <c r="D60" s="23">
        <v>0.39235974895745873</v>
      </c>
      <c r="E60" s="21">
        <v>5697230.307047829</v>
      </c>
      <c r="F60" s="23">
        <v>0.35</v>
      </c>
      <c r="G60" s="23">
        <v>0.64097251096599361</v>
      </c>
    </row>
    <row r="61" spans="1:11" x14ac:dyDescent="0.2">
      <c r="A61" s="21">
        <v>12250000</v>
      </c>
      <c r="B61" s="22">
        <v>1</v>
      </c>
      <c r="C61" s="22">
        <v>-0.18</v>
      </c>
      <c r="D61" s="23">
        <v>0.34911960149763366</v>
      </c>
      <c r="E61" s="21">
        <v>4680287.2542042509</v>
      </c>
      <c r="F61" s="23">
        <v>0.35</v>
      </c>
      <c r="G61" s="23">
        <v>0.60465311622158024</v>
      </c>
    </row>
    <row r="62" spans="1:11" x14ac:dyDescent="0.2">
      <c r="A62" s="21">
        <v>12250000</v>
      </c>
      <c r="B62" s="22">
        <v>1</v>
      </c>
      <c r="C62" s="22">
        <v>-0.17199999999999999</v>
      </c>
      <c r="D62" s="23">
        <v>0.33113180694146682</v>
      </c>
      <c r="E62" s="21">
        <v>4267211.4874376934</v>
      </c>
      <c r="F62" s="23">
        <v>0.35</v>
      </c>
      <c r="G62" s="23">
        <v>0.58990041026563189</v>
      </c>
    </row>
    <row r="63" spans="1:11" x14ac:dyDescent="0.2">
      <c r="A63" s="21">
        <v>12250000</v>
      </c>
      <c r="B63" s="22">
        <v>1</v>
      </c>
      <c r="C63" s="22">
        <v>-0.17</v>
      </c>
      <c r="D63" s="23">
        <v>0.32658129310000072</v>
      </c>
      <c r="E63" s="21">
        <v>4163641.1187159233</v>
      </c>
      <c r="F63" s="23">
        <v>0.35</v>
      </c>
      <c r="G63" s="23">
        <v>0.58620146852556854</v>
      </c>
    </row>
    <row r="64" spans="1:11" x14ac:dyDescent="0.2">
      <c r="A64" s="21">
        <v>12250000</v>
      </c>
      <c r="B64" s="22">
        <v>1</v>
      </c>
      <c r="C64" s="22">
        <v>-0.16</v>
      </c>
      <c r="D64" s="23">
        <v>0.30354875632112466</v>
      </c>
      <c r="E64" s="21">
        <v>3645139.2553013191</v>
      </c>
      <c r="F64" s="23">
        <v>0.35</v>
      </c>
      <c r="G64" s="23">
        <v>0.5676835448321903</v>
      </c>
    </row>
    <row r="65" spans="1:7" x14ac:dyDescent="0.2">
      <c r="A65" s="21">
        <v>12250000</v>
      </c>
      <c r="B65" s="22">
        <v>1</v>
      </c>
      <c r="C65" s="22">
        <v>-0.15</v>
      </c>
      <c r="D65" s="23">
        <v>0.2801380736298591</v>
      </c>
      <c r="E65" s="21">
        <v>3127820.3287437577</v>
      </c>
      <c r="F65" s="23">
        <v>0.35</v>
      </c>
      <c r="G65" s="23">
        <v>0.54920786888370576</v>
      </c>
    </row>
  </sheetData>
  <pageMargins left="0" right="0" top="0.78740157480314965" bottom="0" header="0" footer="0"/>
  <pageSetup paperSize="9" scale="130" orientation="landscape" horizontalDpi="4294967294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27" sqref="S27"/>
    </sheetView>
  </sheetViews>
  <sheetFormatPr defaultRowHeight="12.75" x14ac:dyDescent="0.2"/>
  <sheetData>
    <row r="1" spans="1:1" x14ac:dyDescent="0.2">
      <c r="A1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IloscPobran xmlns="15eff680-7205-4d96-b943-900c91f8b861">67</IloscPobran>
    <IloscPobranLast xmlns="15eff680-7205-4d96-b943-900c91f8b861">67</IloscPobranLast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56169E91E682348829F391E18E24ADC" ma:contentTypeVersion="3" ma:contentTypeDescription="Utwórz nowy dokument." ma:contentTypeScope="" ma:versionID="8d987f166263a89b8f9d9a4d00248ac5">
  <xsd:schema xmlns:xsd="http://www.w3.org/2001/XMLSchema" xmlns:xs="http://www.w3.org/2001/XMLSchema" xmlns:p="http://schemas.microsoft.com/office/2006/metadata/properties" xmlns:ns1="http://schemas.microsoft.com/sharepoint/v3" xmlns:ns2="15eff680-7205-4d96-b943-900c91f8b861" targetNamespace="http://schemas.microsoft.com/office/2006/metadata/properties" ma:root="true" ma:fieldsID="01d90da5a6219a11e736808c48a3d393" ns1:_="" ns2:_="">
    <xsd:import namespace="http://schemas.microsoft.com/sharepoint/v3"/>
    <xsd:import namespace="15eff680-7205-4d96-b943-900c91f8b86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IloscPobran" minOccurs="0"/>
                <xsd:element ref="ns2:IloscPobranLas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owana data rozpoczęcia" ma:internalName="PublishingStartDate">
      <xsd:simpleType>
        <xsd:restriction base="dms:Unknown"/>
      </xsd:simpleType>
    </xsd:element>
    <xsd:element name="PublishingExpirationDate" ma:index="9" nillable="true" ma:displayName="Planowana data zakończenia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ff680-7205-4d96-b943-900c91f8b861" elementFormDefault="qualified">
    <xsd:import namespace="http://schemas.microsoft.com/office/2006/documentManagement/types"/>
    <xsd:import namespace="http://schemas.microsoft.com/office/infopath/2007/PartnerControls"/>
    <xsd:element name="IloscPobran" ma:index="10" nillable="true" ma:displayName="IloscPobran" ma:decimals="0" ma:internalName="IloscPobran">
      <xsd:simpleType>
        <xsd:restriction base="dms:Number"/>
      </xsd:simpleType>
    </xsd:element>
    <xsd:element name="IloscPobranLast" ma:index="11" nillable="true" ma:displayName="IloscPobranLast" ma:decimals="0" ma:internalName="IloscPobranLast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DBB9D9-9B7B-4B33-B203-C559A4BC57C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5eff680-7205-4d96-b943-900c91f8b861"/>
  </ds:schemaRefs>
</ds:datastoreItem>
</file>

<file path=customXml/itemProps2.xml><?xml version="1.0" encoding="utf-8"?>
<ds:datastoreItem xmlns:ds="http://schemas.openxmlformats.org/officeDocument/2006/customXml" ds:itemID="{CF96DE45-C507-412E-AA0C-0568A393FB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3630E1-661D-492A-B68E-4C1AF3373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5eff680-7205-4d96-b943-900c91f8b8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Analysis</vt:lpstr>
      <vt:lpstr>Graphs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sgh</cp:lastModifiedBy>
  <cp:lastPrinted>2014-11-22T12:21:22Z</cp:lastPrinted>
  <dcterms:created xsi:type="dcterms:W3CDTF">2008-06-27T13:02:34Z</dcterms:created>
  <dcterms:modified xsi:type="dcterms:W3CDTF">2018-10-30T19:04:50Z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0x010100256169E91E682348829F391E18E24ADC</vt:lpwstr>
  </property>
</Properties>
</file>