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4595" windowHeight="7680"/>
  </bookViews>
  <sheets>
    <sheet name="Analysis" sheetId="4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/>
</workbook>
</file>

<file path=xl/calcChain.xml><?xml version="1.0" encoding="utf-8"?>
<calcChain xmlns="http://schemas.openxmlformats.org/spreadsheetml/2006/main">
  <c r="K55" i="4" l="1"/>
  <c r="L55" i="4"/>
  <c r="J52" i="4"/>
  <c r="J53" i="4"/>
  <c r="I52" i="4"/>
  <c r="I53" i="4"/>
  <c r="I54" i="4"/>
  <c r="J54" i="4" s="1"/>
  <c r="H52" i="4"/>
  <c r="H53" i="4"/>
  <c r="B19" i="4" l="1"/>
  <c r="B12" i="4"/>
  <c r="B3" i="4" s="1"/>
  <c r="B11" i="4"/>
  <c r="H54" i="4" l="1"/>
  <c r="B55" i="4"/>
  <c r="A55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28" i="4"/>
  <c r="J55" i="4" l="1"/>
  <c r="AK48" i="4"/>
  <c r="C48" i="4" s="1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AF28" i="4" l="1"/>
  <c r="Z28" i="4"/>
  <c r="AF30" i="4"/>
  <c r="Z30" i="4"/>
  <c r="AF32" i="4"/>
  <c r="Z32" i="4"/>
  <c r="AF34" i="4"/>
  <c r="Z34" i="4"/>
  <c r="AF36" i="4"/>
  <c r="Z36" i="4"/>
  <c r="AF38" i="4"/>
  <c r="Z38" i="4"/>
  <c r="AF40" i="4"/>
  <c r="Z40" i="4"/>
  <c r="AF42" i="4"/>
  <c r="Z42" i="4"/>
  <c r="AF44" i="4"/>
  <c r="Z44" i="4"/>
  <c r="AF46" i="4"/>
  <c r="Z46" i="4"/>
  <c r="AF29" i="4"/>
  <c r="Z29" i="4"/>
  <c r="AF31" i="4"/>
  <c r="Z31" i="4"/>
  <c r="AF33" i="4"/>
  <c r="Z33" i="4"/>
  <c r="AF35" i="4"/>
  <c r="Z35" i="4"/>
  <c r="AF37" i="4"/>
  <c r="Z37" i="4"/>
  <c r="AF39" i="4"/>
  <c r="Z39" i="4"/>
  <c r="AF41" i="4"/>
  <c r="Z41" i="4"/>
  <c r="AF43" i="4"/>
  <c r="Z43" i="4"/>
  <c r="AF45" i="4"/>
  <c r="Z45" i="4"/>
  <c r="AF47" i="4"/>
  <c r="Z47" i="4"/>
  <c r="C29" i="4"/>
  <c r="C33" i="4"/>
  <c r="C37" i="4"/>
  <c r="C41" i="4"/>
  <c r="C45" i="4"/>
  <c r="C30" i="4"/>
  <c r="C34" i="4"/>
  <c r="C38" i="4"/>
  <c r="C42" i="4"/>
  <c r="C46" i="4"/>
  <c r="C31" i="4"/>
  <c r="C35" i="4"/>
  <c r="C39" i="4"/>
  <c r="C43" i="4"/>
  <c r="C47" i="4"/>
  <c r="C32" i="4"/>
  <c r="C36" i="4"/>
  <c r="C40" i="4"/>
  <c r="C44" i="4"/>
  <c r="C28" i="4"/>
  <c r="B48" i="4"/>
  <c r="Z48" i="4" l="1"/>
  <c r="AF48" i="4"/>
  <c r="AE28" i="4"/>
  <c r="Y28" i="4"/>
  <c r="AE40" i="4"/>
  <c r="Y40" i="4"/>
  <c r="AE32" i="4"/>
  <c r="Y32" i="4"/>
  <c r="AE43" i="4"/>
  <c r="Y43" i="4"/>
  <c r="AE35" i="4"/>
  <c r="Y35" i="4"/>
  <c r="AE46" i="4"/>
  <c r="Y46" i="4"/>
  <c r="AE38" i="4"/>
  <c r="Y38" i="4"/>
  <c r="AE30" i="4"/>
  <c r="Y30" i="4"/>
  <c r="AE41" i="4"/>
  <c r="Y41" i="4"/>
  <c r="AE33" i="4"/>
  <c r="Y33" i="4"/>
  <c r="AE44" i="4"/>
  <c r="Y44" i="4"/>
  <c r="AE36" i="4"/>
  <c r="Y36" i="4"/>
  <c r="AE47" i="4"/>
  <c r="Y47" i="4"/>
  <c r="AE39" i="4"/>
  <c r="Y39" i="4"/>
  <c r="AE31" i="4"/>
  <c r="Y31" i="4"/>
  <c r="AE42" i="4"/>
  <c r="Y42" i="4"/>
  <c r="AE34" i="4"/>
  <c r="Y34" i="4"/>
  <c r="AE45" i="4"/>
  <c r="Y45" i="4"/>
  <c r="AE37" i="4"/>
  <c r="Y37" i="4"/>
  <c r="AE29" i="4"/>
  <c r="Y29" i="4"/>
  <c r="G34" i="4"/>
  <c r="M34" i="4" s="1"/>
  <c r="G45" i="4"/>
  <c r="M45" i="4" s="1"/>
  <c r="G37" i="4"/>
  <c r="M37" i="4" s="1"/>
  <c r="G36" i="4"/>
  <c r="M36" i="4" s="1"/>
  <c r="G40" i="4"/>
  <c r="M40" i="4" s="1"/>
  <c r="G35" i="4"/>
  <c r="M35" i="4" s="1"/>
  <c r="G32" i="4"/>
  <c r="M32" i="4" s="1"/>
  <c r="G28" i="4"/>
  <c r="M28" i="4" s="1"/>
  <c r="G29" i="4"/>
  <c r="M29" i="4" s="1"/>
  <c r="G42" i="4"/>
  <c r="M42" i="4" s="1"/>
  <c r="G46" i="4"/>
  <c r="M46" i="4" s="1"/>
  <c r="G38" i="4"/>
  <c r="M38" i="4" s="1"/>
  <c r="G30" i="4"/>
  <c r="M30" i="4" s="1"/>
  <c r="G41" i="4"/>
  <c r="M41" i="4" s="1"/>
  <c r="G44" i="4"/>
  <c r="M44" i="4" s="1"/>
  <c r="G47" i="4"/>
  <c r="M47" i="4" s="1"/>
  <c r="G43" i="4"/>
  <c r="M43" i="4" s="1"/>
  <c r="G31" i="4"/>
  <c r="M31" i="4" s="1"/>
  <c r="G33" i="4"/>
  <c r="M33" i="4" s="1"/>
  <c r="G39" i="4"/>
  <c r="M39" i="4" s="1"/>
  <c r="O40" i="4"/>
  <c r="O36" i="4"/>
  <c r="O32" i="4"/>
  <c r="O28" i="4"/>
  <c r="O47" i="4"/>
  <c r="O45" i="4"/>
  <c r="O43" i="4"/>
  <c r="O41" i="4"/>
  <c r="O39" i="4"/>
  <c r="O37" i="4"/>
  <c r="O35" i="4"/>
  <c r="O33" i="4"/>
  <c r="O31" i="4"/>
  <c r="O29" i="4"/>
  <c r="O46" i="4"/>
  <c r="O44" i="4"/>
  <c r="O42" i="4"/>
  <c r="O38" i="4"/>
  <c r="O34" i="4"/>
  <c r="O30" i="4"/>
  <c r="AD30" i="4" l="1"/>
  <c r="AG30" i="4" s="1"/>
  <c r="AH30" i="4" s="1"/>
  <c r="X30" i="4"/>
  <c r="AA30" i="4" s="1"/>
  <c r="AB30" i="4" s="1"/>
  <c r="AD38" i="4"/>
  <c r="AG38" i="4" s="1"/>
  <c r="AH38" i="4" s="1"/>
  <c r="X38" i="4"/>
  <c r="AA38" i="4" s="1"/>
  <c r="AB38" i="4" s="1"/>
  <c r="AD44" i="4"/>
  <c r="AG44" i="4" s="1"/>
  <c r="AH44" i="4" s="1"/>
  <c r="X44" i="4"/>
  <c r="AA44" i="4" s="1"/>
  <c r="AB44" i="4" s="1"/>
  <c r="AD29" i="4"/>
  <c r="X29" i="4"/>
  <c r="AA29" i="4" s="1"/>
  <c r="AB29" i="4" s="1"/>
  <c r="AD33" i="4"/>
  <c r="AG33" i="4" s="1"/>
  <c r="AH33" i="4" s="1"/>
  <c r="X33" i="4"/>
  <c r="AA33" i="4" s="1"/>
  <c r="AB33" i="4" s="1"/>
  <c r="AD37" i="4"/>
  <c r="AG37" i="4" s="1"/>
  <c r="AH37" i="4" s="1"/>
  <c r="X37" i="4"/>
  <c r="AA37" i="4" s="1"/>
  <c r="AB37" i="4" s="1"/>
  <c r="AD41" i="4"/>
  <c r="AG41" i="4" s="1"/>
  <c r="AH41" i="4" s="1"/>
  <c r="X41" i="4"/>
  <c r="AA41" i="4" s="1"/>
  <c r="AB41" i="4" s="1"/>
  <c r="AD45" i="4"/>
  <c r="AG45" i="4" s="1"/>
  <c r="AH45" i="4" s="1"/>
  <c r="X45" i="4"/>
  <c r="AA45" i="4" s="1"/>
  <c r="AB45" i="4" s="1"/>
  <c r="AD28" i="4"/>
  <c r="AG28" i="4" s="1"/>
  <c r="X28" i="4"/>
  <c r="AA28" i="4" s="1"/>
  <c r="AD36" i="4"/>
  <c r="AG36" i="4" s="1"/>
  <c r="AH36" i="4" s="1"/>
  <c r="X36" i="4"/>
  <c r="AA36" i="4" s="1"/>
  <c r="AB36" i="4" s="1"/>
  <c r="AD34" i="4"/>
  <c r="AG34" i="4" s="1"/>
  <c r="AH34" i="4" s="1"/>
  <c r="X34" i="4"/>
  <c r="AA34" i="4" s="1"/>
  <c r="AB34" i="4" s="1"/>
  <c r="AD42" i="4"/>
  <c r="AG42" i="4" s="1"/>
  <c r="AH42" i="4" s="1"/>
  <c r="X42" i="4"/>
  <c r="AA42" i="4" s="1"/>
  <c r="AB42" i="4" s="1"/>
  <c r="AD46" i="4"/>
  <c r="AG46" i="4" s="1"/>
  <c r="AH46" i="4" s="1"/>
  <c r="X46" i="4"/>
  <c r="AA46" i="4" s="1"/>
  <c r="AB46" i="4" s="1"/>
  <c r="AD31" i="4"/>
  <c r="AG31" i="4" s="1"/>
  <c r="AH31" i="4" s="1"/>
  <c r="X31" i="4"/>
  <c r="AA31" i="4" s="1"/>
  <c r="AB31" i="4" s="1"/>
  <c r="AD35" i="4"/>
  <c r="AG35" i="4" s="1"/>
  <c r="AH35" i="4" s="1"/>
  <c r="X35" i="4"/>
  <c r="AA35" i="4" s="1"/>
  <c r="AB35" i="4" s="1"/>
  <c r="AD39" i="4"/>
  <c r="AG39" i="4" s="1"/>
  <c r="AH39" i="4" s="1"/>
  <c r="X39" i="4"/>
  <c r="AA39" i="4" s="1"/>
  <c r="AB39" i="4" s="1"/>
  <c r="AD43" i="4"/>
  <c r="AG43" i="4" s="1"/>
  <c r="AH43" i="4" s="1"/>
  <c r="X43" i="4"/>
  <c r="AA43" i="4" s="1"/>
  <c r="AB43" i="4" s="1"/>
  <c r="AD47" i="4"/>
  <c r="AG47" i="4" s="1"/>
  <c r="AH47" i="4" s="1"/>
  <c r="X47" i="4"/>
  <c r="AA47" i="4" s="1"/>
  <c r="AB47" i="4" s="1"/>
  <c r="AD32" i="4"/>
  <c r="AG32" i="4" s="1"/>
  <c r="AH32" i="4" s="1"/>
  <c r="X32" i="4"/>
  <c r="AA32" i="4" s="1"/>
  <c r="AB32" i="4" s="1"/>
  <c r="AD40" i="4"/>
  <c r="AG40" i="4" s="1"/>
  <c r="AH40" i="4" s="1"/>
  <c r="X40" i="4"/>
  <c r="AA40" i="4" s="1"/>
  <c r="AB40" i="4" s="1"/>
  <c r="AG29" i="4"/>
  <c r="AH29" i="4" s="1"/>
  <c r="Y48" i="4"/>
  <c r="AE48" i="4"/>
  <c r="G49" i="4"/>
  <c r="H47" i="4" s="1"/>
  <c r="G48" i="4"/>
  <c r="C49" i="4" s="1"/>
  <c r="O48" i="4"/>
  <c r="M48" i="4"/>
  <c r="N41" i="4" s="1"/>
  <c r="H35" i="4"/>
  <c r="N46" i="4" l="1"/>
  <c r="D40" i="4"/>
  <c r="H29" i="4"/>
  <c r="D39" i="4"/>
  <c r="E39" i="4" s="1"/>
  <c r="P39" i="4" s="1"/>
  <c r="V39" i="4" s="1"/>
  <c r="H31" i="4"/>
  <c r="H33" i="4"/>
  <c r="H39" i="4"/>
  <c r="D43" i="4"/>
  <c r="E43" i="4" s="1"/>
  <c r="H32" i="4"/>
  <c r="J32" i="4" s="1"/>
  <c r="H28" i="4"/>
  <c r="J28" i="4" s="1"/>
  <c r="H38" i="4"/>
  <c r="H36" i="4"/>
  <c r="J36" i="4" s="1"/>
  <c r="H30" i="4"/>
  <c r="J30" i="4" s="1"/>
  <c r="H37" i="4"/>
  <c r="N36" i="4"/>
  <c r="N35" i="4"/>
  <c r="H34" i="4"/>
  <c r="J35" i="4" s="1"/>
  <c r="N30" i="4"/>
  <c r="D32" i="4"/>
  <c r="D47" i="4"/>
  <c r="E47" i="4" s="1"/>
  <c r="D35" i="4"/>
  <c r="E35" i="4" s="1"/>
  <c r="P35" i="4" s="1"/>
  <c r="V35" i="4" s="1"/>
  <c r="D31" i="4"/>
  <c r="E31" i="4" s="1"/>
  <c r="D46" i="4"/>
  <c r="E46" i="4" s="1"/>
  <c r="P46" i="4" s="1"/>
  <c r="V46" i="4" s="1"/>
  <c r="D42" i="4"/>
  <c r="E42" i="4" s="1"/>
  <c r="P42" i="4" s="1"/>
  <c r="V42" i="4" s="1"/>
  <c r="D34" i="4"/>
  <c r="E34" i="4" s="1"/>
  <c r="P34" i="4" s="1"/>
  <c r="V34" i="4" s="1"/>
  <c r="E40" i="4"/>
  <c r="P40" i="4" s="1"/>
  <c r="V40" i="4" s="1"/>
  <c r="E32" i="4"/>
  <c r="P32" i="4" s="1"/>
  <c r="V32" i="4" s="1"/>
  <c r="N38" i="4"/>
  <c r="D30" i="4"/>
  <c r="D33" i="4"/>
  <c r="D36" i="4"/>
  <c r="D45" i="4"/>
  <c r="D29" i="4"/>
  <c r="X48" i="4"/>
  <c r="D38" i="4"/>
  <c r="D41" i="4"/>
  <c r="D44" i="4"/>
  <c r="D37" i="4"/>
  <c r="AD48" i="4"/>
  <c r="AH28" i="4"/>
  <c r="AH48" i="4" s="1"/>
  <c r="AG48" i="4"/>
  <c r="AA48" i="4"/>
  <c r="AB28" i="4"/>
  <c r="N32" i="4"/>
  <c r="N39" i="4"/>
  <c r="N37" i="4"/>
  <c r="N33" i="4"/>
  <c r="N40" i="4"/>
  <c r="N34" i="4"/>
  <c r="N43" i="4"/>
  <c r="N42" i="4"/>
  <c r="N44" i="4"/>
  <c r="N28" i="4"/>
  <c r="N31" i="4"/>
  <c r="N45" i="4"/>
  <c r="N47" i="4"/>
  <c r="N29" i="4"/>
  <c r="J31" i="4" l="1"/>
  <c r="R32" i="4"/>
  <c r="J39" i="4"/>
  <c r="J38" i="4"/>
  <c r="J33" i="4"/>
  <c r="F46" i="4"/>
  <c r="Q46" i="4" s="1"/>
  <c r="S46" i="4" s="1"/>
  <c r="J34" i="4"/>
  <c r="R34" i="4"/>
  <c r="R46" i="4"/>
  <c r="R35" i="4"/>
  <c r="P43" i="4"/>
  <c r="V43" i="4" s="1"/>
  <c r="R43" i="4"/>
  <c r="R42" i="4"/>
  <c r="J37" i="4"/>
  <c r="F43" i="4"/>
  <c r="Q43" i="4" s="1"/>
  <c r="S43" i="4" s="1"/>
  <c r="P47" i="4"/>
  <c r="V47" i="4" s="1"/>
  <c r="F47" i="4"/>
  <c r="Q47" i="4" s="1"/>
  <c r="P31" i="4"/>
  <c r="V31" i="4" s="1"/>
  <c r="F31" i="4"/>
  <c r="Q31" i="4" s="1"/>
  <c r="J29" i="4"/>
  <c r="F34" i="4"/>
  <c r="Q34" i="4" s="1"/>
  <c r="S34" i="4" s="1"/>
  <c r="F35" i="4"/>
  <c r="Q35" i="4" s="1"/>
  <c r="U35" i="4" s="1"/>
  <c r="F39" i="4"/>
  <c r="Q39" i="4" s="1"/>
  <c r="S39" i="4" s="1"/>
  <c r="F32" i="4"/>
  <c r="Q32" i="4" s="1"/>
  <c r="U32" i="4" s="1"/>
  <c r="R40" i="4"/>
  <c r="AB48" i="4"/>
  <c r="D28" i="4"/>
  <c r="E44" i="4"/>
  <c r="P44" i="4" s="1"/>
  <c r="V44" i="4" s="1"/>
  <c r="E38" i="4"/>
  <c r="P38" i="4" s="1"/>
  <c r="V38" i="4" s="1"/>
  <c r="E29" i="4"/>
  <c r="P29" i="4" s="1"/>
  <c r="V29" i="4" s="1"/>
  <c r="E36" i="4"/>
  <c r="P36" i="4" s="1"/>
  <c r="V36" i="4" s="1"/>
  <c r="E30" i="4"/>
  <c r="P30" i="4" s="1"/>
  <c r="V30" i="4" s="1"/>
  <c r="F42" i="4"/>
  <c r="Q42" i="4" s="1"/>
  <c r="R31" i="4"/>
  <c r="R39" i="4"/>
  <c r="R47" i="4"/>
  <c r="F40" i="4"/>
  <c r="Q40" i="4" s="1"/>
  <c r="E37" i="4"/>
  <c r="P37" i="4" s="1"/>
  <c r="V37" i="4" s="1"/>
  <c r="E41" i="4"/>
  <c r="P41" i="4" s="1"/>
  <c r="V41" i="4" s="1"/>
  <c r="E45" i="4"/>
  <c r="P45" i="4" s="1"/>
  <c r="V45" i="4" s="1"/>
  <c r="E33" i="4"/>
  <c r="P33" i="4" s="1"/>
  <c r="V33" i="4" s="1"/>
  <c r="H46" i="4"/>
  <c r="H44" i="4"/>
  <c r="H42" i="4"/>
  <c r="H40" i="4"/>
  <c r="J40" i="4" s="1"/>
  <c r="H45" i="4"/>
  <c r="H43" i="4"/>
  <c r="H41" i="4"/>
  <c r="F33" i="4" l="1"/>
  <c r="Q33" i="4" s="1"/>
  <c r="F37" i="4"/>
  <c r="Q37" i="4" s="1"/>
  <c r="S37" i="4" s="1"/>
  <c r="T43" i="4"/>
  <c r="U39" i="4"/>
  <c r="U34" i="4"/>
  <c r="R33" i="4"/>
  <c r="F45" i="4"/>
  <c r="Q45" i="4" s="1"/>
  <c r="S45" i="4" s="1"/>
  <c r="R37" i="4"/>
  <c r="S32" i="4"/>
  <c r="T32" i="4" s="1"/>
  <c r="S35" i="4"/>
  <c r="T35" i="4" s="1"/>
  <c r="F36" i="4"/>
  <c r="Q36" i="4" s="1"/>
  <c r="S36" i="4" s="1"/>
  <c r="F44" i="4"/>
  <c r="Q44" i="4" s="1"/>
  <c r="S44" i="4" s="1"/>
  <c r="R44" i="4"/>
  <c r="T34" i="4"/>
  <c r="S31" i="4"/>
  <c r="S47" i="4"/>
  <c r="U43" i="4"/>
  <c r="U47" i="4"/>
  <c r="U31" i="4"/>
  <c r="T46" i="4"/>
  <c r="R36" i="4"/>
  <c r="F29" i="4"/>
  <c r="Q29" i="4" s="1"/>
  <c r="S29" i="4" s="1"/>
  <c r="F38" i="4"/>
  <c r="Q38" i="4" s="1"/>
  <c r="S38" i="4" s="1"/>
  <c r="T39" i="4"/>
  <c r="T31" i="4"/>
  <c r="T47" i="4"/>
  <c r="U46" i="4"/>
  <c r="F30" i="4"/>
  <c r="Q30" i="4" s="1"/>
  <c r="R38" i="4"/>
  <c r="U38" i="4" s="1"/>
  <c r="R45" i="4"/>
  <c r="F41" i="4"/>
  <c r="Q41" i="4" s="1"/>
  <c r="S41" i="4" s="1"/>
  <c r="R41" i="4"/>
  <c r="S33" i="4"/>
  <c r="U40" i="4"/>
  <c r="S40" i="4"/>
  <c r="T40" i="4" s="1"/>
  <c r="S42" i="4"/>
  <c r="T42" i="4" s="1"/>
  <c r="U42" i="4"/>
  <c r="R30" i="4"/>
  <c r="U30" i="4" s="1"/>
  <c r="U36" i="4"/>
  <c r="R29" i="4"/>
  <c r="U29" i="4" s="1"/>
  <c r="E28" i="4"/>
  <c r="P28" i="4" s="1"/>
  <c r="U37" i="4"/>
  <c r="S30" i="4"/>
  <c r="T30" i="4" s="1"/>
  <c r="J41" i="4"/>
  <c r="J45" i="4"/>
  <c r="J46" i="4"/>
  <c r="J47" i="4"/>
  <c r="J43" i="4"/>
  <c r="J44" i="4"/>
  <c r="I45" i="4"/>
  <c r="I40" i="4"/>
  <c r="K40" i="4" s="1"/>
  <c r="I44" i="4"/>
  <c r="J42" i="4"/>
  <c r="I35" i="4"/>
  <c r="K35" i="4" s="1"/>
  <c r="I38" i="4"/>
  <c r="K38" i="4" s="1"/>
  <c r="I42" i="4"/>
  <c r="U33" i="4" l="1"/>
  <c r="T33" i="4"/>
  <c r="U41" i="4"/>
  <c r="T37" i="4"/>
  <c r="T41" i="4"/>
  <c r="U44" i="4"/>
  <c r="T45" i="4"/>
  <c r="U45" i="4"/>
  <c r="T44" i="4"/>
  <c r="T38" i="4"/>
  <c r="T36" i="4"/>
  <c r="F28" i="4"/>
  <c r="Q28" i="4" s="1"/>
  <c r="Q48" i="4" s="1"/>
  <c r="B22" i="4" s="1"/>
  <c r="R28" i="4"/>
  <c r="R48" i="4" s="1"/>
  <c r="B23" i="4" s="1"/>
  <c r="T29" i="4"/>
  <c r="P48" i="4"/>
  <c r="B20" i="4" s="1"/>
  <c r="V28" i="4"/>
  <c r="V48" i="4" s="1"/>
  <c r="K44" i="4"/>
  <c r="K45" i="4"/>
  <c r="I39" i="4"/>
  <c r="K39" i="4" s="1"/>
  <c r="I33" i="4"/>
  <c r="K33" i="4" s="1"/>
  <c r="I47" i="4"/>
  <c r="K47" i="4" s="1"/>
  <c r="I31" i="4"/>
  <c r="K31" i="4" s="1"/>
  <c r="K42" i="4"/>
  <c r="I43" i="4"/>
  <c r="K43" i="4" s="1"/>
  <c r="I36" i="4"/>
  <c r="K36" i="4" s="1"/>
  <c r="I32" i="4"/>
  <c r="K32" i="4" s="1"/>
  <c r="I41" i="4"/>
  <c r="K41" i="4" s="1"/>
  <c r="I34" i="4"/>
  <c r="K34" i="4" s="1"/>
  <c r="I30" i="4"/>
  <c r="K30" i="4" s="1"/>
  <c r="I46" i="4"/>
  <c r="K46" i="4" s="1"/>
  <c r="I28" i="4"/>
  <c r="K28" i="4" s="1"/>
  <c r="I29" i="4"/>
  <c r="K29" i="4" s="1"/>
  <c r="I37" i="4"/>
  <c r="K37" i="4" s="1"/>
  <c r="S28" i="4" l="1"/>
  <c r="T28" i="4" s="1"/>
  <c r="T48" i="4" s="1"/>
  <c r="U28" i="4"/>
  <c r="U48" i="4" s="1"/>
  <c r="B24" i="4" s="1"/>
  <c r="B21" i="4"/>
  <c r="F55" i="4"/>
  <c r="S48" i="4"/>
  <c r="K48" i="4"/>
  <c r="K49" i="4" s="1"/>
  <c r="B25" i="4" l="1"/>
  <c r="E55" i="4"/>
  <c r="D55" i="4"/>
  <c r="B18" i="4"/>
  <c r="C55" i="4"/>
</calcChain>
</file>

<file path=xl/sharedStrings.xml><?xml version="1.0" encoding="utf-8"?>
<sst xmlns="http://schemas.openxmlformats.org/spreadsheetml/2006/main" count="86" uniqueCount="53">
  <si>
    <t>Average loan amount</t>
  </si>
  <si>
    <t>Provision charged on disbursement day</t>
  </si>
  <si>
    <t>Global loss</t>
  </si>
  <si>
    <t>Score bands</t>
  </si>
  <si>
    <t>Number of applications</t>
  </si>
  <si>
    <t>Observed default12 ratio (bad rate)</t>
  </si>
  <si>
    <t>a</t>
  </si>
  <si>
    <t>b</t>
  </si>
  <si>
    <t>Goods</t>
  </si>
  <si>
    <t>LGD (Loss Given Default)</t>
  </si>
  <si>
    <t>Z</t>
  </si>
  <si>
    <t>cum good(%)</t>
  </si>
  <si>
    <t>Gini global</t>
  </si>
  <si>
    <t>Gini</t>
  </si>
  <si>
    <t>PLN</t>
  </si>
  <si>
    <t>FTE cost</t>
  </si>
  <si>
    <t>Number of collection entrances / accounts</t>
  </si>
  <si>
    <t>High strategy cost per account</t>
  </si>
  <si>
    <t>Low strategy cost per account</t>
  </si>
  <si>
    <t>Number of accounts connected by operator / per months</t>
  </si>
  <si>
    <t>Full staff cost</t>
  </si>
  <si>
    <t>Automatic dialler or sms cost / per account</t>
  </si>
  <si>
    <t>Telephone connection cost / per account</t>
  </si>
  <si>
    <t>Operator cost / per account</t>
  </si>
  <si>
    <t>High strategy risk improvement</t>
  </si>
  <si>
    <t>Low strategy risk improvement</t>
  </si>
  <si>
    <t>Global risk in collection (default24)</t>
  </si>
  <si>
    <t>High strategy collection fee / per account</t>
  </si>
  <si>
    <t>Low strategy collection fee / per account</t>
  </si>
  <si>
    <t>High strategy flag</t>
  </si>
  <si>
    <t>Low strategy flag</t>
  </si>
  <si>
    <t>Risk improvement</t>
  </si>
  <si>
    <t>Loss</t>
  </si>
  <si>
    <t>Final loss</t>
  </si>
  <si>
    <t>Loss improvement</t>
  </si>
  <si>
    <t>Fees</t>
  </si>
  <si>
    <t>Bads</t>
  </si>
  <si>
    <t>Costs</t>
  </si>
  <si>
    <t>Income</t>
  </si>
  <si>
    <t>Collection profit</t>
  </si>
  <si>
    <t>Total profit</t>
  </si>
  <si>
    <t>Loss profit</t>
  </si>
  <si>
    <t>High</t>
  </si>
  <si>
    <t>Low</t>
  </si>
  <si>
    <t>of Gini</t>
  </si>
  <si>
    <t>Cum bads(%)</t>
  </si>
  <si>
    <t>Goods+</t>
  </si>
  <si>
    <t>Bads-</t>
  </si>
  <si>
    <t>Sum bads</t>
  </si>
  <si>
    <t xml:space="preserve">Gini </t>
  </si>
  <si>
    <t>Sum Z</t>
  </si>
  <si>
    <t>Sum goods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</si>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</sst>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"/>
  </numFmts>
  <fonts count="4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3" fontId="0" fillId="0" borderId="0" xfId="0" applyNumberFormat="1" applyFill="1" applyAlignment="1">
      <alignment vertical="center" wrapText="1"/>
    </xf>
    <xf numFmtId="10" fontId="2" fillId="4" borderId="0" xfId="1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0" fillId="0" borderId="2" xfId="0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9" fontId="0" fillId="2" borderId="2" xfId="0" applyNumberFormat="1" applyFill="1" applyBorder="1" applyAlignment="1">
      <alignment vertical="center" wrapText="1"/>
    </xf>
    <xf numFmtId="10" fontId="0" fillId="3" borderId="2" xfId="1" applyNumberFormat="1" applyFont="1" applyFill="1" applyBorder="1" applyAlignment="1">
      <alignment vertical="center" wrapText="1"/>
    </xf>
    <xf numFmtId="3" fontId="0" fillId="3" borderId="2" xfId="0" applyNumberFormat="1" applyFill="1" applyBorder="1" applyAlignment="1">
      <alignment vertical="center" wrapText="1"/>
    </xf>
    <xf numFmtId="10" fontId="0" fillId="2" borderId="1" xfId="1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2" xfId="0" applyFill="1" applyBorder="1" applyAlignment="1">
      <alignment vertical="center" wrapText="1"/>
    </xf>
    <xf numFmtId="10" fontId="0" fillId="3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0" fontId="0" fillId="0" borderId="2" xfId="0" applyNumberForma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9" fontId="0" fillId="3" borderId="0" xfId="0" applyNumberForma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9" fontId="0" fillId="6" borderId="2" xfId="0" applyNumberForma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3" fontId="0" fillId="6" borderId="2" xfId="0" applyNumberForma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0" fillId="2" borderId="2" xfId="0" applyNumberFormat="1" applyFill="1" applyBorder="1" applyAlignment="1">
      <alignment vertical="center" wrapText="1"/>
    </xf>
    <xf numFmtId="165" fontId="0" fillId="2" borderId="2" xfId="0" applyNumberForma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3" fontId="0" fillId="0" borderId="6" xfId="0" applyNumberFormat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3" fontId="0" fillId="0" borderId="7" xfId="0" applyNumberForma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0" fontId="1" fillId="0" borderId="0" xfId="1" applyNumberFormat="1" applyFont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Bad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Analysis!$A$28:$A$47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Analysis!$C$28:$C$47</c:f>
              <c:numCache>
                <c:formatCode>0.00%</c:formatCode>
                <c:ptCount val="20"/>
                <c:pt idx="0">
                  <c:v>0.99722000698665902</c:v>
                </c:pt>
                <c:pt idx="1">
                  <c:v>0.96599778116653434</c:v>
                </c:pt>
                <c:pt idx="2">
                  <c:v>0.93305974747144216</c:v>
                </c:pt>
                <c:pt idx="3">
                  <c:v>0.89851651752187378</c:v>
                </c:pt>
                <c:pt idx="4">
                  <c:v>0.86251383209639321</c:v>
                </c:pt>
                <c:pt idx="5">
                  <c:v>0.82523175503577328</c:v>
                </c:pt>
                <c:pt idx="6">
                  <c:v>0.7868823043168538</c:v>
                </c:pt>
                <c:pt idx="7">
                  <c:v>0.74770548951670079</c:v>
                </c:pt>
                <c:pt idx="8">
                  <c:v>0.70796385128303396</c:v>
                </c:pt>
                <c:pt idx="9">
                  <c:v>0.66793572972147164</c:v>
                </c:pt>
                <c:pt idx="10">
                  <c:v>0.62790760815990931</c:v>
                </c:pt>
                <c:pt idx="11">
                  <c:v>0.58816596992624259</c:v>
                </c:pt>
                <c:pt idx="12">
                  <c:v>0.54898915512608959</c:v>
                </c:pt>
                <c:pt idx="13">
                  <c:v>0.5106397044071701</c:v>
                </c:pt>
                <c:pt idx="14">
                  <c:v>0.47335762734655012</c:v>
                </c:pt>
                <c:pt idx="15">
                  <c:v>0.4373549419210695</c:v>
                </c:pt>
                <c:pt idx="16">
                  <c:v>0.40281171197150117</c:v>
                </c:pt>
                <c:pt idx="17">
                  <c:v>0.36987367827640893</c:v>
                </c:pt>
                <c:pt idx="18">
                  <c:v>0.33865145245628436</c:v>
                </c:pt>
                <c:pt idx="19">
                  <c:v>0.30922113529203865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6914816"/>
        <c:axId val="96916992"/>
      </c:lineChart>
      <c:catAx>
        <c:axId val="969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916992"/>
        <c:crosses val="autoZero"/>
        <c:auto val="1"/>
        <c:lblAlgn val="ctr"/>
        <c:lblOffset val="100"/>
        <c:noMultiLvlLbl val="0"/>
      </c:catAx>
      <c:valAx>
        <c:axId val="9691699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9691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Total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xVal>
            <c:numRef>
              <c:f>Analysis!$C$56:$C$70</c:f>
              <c:numCache>
                <c:formatCode>0.00%</c:formatCode>
                <c:ptCount val="15"/>
                <c:pt idx="0">
                  <c:v>0.81047619494946965</c:v>
                </c:pt>
                <c:pt idx="1">
                  <c:v>0.77758017402168123</c:v>
                </c:pt>
                <c:pt idx="2">
                  <c:v>0.74455901940998093</c:v>
                </c:pt>
                <c:pt idx="3">
                  <c:v>0.67837363961413932</c:v>
                </c:pt>
                <c:pt idx="4">
                  <c:v>0.64533441223105303</c:v>
                </c:pt>
                <c:pt idx="5">
                  <c:v>0.61241941799900435</c:v>
                </c:pt>
                <c:pt idx="6">
                  <c:v>0.54724325536743668</c:v>
                </c:pt>
                <c:pt idx="7">
                  <c:v>0.52792817930659297</c:v>
                </c:pt>
                <c:pt idx="8">
                  <c:v>0.51512715602860371</c:v>
                </c:pt>
                <c:pt idx="9">
                  <c:v>0.48342412891202069</c:v>
                </c:pt>
                <c:pt idx="10">
                  <c:v>0.42155242211642552</c:v>
                </c:pt>
                <c:pt idx="11">
                  <c:v>0.39152838728579598</c:v>
                </c:pt>
                <c:pt idx="12">
                  <c:v>0.25315857385788321</c:v>
                </c:pt>
                <c:pt idx="13">
                  <c:v>0.20430337253694875</c:v>
                </c:pt>
                <c:pt idx="14">
                  <c:v>0.15961847754479785</c:v>
                </c:pt>
              </c:numCache>
            </c:numRef>
          </c:xVal>
          <c:yVal>
            <c:numRef>
              <c:f>Analysis!$E$56:$E$70</c:f>
              <c:numCache>
                <c:formatCode>#,##0</c:formatCode>
                <c:ptCount val="15"/>
                <c:pt idx="0">
                  <c:v>439197.20640924107</c:v>
                </c:pt>
                <c:pt idx="1">
                  <c:v>435358.67394698318</c:v>
                </c:pt>
                <c:pt idx="2">
                  <c:v>431470.65389453992</c:v>
                </c:pt>
                <c:pt idx="3">
                  <c:v>423580.84242671169</c:v>
                </c:pt>
                <c:pt idx="4">
                  <c:v>419597.92398520466</c:v>
                </c:pt>
                <c:pt idx="5">
                  <c:v>415910.60226975661</c:v>
                </c:pt>
                <c:pt idx="6">
                  <c:v>408559.54300127365</c:v>
                </c:pt>
                <c:pt idx="7">
                  <c:v>406355.46628185827</c:v>
                </c:pt>
                <c:pt idx="8">
                  <c:v>404888.62444556132</c:v>
                </c:pt>
                <c:pt idx="9">
                  <c:v>401438.67981533613</c:v>
                </c:pt>
                <c:pt idx="10">
                  <c:v>394904.53379659168</c:v>
                </c:pt>
                <c:pt idx="11">
                  <c:v>391810.34184103739</c:v>
                </c:pt>
                <c:pt idx="12">
                  <c:v>379940.40554693155</c:v>
                </c:pt>
                <c:pt idx="13">
                  <c:v>377431.01093998738</c:v>
                </c:pt>
                <c:pt idx="14">
                  <c:v>376950.00000000186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784"/>
        <c:axId val="81480704"/>
      </c:scatterChart>
      <c:valAx>
        <c:axId val="81478784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81480704"/>
        <c:crosses val="autoZero"/>
        <c:crossBetween val="midCat"/>
      </c:valAx>
      <c:valAx>
        <c:axId val="8148070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8147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Loss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Analysis!$C$56:$C$70</c:f>
              <c:numCache>
                <c:formatCode>0.00%</c:formatCode>
                <c:ptCount val="15"/>
                <c:pt idx="0">
                  <c:v>0.81047619494946965</c:v>
                </c:pt>
                <c:pt idx="1">
                  <c:v>0.77758017402168123</c:v>
                </c:pt>
                <c:pt idx="2">
                  <c:v>0.74455901940998093</c:v>
                </c:pt>
                <c:pt idx="3">
                  <c:v>0.67837363961413932</c:v>
                </c:pt>
                <c:pt idx="4">
                  <c:v>0.64533441223105303</c:v>
                </c:pt>
                <c:pt idx="5">
                  <c:v>0.61241941799900435</c:v>
                </c:pt>
                <c:pt idx="6">
                  <c:v>0.54724325536743668</c:v>
                </c:pt>
                <c:pt idx="7">
                  <c:v>0.52792817930659297</c:v>
                </c:pt>
                <c:pt idx="8">
                  <c:v>0.51512715602860371</c:v>
                </c:pt>
                <c:pt idx="9">
                  <c:v>0.48342412891202069</c:v>
                </c:pt>
                <c:pt idx="10">
                  <c:v>0.42155242211642552</c:v>
                </c:pt>
                <c:pt idx="11">
                  <c:v>0.39152838728579598</c:v>
                </c:pt>
                <c:pt idx="12">
                  <c:v>0.25315857385788321</c:v>
                </c:pt>
                <c:pt idx="13">
                  <c:v>0.20430337253694875</c:v>
                </c:pt>
                <c:pt idx="14">
                  <c:v>0.15961847754479785</c:v>
                </c:pt>
              </c:numCache>
            </c:numRef>
          </c:xVal>
          <c:yVal>
            <c:numRef>
              <c:f>Analysis!$F$56:$F$70</c:f>
              <c:numCache>
                <c:formatCode>#,##0</c:formatCode>
                <c:ptCount val="15"/>
                <c:pt idx="0">
                  <c:v>1203531.0436230279</c:v>
                </c:pt>
                <c:pt idx="1">
                  <c:v>1197190.5206780229</c:v>
                </c:pt>
                <c:pt idx="2">
                  <c:v>1190768.2536800196</c:v>
                </c:pt>
                <c:pt idx="3">
                  <c:v>1177735.7911086101</c:v>
                </c:pt>
                <c:pt idx="4">
                  <c:v>1171156.7700856812</c:v>
                </c:pt>
                <c:pt idx="5">
                  <c:v>1198102.2009175336</c:v>
                </c:pt>
                <c:pt idx="6">
                  <c:v>1185959.6541447276</c:v>
                </c:pt>
                <c:pt idx="7">
                  <c:v>1182318.9401090061</c:v>
                </c:pt>
                <c:pt idx="8">
                  <c:v>1179895.997379926</c:v>
                </c:pt>
                <c:pt idx="9">
                  <c:v>1207233.5298470482</c:v>
                </c:pt>
                <c:pt idx="10">
                  <c:v>1196440.3678339077</c:v>
                </c:pt>
                <c:pt idx="11">
                  <c:v>1224365.5358150257</c:v>
                </c:pt>
                <c:pt idx="12">
                  <c:v>1270831.0317109767</c:v>
                </c:pt>
                <c:pt idx="13">
                  <c:v>1332758.3557739723</c:v>
                </c:pt>
                <c:pt idx="14">
                  <c:v>1365000.0000000037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896"/>
        <c:axId val="81515264"/>
      </c:scatterChart>
      <c:valAx>
        <c:axId val="81504896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81515264"/>
        <c:crosses val="autoZero"/>
        <c:crossBetween val="midCat"/>
      </c:valAx>
      <c:valAx>
        <c:axId val="815152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8150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Collection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Analysis!$C$56:$C$70</c:f>
              <c:numCache>
                <c:formatCode>0.00%</c:formatCode>
                <c:ptCount val="15"/>
                <c:pt idx="0">
                  <c:v>0.81047619494946965</c:v>
                </c:pt>
                <c:pt idx="1">
                  <c:v>0.77758017402168123</c:v>
                </c:pt>
                <c:pt idx="2">
                  <c:v>0.74455901940998093</c:v>
                </c:pt>
                <c:pt idx="3">
                  <c:v>0.67837363961413932</c:v>
                </c:pt>
                <c:pt idx="4">
                  <c:v>0.64533441223105303</c:v>
                </c:pt>
                <c:pt idx="5">
                  <c:v>0.61241941799900435</c:v>
                </c:pt>
                <c:pt idx="6">
                  <c:v>0.54724325536743668</c:v>
                </c:pt>
                <c:pt idx="7">
                  <c:v>0.52792817930659297</c:v>
                </c:pt>
                <c:pt idx="8">
                  <c:v>0.51512715602860371</c:v>
                </c:pt>
                <c:pt idx="9">
                  <c:v>0.48342412891202069</c:v>
                </c:pt>
                <c:pt idx="10">
                  <c:v>0.42155242211642552</c:v>
                </c:pt>
                <c:pt idx="11">
                  <c:v>0.39152838728579598</c:v>
                </c:pt>
                <c:pt idx="12">
                  <c:v>0.25315857385788321</c:v>
                </c:pt>
                <c:pt idx="13">
                  <c:v>0.20430337253694875</c:v>
                </c:pt>
                <c:pt idx="14">
                  <c:v>0.15961847754479785</c:v>
                </c:pt>
              </c:numCache>
            </c:numRef>
          </c:xVal>
          <c:yVal>
            <c:numRef>
              <c:f>Analysis!$D$56:$D$70</c:f>
              <c:numCache>
                <c:formatCode>#,##0</c:formatCode>
                <c:ptCount val="15"/>
                <c:pt idx="0">
                  <c:v>-764333.8372137862</c:v>
                </c:pt>
                <c:pt idx="1">
                  <c:v>-761831.84673104249</c:v>
                </c:pt>
                <c:pt idx="2">
                  <c:v>-759297.59978547716</c:v>
                </c:pt>
                <c:pt idx="3">
                  <c:v>-754154.94868190424</c:v>
                </c:pt>
                <c:pt idx="4">
                  <c:v>-751558.84610047541</c:v>
                </c:pt>
                <c:pt idx="5">
                  <c:v>-782191.59864777396</c:v>
                </c:pt>
                <c:pt idx="6">
                  <c:v>-777400.11114345863</c:v>
                </c:pt>
                <c:pt idx="7">
                  <c:v>-775963.47382713924</c:v>
                </c:pt>
                <c:pt idx="8">
                  <c:v>-775007.37293436332</c:v>
                </c:pt>
                <c:pt idx="9">
                  <c:v>-805794.85003171011</c:v>
                </c:pt>
                <c:pt idx="10">
                  <c:v>-801535.83403731661</c:v>
                </c:pt>
                <c:pt idx="11">
                  <c:v>-832555.19397399353</c:v>
                </c:pt>
                <c:pt idx="12">
                  <c:v>-890890.62616404472</c:v>
                </c:pt>
                <c:pt idx="13">
                  <c:v>-955327.34483398439</c:v>
                </c:pt>
                <c:pt idx="14">
                  <c:v>-988050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02688"/>
        <c:axId val="98404608"/>
      </c:scatterChart>
      <c:valAx>
        <c:axId val="98402688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98404608"/>
        <c:crosses val="autoZero"/>
        <c:crossBetween val="midCat"/>
      </c:valAx>
      <c:valAx>
        <c:axId val="98404608"/>
        <c:scaling>
          <c:orientation val="minMax"/>
          <c:max val="-740000"/>
          <c:min val="-1000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9840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102577</xdr:colOff>
      <xdr:row>0</xdr:row>
      <xdr:rowOff>51288</xdr:rowOff>
    </xdr:from>
    <xdr:to>
      <xdr:col>7</xdr:col>
      <xdr:colOff>549519</xdr:colOff>
      <xdr:row>21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8</xdr:col>
      <xdr:colOff>0</xdr:colOff>
      <xdr:row>87</xdr:row>
      <xdr:rowOff>146539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8</xdr:col>
      <xdr:colOff>0</xdr:colOff>
      <xdr:row>105</xdr:row>
      <xdr:rowOff>146539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8</xdr:col>
      <xdr:colOff>0</xdr:colOff>
      <xdr:row>123</xdr:row>
      <xdr:rowOff>146539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abSelected="1" zoomScaleNormal="100" workbookViewId="0"/>
  </sheetViews>
  <sheetFormatPr defaultRowHeight="12.75" x14ac:dyDescent="0.2"/>
  <cols>
    <col min="1" max="1" width="48.85546875" style="1" customWidth="1"/>
    <col min="2" max="2" width="12.140625" style="1" customWidth="1"/>
    <col min="3" max="3" width="12" style="1" customWidth="1"/>
    <col min="4" max="4" width="10.28515625" style="1" bestFit="1" customWidth="1"/>
    <col min="5" max="5" width="12.28515625" style="1" customWidth="1"/>
    <col min="6" max="6" width="15" style="1" bestFit="1" customWidth="1"/>
    <col min="7" max="7" width="13.5703125" style="1" customWidth="1"/>
    <col min="8" max="8" width="10.7109375" style="1" customWidth="1"/>
    <col min="9" max="9" width="10.140625" style="1" bestFit="1" customWidth="1"/>
    <col min="10" max="10" width="11.5703125" style="1" bestFit="1" customWidth="1"/>
    <col min="11" max="11" width="11.28515625" style="1" customWidth="1"/>
    <col min="12" max="12" width="14.85546875" style="1" customWidth="1"/>
    <col min="13" max="13" width="9.140625" style="1"/>
    <col min="14" max="14" width="11.28515625" style="1" customWidth="1"/>
    <col min="15" max="15" width="12.28515625" style="1" customWidth="1"/>
    <col min="16" max="16" width="14.28515625" style="1" customWidth="1"/>
    <col min="17" max="17" width="8" style="1" bestFit="1" customWidth="1"/>
    <col min="18" max="18" width="9.42578125" style="1" customWidth="1"/>
    <col min="19" max="19" width="9.42578125" style="1" bestFit="1" customWidth="1"/>
    <col min="20" max="20" width="10.28515625" style="1" bestFit="1" customWidth="1"/>
    <col min="21" max="21" width="14.7109375" style="1" bestFit="1" customWidth="1"/>
    <col min="22" max="22" width="10" style="1" bestFit="1" customWidth="1"/>
    <col min="23" max="23" width="12.5703125" style="1" bestFit="1" customWidth="1"/>
    <col min="24" max="24" width="13.42578125" style="1" customWidth="1"/>
    <col min="25" max="26" width="11.5703125" style="1" bestFit="1" customWidth="1"/>
    <col min="27" max="27" width="10.140625" style="1" customWidth="1"/>
    <col min="28" max="28" width="11.140625" style="1" bestFit="1" customWidth="1"/>
    <col min="29" max="29" width="11.5703125" style="1" bestFit="1" customWidth="1"/>
    <col min="30" max="30" width="12.7109375" style="1" customWidth="1"/>
    <col min="31" max="33" width="9.140625" style="1"/>
    <col min="34" max="35" width="11.5703125" style="1" bestFit="1" customWidth="1"/>
    <col min="36" max="16384" width="9.140625" style="1"/>
  </cols>
  <sheetData>
    <row r="1" spans="1:2" x14ac:dyDescent="0.2">
      <c r="A1" s="11" t="s">
        <v>16</v>
      </c>
      <c r="B1" s="12">
        <v>100000</v>
      </c>
    </row>
    <row r="2" spans="1:2" x14ac:dyDescent="0.2">
      <c r="A2" s="11" t="s">
        <v>0</v>
      </c>
      <c r="B2" s="12">
        <v>7000</v>
      </c>
    </row>
    <row r="3" spans="1:2" x14ac:dyDescent="0.2">
      <c r="A3" s="11" t="s">
        <v>17</v>
      </c>
      <c r="B3" s="12">
        <f>B12+B13</f>
        <v>12</v>
      </c>
    </row>
    <row r="4" spans="1:2" x14ac:dyDescent="0.2">
      <c r="A4" s="11" t="s">
        <v>18</v>
      </c>
      <c r="B4" s="12">
        <v>3</v>
      </c>
    </row>
    <row r="5" spans="1:2" x14ac:dyDescent="0.2">
      <c r="A5" s="11" t="s">
        <v>24</v>
      </c>
      <c r="B5" s="32">
        <v>0.995</v>
      </c>
    </row>
    <row r="6" spans="1:2" x14ac:dyDescent="0.2">
      <c r="A6" s="11" t="s">
        <v>25</v>
      </c>
      <c r="B6" s="32">
        <v>0.998</v>
      </c>
    </row>
    <row r="7" spans="1:2" x14ac:dyDescent="0.2">
      <c r="A7" s="11" t="s">
        <v>27</v>
      </c>
      <c r="B7" s="12">
        <v>6</v>
      </c>
    </row>
    <row r="8" spans="1:2" x14ac:dyDescent="0.2">
      <c r="A8" s="11" t="s">
        <v>28</v>
      </c>
      <c r="B8" s="12">
        <v>1</v>
      </c>
    </row>
    <row r="9" spans="1:2" x14ac:dyDescent="0.2">
      <c r="A9" s="11" t="s">
        <v>19</v>
      </c>
      <c r="B9" s="12">
        <v>2000</v>
      </c>
    </row>
    <row r="10" spans="1:2" x14ac:dyDescent="0.2">
      <c r="A10" s="11" t="s">
        <v>15</v>
      </c>
      <c r="B10" s="12">
        <v>8000</v>
      </c>
    </row>
    <row r="11" spans="1:2" x14ac:dyDescent="0.2">
      <c r="A11" s="11" t="s">
        <v>20</v>
      </c>
      <c r="B11" s="16">
        <f>B10*B1/B9</f>
        <v>400000</v>
      </c>
    </row>
    <row r="12" spans="1:2" x14ac:dyDescent="0.2">
      <c r="A12" s="11" t="s">
        <v>23</v>
      </c>
      <c r="B12" s="16">
        <f>B10/B9</f>
        <v>4</v>
      </c>
    </row>
    <row r="13" spans="1:2" x14ac:dyDescent="0.2">
      <c r="A13" s="11" t="s">
        <v>22</v>
      </c>
      <c r="B13" s="12">
        <v>8</v>
      </c>
    </row>
    <row r="14" spans="1:2" x14ac:dyDescent="0.2">
      <c r="A14" s="11" t="s">
        <v>21</v>
      </c>
      <c r="B14" s="12">
        <v>2</v>
      </c>
    </row>
    <row r="15" spans="1:2" x14ac:dyDescent="0.2">
      <c r="A15" s="11" t="s">
        <v>9</v>
      </c>
      <c r="B15" s="14">
        <v>0.6</v>
      </c>
    </row>
    <row r="16" spans="1:2" x14ac:dyDescent="0.2">
      <c r="A16" s="11" t="s">
        <v>1</v>
      </c>
      <c r="B16" s="31">
        <v>5.0000000000000001E-3</v>
      </c>
    </row>
    <row r="17" spans="1:37" x14ac:dyDescent="0.2">
      <c r="A17" s="11" t="s">
        <v>26</v>
      </c>
      <c r="B17" s="14">
        <v>0.65</v>
      </c>
    </row>
    <row r="18" spans="1:37" x14ac:dyDescent="0.2">
      <c r="A18" s="11" t="s">
        <v>12</v>
      </c>
      <c r="B18" s="15">
        <f>K49</f>
        <v>0.54724325536743668</v>
      </c>
    </row>
    <row r="19" spans="1:37" x14ac:dyDescent="0.2">
      <c r="A19" s="11" t="s">
        <v>2</v>
      </c>
      <c r="B19" s="16">
        <f>B17*B15*B1*B2</f>
        <v>273000000</v>
      </c>
    </row>
    <row r="20" spans="1:37" x14ac:dyDescent="0.2">
      <c r="A20" s="11" t="s">
        <v>33</v>
      </c>
      <c r="B20" s="16">
        <f>P48</f>
        <v>271814040.3458553</v>
      </c>
    </row>
    <row r="21" spans="1:37" x14ac:dyDescent="0.2">
      <c r="A21" s="11" t="s">
        <v>41</v>
      </c>
      <c r="B21" s="16">
        <f>V48</f>
        <v>1185959.6541447276</v>
      </c>
    </row>
    <row r="22" spans="1:37" x14ac:dyDescent="0.2">
      <c r="A22" s="11" t="s">
        <v>35</v>
      </c>
      <c r="B22" s="16">
        <f>Q48</f>
        <v>107599.88885654163</v>
      </c>
    </row>
    <row r="23" spans="1:37" x14ac:dyDescent="0.2">
      <c r="A23" s="11" t="s">
        <v>37</v>
      </c>
      <c r="B23" s="16">
        <f>R48</f>
        <v>885000</v>
      </c>
    </row>
    <row r="24" spans="1:37" x14ac:dyDescent="0.2">
      <c r="A24" s="11" t="s">
        <v>39</v>
      </c>
      <c r="B24" s="16">
        <f>U48</f>
        <v>-777400.11114345863</v>
      </c>
    </row>
    <row r="25" spans="1:37" x14ac:dyDescent="0.2">
      <c r="A25" s="11" t="s">
        <v>40</v>
      </c>
      <c r="B25" s="16">
        <f>T48</f>
        <v>408559.54300127365</v>
      </c>
      <c r="D25" s="1">
        <v>0</v>
      </c>
      <c r="O25" s="2"/>
    </row>
    <row r="26" spans="1:37" x14ac:dyDescent="0.2">
      <c r="X26" s="46" t="s">
        <v>42</v>
      </c>
      <c r="Y26" s="47"/>
      <c r="Z26" s="47"/>
      <c r="AA26" s="47"/>
      <c r="AB26" s="48"/>
      <c r="AD26" s="46" t="s">
        <v>43</v>
      </c>
      <c r="AE26" s="47"/>
      <c r="AF26" s="47"/>
      <c r="AG26" s="47"/>
      <c r="AH26" s="48"/>
    </row>
    <row r="27" spans="1:37" ht="51" x14ac:dyDescent="0.2">
      <c r="A27" s="1" t="s">
        <v>3</v>
      </c>
      <c r="B27" s="1" t="s">
        <v>4</v>
      </c>
      <c r="C27" s="1" t="s">
        <v>5</v>
      </c>
      <c r="D27" s="1" t="s">
        <v>29</v>
      </c>
      <c r="E27" s="1" t="s">
        <v>30</v>
      </c>
      <c r="F27" s="1" t="s">
        <v>31</v>
      </c>
      <c r="G27" s="1" t="s">
        <v>36</v>
      </c>
      <c r="H27" s="33" t="s">
        <v>45</v>
      </c>
      <c r="I27" s="33" t="s">
        <v>46</v>
      </c>
      <c r="J27" s="33" t="s">
        <v>47</v>
      </c>
      <c r="K27" s="2" t="s">
        <v>10</v>
      </c>
      <c r="M27" s="1" t="s">
        <v>8</v>
      </c>
      <c r="N27" s="2" t="s">
        <v>11</v>
      </c>
      <c r="O27" s="1" t="s">
        <v>32</v>
      </c>
      <c r="P27" s="33" t="s">
        <v>34</v>
      </c>
      <c r="Q27" s="33" t="s">
        <v>35</v>
      </c>
      <c r="R27" s="33" t="s">
        <v>37</v>
      </c>
      <c r="S27" s="33" t="s">
        <v>38</v>
      </c>
      <c r="T27" s="33" t="s">
        <v>40</v>
      </c>
      <c r="U27" s="33" t="s">
        <v>39</v>
      </c>
      <c r="V27" s="1" t="s">
        <v>41</v>
      </c>
      <c r="W27" s="2"/>
      <c r="X27" s="34" t="s">
        <v>34</v>
      </c>
      <c r="Y27" s="35" t="s">
        <v>35</v>
      </c>
      <c r="Z27" s="35" t="s">
        <v>37</v>
      </c>
      <c r="AA27" s="35" t="s">
        <v>38</v>
      </c>
      <c r="AB27" s="36" t="s">
        <v>40</v>
      </c>
      <c r="AC27" s="2"/>
      <c r="AD27" s="34" t="s">
        <v>34</v>
      </c>
      <c r="AE27" s="35" t="s">
        <v>35</v>
      </c>
      <c r="AF27" s="35" t="s">
        <v>37</v>
      </c>
      <c r="AG27" s="35" t="s">
        <v>38</v>
      </c>
      <c r="AH27" s="36" t="s">
        <v>40</v>
      </c>
      <c r="AI27" s="2"/>
      <c r="AK27" s="1" t="s">
        <v>5</v>
      </c>
    </row>
    <row r="28" spans="1:37" x14ac:dyDescent="0.2">
      <c r="A28" s="1">
        <v>1</v>
      </c>
      <c r="B28" s="6">
        <f>$B$1/20</f>
        <v>5000</v>
      </c>
      <c r="C28" s="7">
        <f>MIN(AK28*$B$17/$AK$48,10)</f>
        <v>0.99722000698665902</v>
      </c>
      <c r="D28" s="24">
        <f>IF(AB28&gt;AH28,1,0)</f>
        <v>1</v>
      </c>
      <c r="E28" s="4">
        <f>1-D28</f>
        <v>0</v>
      </c>
      <c r="F28" s="3">
        <f>C28*(D28*$B$5+E28*$B$6)</f>
        <v>0.99223390695172575</v>
      </c>
      <c r="G28" s="4">
        <f t="shared" ref="G28:G47" si="0">B28*C28</f>
        <v>4986.1000349332953</v>
      </c>
      <c r="H28" s="3">
        <f>G28/G49</f>
        <v>7.6709231306666084E-2</v>
      </c>
      <c r="I28" s="3">
        <f>N28</f>
        <v>3.9714185904870516E-4</v>
      </c>
      <c r="J28" s="3">
        <f>H28</f>
        <v>7.6709231306666084E-2</v>
      </c>
      <c r="K28" s="3">
        <f>I28*J28</f>
        <v>3.0464446727326502E-5</v>
      </c>
      <c r="M28" s="4">
        <f t="shared" ref="M28:M47" si="1">B28-G28</f>
        <v>13.899965066704681</v>
      </c>
      <c r="N28" s="3">
        <f>M28/M48</f>
        <v>3.9714185904870516E-4</v>
      </c>
      <c r="O28" s="4">
        <f t="shared" ref="O28:O47" si="2">B28*C28*$B$2*$B$15</f>
        <v>20941620.146719839</v>
      </c>
      <c r="P28" s="4">
        <f>O28*(D28*$B$5+E28*$B$6)</f>
        <v>20836912.045986239</v>
      </c>
      <c r="Q28" s="4">
        <f>(1-F28)*B28*(D28*$B$7+E28*$B$8)</f>
        <v>232.98279144822743</v>
      </c>
      <c r="R28" s="4">
        <f>B28*(D28*$B$3+E28*$B$4)</f>
        <v>60000</v>
      </c>
      <c r="S28" s="4">
        <f>Q28+O28-P28</f>
        <v>104941.08352505043</v>
      </c>
      <c r="T28" s="4">
        <f>S28-R28</f>
        <v>44941.083525050431</v>
      </c>
      <c r="U28" s="4">
        <f>Q28-R28</f>
        <v>-59767.01720855177</v>
      </c>
      <c r="V28" s="4">
        <f>O28-P28</f>
        <v>104708.10073360056</v>
      </c>
      <c r="W28" s="18"/>
      <c r="X28" s="37">
        <f>O28*$B$5</f>
        <v>20836912.045986239</v>
      </c>
      <c r="Y28" s="38">
        <f>(1-C28*$B$5)*B28*$B$7</f>
        <v>232.98279144822743</v>
      </c>
      <c r="Z28" s="38">
        <f>B28*$B$3</f>
        <v>60000</v>
      </c>
      <c r="AA28" s="38">
        <f>Y28+O28-X28</f>
        <v>104941.08352505043</v>
      </c>
      <c r="AB28" s="39">
        <f>AA28-Z28</f>
        <v>44941.083525050431</v>
      </c>
      <c r="AC28" s="18"/>
      <c r="AD28" s="37">
        <f>O28*$B$6</f>
        <v>20899736.9064264</v>
      </c>
      <c r="AE28" s="38">
        <f>(1-C28*$B$6)*B28*$B$8</f>
        <v>23.872165136571422</v>
      </c>
      <c r="AF28" s="38">
        <f>B28*$B$4</f>
        <v>15000</v>
      </c>
      <c r="AG28" s="38">
        <f t="shared" ref="AG28:AG46" si="3">AE28+O28-AD28</f>
        <v>41907.112458575517</v>
      </c>
      <c r="AH28" s="39">
        <f>AG28-AF28</f>
        <v>26907.112458575517</v>
      </c>
      <c r="AI28" s="18"/>
      <c r="AK28" s="7">
        <f>1/(1+EXP(-($D$50*A28+$D$51)))</f>
        <v>0.74649398333766215</v>
      </c>
    </row>
    <row r="29" spans="1:37" x14ac:dyDescent="0.2">
      <c r="A29" s="1">
        <v>2</v>
      </c>
      <c r="B29" s="6">
        <f t="shared" ref="B29:B47" si="4">$B$1/20</f>
        <v>5000</v>
      </c>
      <c r="C29" s="7">
        <f t="shared" ref="C29:C47" si="5">MIN(AK29*$B$17/$AK$48,10)</f>
        <v>0.96599778116653434</v>
      </c>
      <c r="D29" s="24">
        <f t="shared" ref="D29:D47" si="6">IF(AB29&gt;AH29,1,0)</f>
        <v>1</v>
      </c>
      <c r="E29" s="4">
        <f t="shared" ref="E29:E47" si="7">1-D29</f>
        <v>0</v>
      </c>
      <c r="F29" s="3">
        <f t="shared" ref="F29:F47" si="8">C29*(D29*$B$5+E29*$B$6)</f>
        <v>0.9611677922607017</v>
      </c>
      <c r="G29" s="4">
        <f t="shared" si="0"/>
        <v>4829.9889058326717</v>
      </c>
      <c r="H29" s="3">
        <f>SUM(G28:G29)/G49</f>
        <v>0.15101675293486103</v>
      </c>
      <c r="I29" s="3">
        <f>N28+N29</f>
        <v>5.6517435514496488E-3</v>
      </c>
      <c r="J29" s="3">
        <f>H29-H28</f>
        <v>7.4307521628194942E-2</v>
      </c>
      <c r="K29" s="3">
        <f t="shared" ref="K29:K47" si="9">I29*J29</f>
        <v>4.1996705618635606E-4</v>
      </c>
      <c r="M29" s="4">
        <f t="shared" si="1"/>
        <v>170.01109416732834</v>
      </c>
      <c r="N29" s="3">
        <f>(M29+M28)/M48</f>
        <v>5.2546016924009432E-3</v>
      </c>
      <c r="O29" s="4">
        <f t="shared" si="2"/>
        <v>20285953.404497221</v>
      </c>
      <c r="P29" s="4">
        <f t="shared" ref="P29:P47" si="10">O29*(D29*$B$5+E29*$B$6)</f>
        <v>20184523.637474734</v>
      </c>
      <c r="Q29" s="4">
        <f t="shared" ref="Q29:Q47" si="11">(1-F29)*B29*(D29*$B$7+E29*$B$8)</f>
        <v>1164.966232178949</v>
      </c>
      <c r="R29" s="4">
        <f t="shared" ref="R29:R47" si="12">B29*(D29*$B$3+E29*$B$4)</f>
        <v>60000</v>
      </c>
      <c r="S29" s="4">
        <f t="shared" ref="S29:S47" si="13">Q29+O29-P29</f>
        <v>102594.73325466737</v>
      </c>
      <c r="T29" s="4">
        <f t="shared" ref="T29:T47" si="14">S29-R29</f>
        <v>42594.733254667372</v>
      </c>
      <c r="U29" s="4">
        <f t="shared" ref="U29:U47" si="15">Q29-R29</f>
        <v>-58835.033767821049</v>
      </c>
      <c r="V29" s="4">
        <f t="shared" ref="V29:V47" si="16">O29-P29</f>
        <v>101429.76702248678</v>
      </c>
      <c r="W29" s="18"/>
      <c r="X29" s="37">
        <f t="shared" ref="X29:X47" si="17">O29*$B$5</f>
        <v>20184523.637474734</v>
      </c>
      <c r="Y29" s="38">
        <f t="shared" ref="Y29:Y47" si="18">(1-C29*$B$5)*B29*$B$7</f>
        <v>1164.966232178949</v>
      </c>
      <c r="Z29" s="38">
        <f t="shared" ref="Z29:Z47" si="19">B29*$B$3</f>
        <v>60000</v>
      </c>
      <c r="AA29" s="38">
        <f t="shared" ref="AA29:AA47" si="20">Y29+O29-X29</f>
        <v>102594.73325466737</v>
      </c>
      <c r="AB29" s="39">
        <f t="shared" ref="AB29:AB47" si="21">AA29-Z29</f>
        <v>42594.733254667372</v>
      </c>
      <c r="AC29" s="18"/>
      <c r="AD29" s="37">
        <f t="shared" ref="AD29:AD47" si="22">O29*$B$6</f>
        <v>20245381.497688226</v>
      </c>
      <c r="AE29" s="38">
        <f t="shared" ref="AE29:AE47" si="23">(1-C29*$B$6)*B29*$B$8</f>
        <v>179.67107197899347</v>
      </c>
      <c r="AF29" s="38">
        <f t="shared" ref="AF29:AF47" si="24">B29*$B$4</f>
        <v>15000</v>
      </c>
      <c r="AG29" s="38">
        <f t="shared" si="3"/>
        <v>40751.577880974859</v>
      </c>
      <c r="AH29" s="39">
        <f t="shared" ref="AH29:AH47" si="25">AG29-AF29</f>
        <v>25751.577880974859</v>
      </c>
      <c r="AI29" s="18"/>
      <c r="AK29" s="7">
        <f t="shared" ref="AK29:AK47" si="26">1/(1+EXP(-($D$50*A29+$D$51)))</f>
        <v>0.72312180512438984</v>
      </c>
    </row>
    <row r="30" spans="1:37" x14ac:dyDescent="0.2">
      <c r="A30" s="1">
        <v>3</v>
      </c>
      <c r="B30" s="6">
        <f t="shared" si="4"/>
        <v>5000</v>
      </c>
      <c r="C30" s="7">
        <f t="shared" si="5"/>
        <v>0.93305974747144216</v>
      </c>
      <c r="D30" s="24">
        <f t="shared" si="6"/>
        <v>1</v>
      </c>
      <c r="E30" s="4">
        <f t="shared" si="7"/>
        <v>0</v>
      </c>
      <c r="F30" s="3">
        <f t="shared" si="8"/>
        <v>0.92839444873408494</v>
      </c>
      <c r="G30" s="4">
        <f t="shared" si="0"/>
        <v>4665.2987373572105</v>
      </c>
      <c r="H30" s="3">
        <f>SUM(G28:G30)/G49</f>
        <v>0.22279057966343349</v>
      </c>
      <c r="I30" s="3">
        <f t="shared" ref="I30:I47" si="27">N29+N30</f>
        <v>2.0072096603167302E-2</v>
      </c>
      <c r="J30" s="3">
        <f t="shared" ref="J30:J47" si="28">H30-H29</f>
        <v>7.1773826728572465E-2</v>
      </c>
      <c r="K30" s="3">
        <f t="shared" si="9"/>
        <v>1.4406511836748978E-3</v>
      </c>
      <c r="M30" s="4">
        <f t="shared" si="1"/>
        <v>334.70126264278952</v>
      </c>
      <c r="N30" s="3">
        <f>SUM(M28:M30)/M48</f>
        <v>1.4817494910766359E-2</v>
      </c>
      <c r="O30" s="4">
        <f t="shared" si="2"/>
        <v>19594254.696900282</v>
      </c>
      <c r="P30" s="4">
        <f t="shared" si="10"/>
        <v>19496283.42341578</v>
      </c>
      <c r="Q30" s="4">
        <f t="shared" si="11"/>
        <v>2148.1665379774518</v>
      </c>
      <c r="R30" s="4">
        <f t="shared" si="12"/>
        <v>60000</v>
      </c>
      <c r="S30" s="4">
        <f t="shared" si="13"/>
        <v>100119.44002247974</v>
      </c>
      <c r="T30" s="4">
        <f t="shared" si="14"/>
        <v>40119.440022479743</v>
      </c>
      <c r="U30" s="4">
        <f t="shared" si="15"/>
        <v>-57851.833462022551</v>
      </c>
      <c r="V30" s="4">
        <f t="shared" si="16"/>
        <v>97971.273484501988</v>
      </c>
      <c r="W30" s="18"/>
      <c r="X30" s="37">
        <f t="shared" si="17"/>
        <v>19496283.42341578</v>
      </c>
      <c r="Y30" s="38">
        <f t="shared" si="18"/>
        <v>2148.1665379774518</v>
      </c>
      <c r="Z30" s="38">
        <f t="shared" si="19"/>
        <v>60000</v>
      </c>
      <c r="AA30" s="38">
        <f t="shared" si="20"/>
        <v>100119.44002247974</v>
      </c>
      <c r="AB30" s="39">
        <f t="shared" si="21"/>
        <v>40119.440022479743</v>
      </c>
      <c r="AC30" s="18"/>
      <c r="AD30" s="37">
        <f t="shared" si="22"/>
        <v>19555066.187506482</v>
      </c>
      <c r="AE30" s="38">
        <f t="shared" si="23"/>
        <v>344.03186011750353</v>
      </c>
      <c r="AF30" s="38">
        <f t="shared" si="24"/>
        <v>15000</v>
      </c>
      <c r="AG30" s="38">
        <f t="shared" si="3"/>
        <v>39532.541253916919</v>
      </c>
      <c r="AH30" s="39">
        <f t="shared" si="25"/>
        <v>24532.541253916919</v>
      </c>
      <c r="AI30" s="18"/>
      <c r="AK30" s="7">
        <f t="shared" si="26"/>
        <v>0.69846521600253875</v>
      </c>
    </row>
    <row r="31" spans="1:37" x14ac:dyDescent="0.2">
      <c r="A31" s="1">
        <v>4</v>
      </c>
      <c r="B31" s="6">
        <f t="shared" si="4"/>
        <v>5000</v>
      </c>
      <c r="C31" s="7">
        <f t="shared" si="5"/>
        <v>0.89851651752187378</v>
      </c>
      <c r="D31" s="24">
        <f t="shared" si="6"/>
        <v>1</v>
      </c>
      <c r="E31" s="4">
        <f t="shared" si="7"/>
        <v>0</v>
      </c>
      <c r="F31" s="3">
        <f t="shared" si="8"/>
        <v>0.89402393493426435</v>
      </c>
      <c r="G31" s="4">
        <f t="shared" si="0"/>
        <v>4492.5825876093686</v>
      </c>
      <c r="H31" s="3">
        <f>SUM(G28:G31)/G49</f>
        <v>0.29190723485742381</v>
      </c>
      <c r="I31" s="3">
        <f t="shared" si="27"/>
        <v>4.4132630175550761E-2</v>
      </c>
      <c r="J31" s="3">
        <f t="shared" si="28"/>
        <v>6.9116655193990323E-2</v>
      </c>
      <c r="K31" s="3">
        <f t="shared" si="9"/>
        <v>3.0502997826474345E-3</v>
      </c>
      <c r="M31" s="4">
        <f t="shared" si="1"/>
        <v>507.4174123906314</v>
      </c>
      <c r="N31" s="3">
        <f>SUM(M28:M31)/M48</f>
        <v>2.9315135264784398E-2</v>
      </c>
      <c r="O31" s="4">
        <f t="shared" si="2"/>
        <v>18868846.867959347</v>
      </c>
      <c r="P31" s="4">
        <f t="shared" si="10"/>
        <v>18774502.633619551</v>
      </c>
      <c r="Q31" s="4">
        <f t="shared" si="11"/>
        <v>3179.2819519720697</v>
      </c>
      <c r="R31" s="4">
        <f t="shared" si="12"/>
        <v>60000</v>
      </c>
      <c r="S31" s="4">
        <f t="shared" si="13"/>
        <v>97523.516291767359</v>
      </c>
      <c r="T31" s="4">
        <f t="shared" si="14"/>
        <v>37523.516291767359</v>
      </c>
      <c r="U31" s="4">
        <f t="shared" si="15"/>
        <v>-56820.718048027928</v>
      </c>
      <c r="V31" s="4">
        <f t="shared" si="16"/>
        <v>94344.234339796007</v>
      </c>
      <c r="W31" s="18"/>
      <c r="X31" s="37">
        <f t="shared" si="17"/>
        <v>18774502.633619551</v>
      </c>
      <c r="Y31" s="38">
        <f t="shared" si="18"/>
        <v>3179.2819519720697</v>
      </c>
      <c r="Z31" s="38">
        <f t="shared" si="19"/>
        <v>60000</v>
      </c>
      <c r="AA31" s="38">
        <f t="shared" si="20"/>
        <v>97523.516291767359</v>
      </c>
      <c r="AB31" s="39">
        <f t="shared" si="21"/>
        <v>37523.516291767359</v>
      </c>
      <c r="AC31" s="18"/>
      <c r="AD31" s="37">
        <f t="shared" si="22"/>
        <v>18831109.174223427</v>
      </c>
      <c r="AE31" s="38">
        <f t="shared" si="23"/>
        <v>516.40257756584981</v>
      </c>
      <c r="AF31" s="38">
        <f t="shared" si="24"/>
        <v>15000</v>
      </c>
      <c r="AG31" s="38">
        <f t="shared" si="3"/>
        <v>38254.096313484013</v>
      </c>
      <c r="AH31" s="39">
        <f t="shared" si="25"/>
        <v>23254.096313484013</v>
      </c>
      <c r="AI31" s="18"/>
      <c r="AK31" s="7">
        <f t="shared" si="26"/>
        <v>0.67260701706776038</v>
      </c>
    </row>
    <row r="32" spans="1:37" x14ac:dyDescent="0.2">
      <c r="A32" s="1">
        <v>5</v>
      </c>
      <c r="B32" s="6">
        <f t="shared" si="4"/>
        <v>5000</v>
      </c>
      <c r="C32" s="7">
        <f t="shared" si="5"/>
        <v>0.86251383209639321</v>
      </c>
      <c r="D32" s="24">
        <f t="shared" si="6"/>
        <v>1</v>
      </c>
      <c r="E32" s="4">
        <f t="shared" si="7"/>
        <v>0</v>
      </c>
      <c r="F32" s="3">
        <f t="shared" si="8"/>
        <v>0.85820126293591126</v>
      </c>
      <c r="G32" s="4">
        <f t="shared" si="0"/>
        <v>4312.5691604819658</v>
      </c>
      <c r="H32" s="3">
        <f>SUM(G28:G32)/G49</f>
        <v>0.35825445271099249</v>
      </c>
      <c r="I32" s="3">
        <f t="shared" si="27"/>
        <v>7.8271151658655488E-2</v>
      </c>
      <c r="J32" s="3">
        <f t="shared" si="28"/>
        <v>6.6347217853568674E-2</v>
      </c>
      <c r="K32" s="3">
        <f t="shared" si="9"/>
        <v>5.1930731507465284E-3</v>
      </c>
      <c r="M32" s="4">
        <f t="shared" si="1"/>
        <v>687.43083951803419</v>
      </c>
      <c r="N32" s="3">
        <f>SUM(M28:M32)/M48</f>
        <v>4.8956016393871087E-2</v>
      </c>
      <c r="O32" s="4">
        <f t="shared" si="2"/>
        <v>18112790.474024255</v>
      </c>
      <c r="P32" s="4">
        <f t="shared" si="10"/>
        <v>18022226.521654133</v>
      </c>
      <c r="Q32" s="4">
        <f t="shared" si="11"/>
        <v>4253.9621119226622</v>
      </c>
      <c r="R32" s="4">
        <f t="shared" si="12"/>
        <v>60000</v>
      </c>
      <c r="S32" s="4">
        <f t="shared" si="13"/>
        <v>94817.914482045919</v>
      </c>
      <c r="T32" s="4">
        <f t="shared" si="14"/>
        <v>34817.914482045919</v>
      </c>
      <c r="U32" s="4">
        <f t="shared" si="15"/>
        <v>-55746.037888077335</v>
      </c>
      <c r="V32" s="4">
        <f t="shared" si="16"/>
        <v>90563.952370122075</v>
      </c>
      <c r="W32" s="18"/>
      <c r="X32" s="37">
        <f t="shared" si="17"/>
        <v>18022226.521654133</v>
      </c>
      <c r="Y32" s="38">
        <f t="shared" si="18"/>
        <v>4253.9621119226622</v>
      </c>
      <c r="Z32" s="38">
        <f t="shared" si="19"/>
        <v>60000</v>
      </c>
      <c r="AA32" s="38">
        <f t="shared" si="20"/>
        <v>94817.914482045919</v>
      </c>
      <c r="AB32" s="39">
        <f t="shared" si="21"/>
        <v>34817.914482045919</v>
      </c>
      <c r="AC32" s="18"/>
      <c r="AD32" s="37">
        <f t="shared" si="22"/>
        <v>18076564.893076207</v>
      </c>
      <c r="AE32" s="38">
        <f t="shared" si="23"/>
        <v>696.05597783899793</v>
      </c>
      <c r="AF32" s="38">
        <f t="shared" si="24"/>
        <v>15000</v>
      </c>
      <c r="AG32" s="38">
        <f t="shared" si="3"/>
        <v>36921.636925887316</v>
      </c>
      <c r="AH32" s="39">
        <f t="shared" si="25"/>
        <v>21921.636925887316</v>
      </c>
      <c r="AI32" s="18"/>
      <c r="AK32" s="7">
        <f t="shared" si="26"/>
        <v>0.6456563062257954</v>
      </c>
    </row>
    <row r="33" spans="1:37" x14ac:dyDescent="0.2">
      <c r="A33" s="1">
        <v>6</v>
      </c>
      <c r="B33" s="6">
        <f t="shared" si="4"/>
        <v>5000</v>
      </c>
      <c r="C33" s="7">
        <f t="shared" si="5"/>
        <v>0.82523175503577328</v>
      </c>
      <c r="D33" s="24">
        <f t="shared" si="6"/>
        <v>1</v>
      </c>
      <c r="E33" s="4">
        <f t="shared" si="7"/>
        <v>0</v>
      </c>
      <c r="F33" s="3">
        <f t="shared" si="8"/>
        <v>0.82110559626059443</v>
      </c>
      <c r="G33" s="4">
        <f t="shared" si="0"/>
        <v>4126.1587751788666</v>
      </c>
      <c r="H33" s="3">
        <f>SUM(G28:G33)/G49</f>
        <v>0.42173381848297509</v>
      </c>
      <c r="I33" s="3">
        <f t="shared" si="27"/>
        <v>0.12287892492548885</v>
      </c>
      <c r="J33" s="3">
        <f t="shared" si="28"/>
        <v>6.3479365771982599E-2</v>
      </c>
      <c r="K33" s="3">
        <f t="shared" si="9"/>
        <v>7.8002762210130968E-3</v>
      </c>
      <c r="M33" s="4">
        <f t="shared" si="1"/>
        <v>873.84122482113344</v>
      </c>
      <c r="N33" s="3">
        <f>SUM(M28:M33)/M48</f>
        <v>7.3922908531617759E-2</v>
      </c>
      <c r="O33" s="4">
        <f t="shared" si="2"/>
        <v>17329866.855751239</v>
      </c>
      <c r="P33" s="4">
        <f t="shared" si="10"/>
        <v>17243217.521472484</v>
      </c>
      <c r="Q33" s="4">
        <f t="shared" si="11"/>
        <v>5366.8321121821664</v>
      </c>
      <c r="R33" s="4">
        <f t="shared" si="12"/>
        <v>60000</v>
      </c>
      <c r="S33" s="4">
        <f t="shared" si="13"/>
        <v>92016.166390936822</v>
      </c>
      <c r="T33" s="4">
        <f t="shared" si="14"/>
        <v>32016.166390936822</v>
      </c>
      <c r="U33" s="4">
        <f t="shared" si="15"/>
        <v>-54633.167887817835</v>
      </c>
      <c r="V33" s="4">
        <f t="shared" si="16"/>
        <v>86649.33427875489</v>
      </c>
      <c r="W33" s="18"/>
      <c r="X33" s="37">
        <f t="shared" si="17"/>
        <v>17243217.521472484</v>
      </c>
      <c r="Y33" s="38">
        <f t="shared" si="18"/>
        <v>5366.8321121821664</v>
      </c>
      <c r="Z33" s="38">
        <f t="shared" si="19"/>
        <v>60000</v>
      </c>
      <c r="AA33" s="38">
        <f t="shared" si="20"/>
        <v>92016.166390936822</v>
      </c>
      <c r="AB33" s="39">
        <f t="shared" si="21"/>
        <v>32016.166390936822</v>
      </c>
      <c r="AC33" s="18"/>
      <c r="AD33" s="37">
        <f t="shared" si="22"/>
        <v>17295207.122039735</v>
      </c>
      <c r="AE33" s="38">
        <f t="shared" si="23"/>
        <v>882.09354237149148</v>
      </c>
      <c r="AF33" s="38">
        <f t="shared" si="24"/>
        <v>15000</v>
      </c>
      <c r="AG33" s="38">
        <f t="shared" si="3"/>
        <v>35541.827253874391</v>
      </c>
      <c r="AH33" s="39">
        <f t="shared" si="25"/>
        <v>20541.827253874391</v>
      </c>
      <c r="AI33" s="18"/>
      <c r="AK33" s="7">
        <f t="shared" si="26"/>
        <v>0.61774787476924897</v>
      </c>
    </row>
    <row r="34" spans="1:37" x14ac:dyDescent="0.2">
      <c r="A34" s="1">
        <v>7</v>
      </c>
      <c r="B34" s="6">
        <f t="shared" si="4"/>
        <v>5000</v>
      </c>
      <c r="C34" s="7">
        <f t="shared" si="5"/>
        <v>0.7868823043168538</v>
      </c>
      <c r="D34" s="24">
        <f t="shared" si="6"/>
        <v>1</v>
      </c>
      <c r="E34" s="4">
        <f t="shared" si="7"/>
        <v>0</v>
      </c>
      <c r="F34" s="3">
        <f t="shared" si="8"/>
        <v>0.78294789279526955</v>
      </c>
      <c r="G34" s="4">
        <f t="shared" si="0"/>
        <v>3934.4115215842689</v>
      </c>
      <c r="H34" s="3">
        <f>SUM(G28:G34)/G49</f>
        <v>0.48226322650734843</v>
      </c>
      <c r="I34" s="3">
        <f t="shared" si="27"/>
        <v>0.17829120216082783</v>
      </c>
      <c r="J34" s="3">
        <f t="shared" si="28"/>
        <v>6.0529408024373343E-2</v>
      </c>
      <c r="K34" s="3">
        <f t="shared" si="9"/>
        <v>1.0791860922748782E-2</v>
      </c>
      <c r="M34" s="4">
        <f t="shared" si="1"/>
        <v>1065.5884784157311</v>
      </c>
      <c r="N34" s="3">
        <f>SUM(M28:M34)/M48</f>
        <v>0.10436829362921007</v>
      </c>
      <c r="O34" s="4">
        <f t="shared" si="2"/>
        <v>16524528.390653931</v>
      </c>
      <c r="P34" s="4">
        <f t="shared" si="10"/>
        <v>16441905.748700662</v>
      </c>
      <c r="Q34" s="4">
        <f t="shared" si="11"/>
        <v>6511.5632161419144</v>
      </c>
      <c r="R34" s="4">
        <f t="shared" si="12"/>
        <v>60000</v>
      </c>
      <c r="S34" s="4">
        <f t="shared" si="13"/>
        <v>89134.205169411376</v>
      </c>
      <c r="T34" s="4">
        <f t="shared" si="14"/>
        <v>29134.205169411376</v>
      </c>
      <c r="U34" s="4">
        <f t="shared" si="15"/>
        <v>-53488.436783858087</v>
      </c>
      <c r="V34" s="4">
        <f t="shared" si="16"/>
        <v>82622.64195326902</v>
      </c>
      <c r="W34" s="18"/>
      <c r="X34" s="37">
        <f t="shared" si="17"/>
        <v>16441905.748700662</v>
      </c>
      <c r="Y34" s="38">
        <f t="shared" si="18"/>
        <v>6511.5632161419144</v>
      </c>
      <c r="Z34" s="38">
        <f t="shared" si="19"/>
        <v>60000</v>
      </c>
      <c r="AA34" s="38">
        <f t="shared" si="20"/>
        <v>89134.205169411376</v>
      </c>
      <c r="AB34" s="39">
        <f t="shared" si="21"/>
        <v>29134.205169411376</v>
      </c>
      <c r="AC34" s="18"/>
      <c r="AD34" s="37">
        <f t="shared" si="22"/>
        <v>16491479.333872622</v>
      </c>
      <c r="AE34" s="38">
        <f t="shared" si="23"/>
        <v>1073.4573014588993</v>
      </c>
      <c r="AF34" s="38">
        <f t="shared" si="24"/>
        <v>15000</v>
      </c>
      <c r="AG34" s="38">
        <f t="shared" si="3"/>
        <v>34122.514082767069</v>
      </c>
      <c r="AH34" s="39">
        <f t="shared" si="25"/>
        <v>19122.514082767069</v>
      </c>
      <c r="AI34" s="18"/>
      <c r="AK34" s="7">
        <f t="shared" si="26"/>
        <v>0.58904043405866513</v>
      </c>
    </row>
    <row r="35" spans="1:37" x14ac:dyDescent="0.2">
      <c r="A35" s="1">
        <v>8</v>
      </c>
      <c r="B35" s="6">
        <f t="shared" si="4"/>
        <v>5000</v>
      </c>
      <c r="C35" s="7">
        <f t="shared" si="5"/>
        <v>0.74770548951670079</v>
      </c>
      <c r="D35" s="24">
        <f t="shared" si="6"/>
        <v>1</v>
      </c>
      <c r="E35" s="4">
        <f t="shared" si="7"/>
        <v>0</v>
      </c>
      <c r="F35" s="3">
        <f t="shared" si="8"/>
        <v>0.74396696206911728</v>
      </c>
      <c r="G35" s="4">
        <f t="shared" si="0"/>
        <v>3738.527447583504</v>
      </c>
      <c r="H35" s="3">
        <f>SUM(G28:G35)/G49</f>
        <v>0.53977903339324851</v>
      </c>
      <c r="I35" s="3">
        <f t="shared" si="27"/>
        <v>0.24477866018460576</v>
      </c>
      <c r="J35" s="3">
        <f t="shared" si="28"/>
        <v>5.7515806885900078E-2</v>
      </c>
      <c r="K35" s="3">
        <f t="shared" si="9"/>
        <v>1.4078642148967143E-2</v>
      </c>
      <c r="M35" s="4">
        <f t="shared" si="1"/>
        <v>1261.472552416496</v>
      </c>
      <c r="N35" s="3">
        <f>SUM(M28:M35)/M48</f>
        <v>0.14041036655539568</v>
      </c>
      <c r="O35" s="4">
        <f t="shared" si="2"/>
        <v>15701815.279850716</v>
      </c>
      <c r="P35" s="4">
        <f t="shared" si="10"/>
        <v>15623306.203451462</v>
      </c>
      <c r="Q35" s="4">
        <f t="shared" si="11"/>
        <v>7680.9911379264813</v>
      </c>
      <c r="R35" s="4">
        <f t="shared" si="12"/>
        <v>60000</v>
      </c>
      <c r="S35" s="4">
        <f t="shared" si="13"/>
        <v>86190.067537181079</v>
      </c>
      <c r="T35" s="4">
        <f t="shared" si="14"/>
        <v>26190.067537181079</v>
      </c>
      <c r="U35" s="4">
        <f t="shared" si="15"/>
        <v>-52319.008862073519</v>
      </c>
      <c r="V35" s="4">
        <f t="shared" si="16"/>
        <v>78509.076399253681</v>
      </c>
      <c r="W35" s="18"/>
      <c r="X35" s="37">
        <f t="shared" si="17"/>
        <v>15623306.203451462</v>
      </c>
      <c r="Y35" s="38">
        <f t="shared" si="18"/>
        <v>7680.9911379264813</v>
      </c>
      <c r="Z35" s="38">
        <f t="shared" si="19"/>
        <v>60000</v>
      </c>
      <c r="AA35" s="38">
        <f t="shared" si="20"/>
        <v>86190.067537181079</v>
      </c>
      <c r="AB35" s="39">
        <f t="shared" si="21"/>
        <v>26190.067537181079</v>
      </c>
      <c r="AC35" s="18"/>
      <c r="AD35" s="37">
        <f t="shared" si="22"/>
        <v>15670411.649291014</v>
      </c>
      <c r="AE35" s="38">
        <f t="shared" si="23"/>
        <v>1268.9496073116629</v>
      </c>
      <c r="AF35" s="38">
        <f t="shared" si="24"/>
        <v>15000</v>
      </c>
      <c r="AG35" s="38">
        <f t="shared" si="3"/>
        <v>32672.580167012289</v>
      </c>
      <c r="AH35" s="39">
        <f t="shared" si="25"/>
        <v>17672.580167012289</v>
      </c>
      <c r="AI35" s="18"/>
      <c r="AK35" s="7">
        <f t="shared" si="26"/>
        <v>0.55971364926719291</v>
      </c>
    </row>
    <row r="36" spans="1:37" x14ac:dyDescent="0.2">
      <c r="A36" s="1">
        <v>9</v>
      </c>
      <c r="B36" s="6">
        <f t="shared" si="4"/>
        <v>5000</v>
      </c>
      <c r="C36" s="7">
        <f t="shared" si="5"/>
        <v>0.70796385128303396</v>
      </c>
      <c r="D36" s="24">
        <f t="shared" si="6"/>
        <v>1</v>
      </c>
      <c r="E36" s="4">
        <f t="shared" si="7"/>
        <v>0</v>
      </c>
      <c r="F36" s="3">
        <f t="shared" si="8"/>
        <v>0.70442403202661874</v>
      </c>
      <c r="G36" s="4">
        <f t="shared" si="0"/>
        <v>3539.81925641517</v>
      </c>
      <c r="H36" s="3">
        <f>SUM(G28:G36)/G49</f>
        <v>0.59423779118425113</v>
      </c>
      <c r="I36" s="3">
        <f t="shared" si="27"/>
        <v>0.32254018292750075</v>
      </c>
      <c r="J36" s="3">
        <f t="shared" si="28"/>
        <v>5.4458757791002621E-2</v>
      </c>
      <c r="K36" s="3">
        <f t="shared" si="9"/>
        <v>1.756513769991444E-2</v>
      </c>
      <c r="M36" s="4">
        <f t="shared" si="1"/>
        <v>1460.18074358483</v>
      </c>
      <c r="N36" s="3">
        <f>SUM(M28:M36)/M48</f>
        <v>0.1821298163721051</v>
      </c>
      <c r="O36" s="4">
        <f t="shared" si="2"/>
        <v>14867240.876943715</v>
      </c>
      <c r="P36" s="4">
        <f t="shared" si="10"/>
        <v>14792904.672558997</v>
      </c>
      <c r="Q36" s="4">
        <f t="shared" si="11"/>
        <v>8867.2790392014376</v>
      </c>
      <c r="R36" s="4">
        <f t="shared" si="12"/>
        <v>60000</v>
      </c>
      <c r="S36" s="4">
        <f t="shared" si="13"/>
        <v>83203.483423920348</v>
      </c>
      <c r="T36" s="4">
        <f t="shared" si="14"/>
        <v>23203.483423920348</v>
      </c>
      <c r="U36" s="4">
        <f t="shared" si="15"/>
        <v>-51132.720960798564</v>
      </c>
      <c r="V36" s="4">
        <f t="shared" si="16"/>
        <v>74336.20438471809</v>
      </c>
      <c r="W36" s="18"/>
      <c r="X36" s="37">
        <f t="shared" si="17"/>
        <v>14792904.672558997</v>
      </c>
      <c r="Y36" s="38">
        <f t="shared" si="18"/>
        <v>8867.2790392014376</v>
      </c>
      <c r="Z36" s="38">
        <f t="shared" si="19"/>
        <v>60000</v>
      </c>
      <c r="AA36" s="38">
        <f t="shared" si="20"/>
        <v>83203.483423920348</v>
      </c>
      <c r="AB36" s="39">
        <f t="shared" si="21"/>
        <v>23203.483423920348</v>
      </c>
      <c r="AC36" s="18"/>
      <c r="AD36" s="37">
        <f t="shared" si="22"/>
        <v>14837506.395189827</v>
      </c>
      <c r="AE36" s="38">
        <f t="shared" si="23"/>
        <v>1467.2603820976603</v>
      </c>
      <c r="AF36" s="38">
        <f t="shared" si="24"/>
        <v>15000</v>
      </c>
      <c r="AG36" s="38">
        <f t="shared" si="3"/>
        <v>31201.742135984823</v>
      </c>
      <c r="AH36" s="39">
        <f t="shared" si="25"/>
        <v>16201.742135984823</v>
      </c>
      <c r="AI36" s="18"/>
      <c r="AK36" s="7">
        <f t="shared" si="26"/>
        <v>0.52996405176457173</v>
      </c>
    </row>
    <row r="37" spans="1:37" x14ac:dyDescent="0.2">
      <c r="A37" s="1">
        <v>10</v>
      </c>
      <c r="B37" s="6">
        <f t="shared" si="4"/>
        <v>5000</v>
      </c>
      <c r="C37" s="7">
        <f t="shared" si="5"/>
        <v>0.66793572972147164</v>
      </c>
      <c r="D37" s="24">
        <f t="shared" si="6"/>
        <v>1</v>
      </c>
      <c r="E37" s="4">
        <f t="shared" si="7"/>
        <v>0</v>
      </c>
      <c r="F37" s="3">
        <f t="shared" si="8"/>
        <v>0.66459605107286424</v>
      </c>
      <c r="G37" s="4">
        <f t="shared" si="0"/>
        <v>3339.6786486073584</v>
      </c>
      <c r="H37" s="3">
        <f>SUM(G28:G37)/G49</f>
        <v>0.64561746270128739</v>
      </c>
      <c r="I37" s="3">
        <f t="shared" si="27"/>
        <v>0.41169738564114283</v>
      </c>
      <c r="J37" s="3">
        <f t="shared" si="28"/>
        <v>5.1379671517036263E-2</v>
      </c>
      <c r="K37" s="3">
        <f t="shared" si="9"/>
        <v>2.1152876438664519E-2</v>
      </c>
      <c r="M37" s="4">
        <f t="shared" si="1"/>
        <v>1660.3213513926416</v>
      </c>
      <c r="N37" s="3">
        <f>SUM(M28:M37)/M48</f>
        <v>0.22956756926903774</v>
      </c>
      <c r="O37" s="4">
        <f t="shared" si="2"/>
        <v>14026650.324150905</v>
      </c>
      <c r="P37" s="4">
        <f t="shared" si="10"/>
        <v>13956517.07253015</v>
      </c>
      <c r="Q37" s="4">
        <f t="shared" si="11"/>
        <v>10062.118467814073</v>
      </c>
      <c r="R37" s="4">
        <f t="shared" si="12"/>
        <v>60000</v>
      </c>
      <c r="S37" s="4">
        <f t="shared" si="13"/>
        <v>80195.370088567957</v>
      </c>
      <c r="T37" s="4">
        <f t="shared" si="14"/>
        <v>20195.370088567957</v>
      </c>
      <c r="U37" s="4">
        <f t="shared" si="15"/>
        <v>-49937.881532185929</v>
      </c>
      <c r="V37" s="4">
        <f t="shared" si="16"/>
        <v>70133.2516207546</v>
      </c>
      <c r="W37" s="18"/>
      <c r="X37" s="37">
        <f t="shared" si="17"/>
        <v>13956517.07253015</v>
      </c>
      <c r="Y37" s="38">
        <f t="shared" si="18"/>
        <v>10062.118467814073</v>
      </c>
      <c r="Z37" s="38">
        <f t="shared" si="19"/>
        <v>60000</v>
      </c>
      <c r="AA37" s="38">
        <f t="shared" si="20"/>
        <v>80195.370088567957</v>
      </c>
      <c r="AB37" s="39">
        <f t="shared" si="21"/>
        <v>20195.370088567957</v>
      </c>
      <c r="AC37" s="18"/>
      <c r="AD37" s="37">
        <f t="shared" si="22"/>
        <v>13998597.023502603</v>
      </c>
      <c r="AE37" s="38">
        <f t="shared" si="23"/>
        <v>1667.0007086898563</v>
      </c>
      <c r="AF37" s="38">
        <f t="shared" si="24"/>
        <v>15000</v>
      </c>
      <c r="AG37" s="38">
        <f t="shared" si="3"/>
        <v>29720.301356991753</v>
      </c>
      <c r="AH37" s="39">
        <f t="shared" si="25"/>
        <v>14720.301356991753</v>
      </c>
      <c r="AI37" s="18"/>
      <c r="AK37" s="7">
        <f t="shared" si="26"/>
        <v>0.5</v>
      </c>
    </row>
    <row r="38" spans="1:37" x14ac:dyDescent="0.2">
      <c r="A38" s="1">
        <v>11</v>
      </c>
      <c r="B38" s="6">
        <f t="shared" si="4"/>
        <v>5000</v>
      </c>
      <c r="C38" s="7">
        <f t="shared" si="5"/>
        <v>0.62790760815990931</v>
      </c>
      <c r="D38" s="24">
        <f t="shared" si="6"/>
        <v>1</v>
      </c>
      <c r="E38" s="4">
        <f t="shared" si="7"/>
        <v>0</v>
      </c>
      <c r="F38" s="3">
        <f t="shared" si="8"/>
        <v>0.62476807011910973</v>
      </c>
      <c r="G38" s="4">
        <f t="shared" si="0"/>
        <v>3139.5380407995467</v>
      </c>
      <c r="H38" s="3">
        <f>SUM(G28:G38)/G49</f>
        <v>0.69391804794435741</v>
      </c>
      <c r="I38" s="3">
        <f t="shared" si="27"/>
        <v>0.51229119451523131</v>
      </c>
      <c r="J38" s="3">
        <f t="shared" si="28"/>
        <v>4.8300585243070016E-2</v>
      </c>
      <c r="K38" s="3">
        <f t="shared" si="9"/>
        <v>2.4743964509957091E-2</v>
      </c>
      <c r="M38" s="4">
        <f t="shared" si="1"/>
        <v>1860.4619592004533</v>
      </c>
      <c r="N38" s="3">
        <f>SUM(M28:M38)/M48</f>
        <v>0.28272362524619354</v>
      </c>
      <c r="O38" s="4">
        <f t="shared" si="2"/>
        <v>13186059.771358095</v>
      </c>
      <c r="P38" s="4">
        <f t="shared" si="10"/>
        <v>13120129.472501304</v>
      </c>
      <c r="Q38" s="4">
        <f t="shared" si="11"/>
        <v>11256.957896426708</v>
      </c>
      <c r="R38" s="4">
        <f t="shared" si="12"/>
        <v>60000</v>
      </c>
      <c r="S38" s="4">
        <f t="shared" si="13"/>
        <v>77187.256753217429</v>
      </c>
      <c r="T38" s="4">
        <f t="shared" si="14"/>
        <v>17187.256753217429</v>
      </c>
      <c r="U38" s="4">
        <f t="shared" si="15"/>
        <v>-48743.042103573294</v>
      </c>
      <c r="V38" s="4">
        <f t="shared" si="16"/>
        <v>65930.298856791109</v>
      </c>
      <c r="W38" s="18"/>
      <c r="X38" s="37">
        <f t="shared" si="17"/>
        <v>13120129.472501304</v>
      </c>
      <c r="Y38" s="38">
        <f t="shared" si="18"/>
        <v>11256.957896426708</v>
      </c>
      <c r="Z38" s="38">
        <f t="shared" si="19"/>
        <v>60000</v>
      </c>
      <c r="AA38" s="38">
        <f t="shared" si="20"/>
        <v>77187.256753217429</v>
      </c>
      <c r="AB38" s="39">
        <f t="shared" si="21"/>
        <v>17187.256753217429</v>
      </c>
      <c r="AC38" s="18"/>
      <c r="AD38" s="37">
        <f t="shared" si="22"/>
        <v>13159687.651815379</v>
      </c>
      <c r="AE38" s="38">
        <f t="shared" si="23"/>
        <v>1866.7410352820523</v>
      </c>
      <c r="AF38" s="38">
        <f t="shared" si="24"/>
        <v>15000</v>
      </c>
      <c r="AG38" s="38">
        <f t="shared" si="3"/>
        <v>28238.860577998683</v>
      </c>
      <c r="AH38" s="39">
        <f t="shared" si="25"/>
        <v>13238.860577998683</v>
      </c>
      <c r="AI38" s="18"/>
      <c r="AK38" s="7">
        <f t="shared" si="26"/>
        <v>0.47003594823542821</v>
      </c>
    </row>
    <row r="39" spans="1:37" x14ac:dyDescent="0.2">
      <c r="A39" s="1">
        <v>12</v>
      </c>
      <c r="B39" s="6">
        <f t="shared" si="4"/>
        <v>5000</v>
      </c>
      <c r="C39" s="7">
        <f t="shared" si="5"/>
        <v>0.58816596992624259</v>
      </c>
      <c r="D39" s="24">
        <f t="shared" si="6"/>
        <v>1</v>
      </c>
      <c r="E39" s="4">
        <f t="shared" si="7"/>
        <v>0</v>
      </c>
      <c r="F39" s="3">
        <f t="shared" si="8"/>
        <v>0.58522514007661142</v>
      </c>
      <c r="G39" s="4">
        <f t="shared" si="0"/>
        <v>2940.8298496312132</v>
      </c>
      <c r="H39" s="3">
        <f>SUM(G28:G39)/G49</f>
        <v>0.73916158409252986</v>
      </c>
      <c r="I39" s="3">
        <f t="shared" si="27"/>
        <v>0.6242806833600667</v>
      </c>
      <c r="J39" s="3">
        <f t="shared" si="28"/>
        <v>4.5243536148172447E-2</v>
      </c>
      <c r="K39" s="3">
        <f t="shared" si="9"/>
        <v>2.8244665664206976E-2</v>
      </c>
      <c r="M39" s="4">
        <f t="shared" si="1"/>
        <v>2059.1701503687868</v>
      </c>
      <c r="N39" s="3">
        <f>SUM(M28:M39)/M48</f>
        <v>0.34155705811387316</v>
      </c>
      <c r="O39" s="4">
        <f t="shared" si="2"/>
        <v>12351485.368451094</v>
      </c>
      <c r="P39" s="4">
        <f t="shared" si="10"/>
        <v>12289727.941608839</v>
      </c>
      <c r="Q39" s="4">
        <f t="shared" si="11"/>
        <v>12443.245797701658</v>
      </c>
      <c r="R39" s="4">
        <f t="shared" si="12"/>
        <v>60000</v>
      </c>
      <c r="S39" s="4">
        <f t="shared" si="13"/>
        <v>74200.672639956698</v>
      </c>
      <c r="T39" s="4">
        <f t="shared" si="14"/>
        <v>14200.672639956698</v>
      </c>
      <c r="U39" s="4">
        <f t="shared" si="15"/>
        <v>-47556.75420229834</v>
      </c>
      <c r="V39" s="4">
        <f t="shared" si="16"/>
        <v>61757.426842255518</v>
      </c>
      <c r="W39" s="18"/>
      <c r="X39" s="37">
        <f t="shared" si="17"/>
        <v>12289727.941608839</v>
      </c>
      <c r="Y39" s="38">
        <f t="shared" si="18"/>
        <v>12443.245797701658</v>
      </c>
      <c r="Z39" s="38">
        <f t="shared" si="19"/>
        <v>60000</v>
      </c>
      <c r="AA39" s="38">
        <f t="shared" si="20"/>
        <v>74200.672639956698</v>
      </c>
      <c r="AB39" s="39">
        <f t="shared" si="21"/>
        <v>14200.672639956698</v>
      </c>
      <c r="AC39" s="18"/>
      <c r="AD39" s="37">
        <f t="shared" si="22"/>
        <v>12326782.397714192</v>
      </c>
      <c r="AE39" s="38">
        <f t="shared" si="23"/>
        <v>2065.0518100680492</v>
      </c>
      <c r="AF39" s="38">
        <f t="shared" si="24"/>
        <v>15000</v>
      </c>
      <c r="AG39" s="38">
        <f t="shared" si="3"/>
        <v>26768.022546969354</v>
      </c>
      <c r="AH39" s="39">
        <f t="shared" si="25"/>
        <v>11768.022546969354</v>
      </c>
      <c r="AI39" s="18"/>
      <c r="AK39" s="7">
        <f t="shared" si="26"/>
        <v>0.44028635073280703</v>
      </c>
    </row>
    <row r="40" spans="1:37" x14ac:dyDescent="0.2">
      <c r="A40" s="1">
        <v>13</v>
      </c>
      <c r="B40" s="6">
        <f t="shared" si="4"/>
        <v>5000</v>
      </c>
      <c r="C40" s="7">
        <f t="shared" si="5"/>
        <v>0.54898915512608959</v>
      </c>
      <c r="D40" s="24">
        <f t="shared" si="6"/>
        <v>1</v>
      </c>
      <c r="E40" s="4">
        <f t="shared" si="7"/>
        <v>0</v>
      </c>
      <c r="F40" s="3">
        <f t="shared" si="8"/>
        <v>0.54624420935045914</v>
      </c>
      <c r="G40" s="4">
        <f t="shared" si="0"/>
        <v>2744.9457756304478</v>
      </c>
      <c r="H40" s="3">
        <f>SUM(G28:G40)/G49</f>
        <v>0.78139151910222904</v>
      </c>
      <c r="I40" s="3">
        <f t="shared" si="27"/>
        <v>0.74754423692401928</v>
      </c>
      <c r="J40" s="3">
        <f t="shared" si="28"/>
        <v>4.2229935009699182E-2</v>
      </c>
      <c r="K40" s="3">
        <f t="shared" si="9"/>
        <v>3.1568744542176501E-2</v>
      </c>
      <c r="M40" s="4">
        <f t="shared" si="1"/>
        <v>2255.0542243695522</v>
      </c>
      <c r="N40" s="3">
        <f>SUM(M28:M40)/M48</f>
        <v>0.40598717881014612</v>
      </c>
      <c r="O40" s="4">
        <f t="shared" si="2"/>
        <v>11528772.257647881</v>
      </c>
      <c r="P40" s="4">
        <f t="shared" si="10"/>
        <v>11471128.396359641</v>
      </c>
      <c r="Q40" s="4">
        <f t="shared" si="11"/>
        <v>13612.673719486225</v>
      </c>
      <c r="R40" s="4">
        <f t="shared" si="12"/>
        <v>60000</v>
      </c>
      <c r="S40" s="4">
        <f t="shared" si="13"/>
        <v>71256.535007726401</v>
      </c>
      <c r="T40" s="4">
        <f t="shared" si="14"/>
        <v>11256.535007726401</v>
      </c>
      <c r="U40" s="4">
        <f t="shared" si="15"/>
        <v>-46387.326280513778</v>
      </c>
      <c r="V40" s="4">
        <f t="shared" si="16"/>
        <v>57643.861288240179</v>
      </c>
      <c r="W40" s="18"/>
      <c r="X40" s="37">
        <f t="shared" si="17"/>
        <v>11471128.396359641</v>
      </c>
      <c r="Y40" s="38">
        <f t="shared" si="18"/>
        <v>13612.673719486225</v>
      </c>
      <c r="Z40" s="38">
        <f t="shared" si="19"/>
        <v>60000</v>
      </c>
      <c r="AA40" s="38">
        <f t="shared" si="20"/>
        <v>71256.535007726401</v>
      </c>
      <c r="AB40" s="39">
        <f t="shared" si="21"/>
        <v>11256.535007726401</v>
      </c>
      <c r="AC40" s="18"/>
      <c r="AD40" s="37">
        <f t="shared" si="22"/>
        <v>11505714.713132586</v>
      </c>
      <c r="AE40" s="38">
        <f t="shared" si="23"/>
        <v>2260.5441159208131</v>
      </c>
      <c r="AF40" s="38">
        <f t="shared" si="24"/>
        <v>15000</v>
      </c>
      <c r="AG40" s="38">
        <f t="shared" si="3"/>
        <v>25318.088631216437</v>
      </c>
      <c r="AH40" s="39">
        <f t="shared" si="25"/>
        <v>10318.088631216437</v>
      </c>
      <c r="AI40" s="18"/>
      <c r="AK40" s="7">
        <f t="shared" si="26"/>
        <v>0.41095956594133487</v>
      </c>
    </row>
    <row r="41" spans="1:37" x14ac:dyDescent="0.2">
      <c r="A41" s="1">
        <v>14</v>
      </c>
      <c r="B41" s="6">
        <f t="shared" si="4"/>
        <v>5000</v>
      </c>
      <c r="C41" s="7">
        <f t="shared" si="5"/>
        <v>0.5106397044071701</v>
      </c>
      <c r="D41" s="24">
        <f t="shared" si="6"/>
        <v>0</v>
      </c>
      <c r="E41" s="4">
        <f t="shared" si="7"/>
        <v>1</v>
      </c>
      <c r="F41" s="3">
        <f t="shared" si="8"/>
        <v>0.50961842499835575</v>
      </c>
      <c r="G41" s="4">
        <f t="shared" si="0"/>
        <v>2553.1985220358506</v>
      </c>
      <c r="H41" s="3">
        <f>SUM(G28:G41)/G49</f>
        <v>0.82067149636431902</v>
      </c>
      <c r="I41" s="3">
        <f t="shared" si="27"/>
        <v>0.88188297127641069</v>
      </c>
      <c r="J41" s="3">
        <f t="shared" si="28"/>
        <v>3.9279977262089982E-2</v>
      </c>
      <c r="K41" s="3">
        <f t="shared" si="9"/>
        <v>3.4640343059561762E-2</v>
      </c>
      <c r="M41" s="4">
        <f t="shared" si="1"/>
        <v>2446.8014779641494</v>
      </c>
      <c r="N41" s="3">
        <f>SUM(M28:M41)/M48</f>
        <v>0.47589579246626462</v>
      </c>
      <c r="O41" s="4">
        <f t="shared" si="2"/>
        <v>10723433.792550571</v>
      </c>
      <c r="P41" s="4">
        <f t="shared" si="10"/>
        <v>10701986.924965471</v>
      </c>
      <c r="Q41" s="4">
        <f t="shared" si="11"/>
        <v>2451.9078750082213</v>
      </c>
      <c r="R41" s="4">
        <f t="shared" si="12"/>
        <v>15000</v>
      </c>
      <c r="S41" s="4">
        <f t="shared" si="13"/>
        <v>23898.775460109115</v>
      </c>
      <c r="T41" s="4">
        <f t="shared" si="14"/>
        <v>8898.7754601091146</v>
      </c>
      <c r="U41" s="4">
        <f t="shared" si="15"/>
        <v>-12548.092124991779</v>
      </c>
      <c r="V41" s="4">
        <f t="shared" si="16"/>
        <v>21446.867585100234</v>
      </c>
      <c r="W41" s="18"/>
      <c r="X41" s="37">
        <f t="shared" si="17"/>
        <v>10669816.623587819</v>
      </c>
      <c r="Y41" s="38">
        <f t="shared" si="18"/>
        <v>14757.404823445971</v>
      </c>
      <c r="Z41" s="38">
        <f t="shared" si="19"/>
        <v>60000</v>
      </c>
      <c r="AA41" s="38">
        <f t="shared" si="20"/>
        <v>68374.573786199093</v>
      </c>
      <c r="AB41" s="39">
        <f t="shared" si="21"/>
        <v>8374.5737861990929</v>
      </c>
      <c r="AC41" s="18"/>
      <c r="AD41" s="37">
        <f t="shared" si="22"/>
        <v>10701986.924965471</v>
      </c>
      <c r="AE41" s="38">
        <f t="shared" si="23"/>
        <v>2451.9078750082213</v>
      </c>
      <c r="AF41" s="38">
        <f t="shared" si="24"/>
        <v>15000</v>
      </c>
      <c r="AG41" s="38">
        <f t="shared" si="3"/>
        <v>23898.775460109115</v>
      </c>
      <c r="AH41" s="39">
        <f t="shared" si="25"/>
        <v>8898.7754601091146</v>
      </c>
      <c r="AI41" s="18"/>
      <c r="AK41" s="7">
        <f t="shared" si="26"/>
        <v>0.38225212523075103</v>
      </c>
    </row>
    <row r="42" spans="1:37" x14ac:dyDescent="0.2">
      <c r="A42" s="1">
        <v>15</v>
      </c>
      <c r="B42" s="6">
        <f t="shared" si="4"/>
        <v>5000</v>
      </c>
      <c r="C42" s="7">
        <f t="shared" si="5"/>
        <v>0.47335762734655012</v>
      </c>
      <c r="D42" s="24">
        <f t="shared" si="6"/>
        <v>0</v>
      </c>
      <c r="E42" s="4">
        <f t="shared" si="7"/>
        <v>1</v>
      </c>
      <c r="F42" s="3">
        <f t="shared" si="8"/>
        <v>0.47241091209185704</v>
      </c>
      <c r="G42" s="4">
        <f t="shared" si="0"/>
        <v>2366.7881367327504</v>
      </c>
      <c r="H42" s="3">
        <f>SUM(G28:G42)/G49</f>
        <v>0.85708362154482287</v>
      </c>
      <c r="I42" s="3">
        <f t="shared" si="27"/>
        <v>1.0270262095973077</v>
      </c>
      <c r="J42" s="3">
        <f t="shared" si="28"/>
        <v>3.6412125180503851E-2</v>
      </c>
      <c r="K42" s="3">
        <f t="shared" si="9"/>
        <v>3.7396206907515557E-2</v>
      </c>
      <c r="M42" s="4">
        <f t="shared" si="1"/>
        <v>2633.2118632672496</v>
      </c>
      <c r="N42" s="3">
        <f>SUM(M28:M42)/M48</f>
        <v>0.55113041713104316</v>
      </c>
      <c r="O42" s="4">
        <f t="shared" si="2"/>
        <v>9940510.1742775515</v>
      </c>
      <c r="P42" s="4">
        <f t="shared" si="10"/>
        <v>9920629.153928997</v>
      </c>
      <c r="Q42" s="4">
        <f t="shared" si="11"/>
        <v>2637.9454395407147</v>
      </c>
      <c r="R42" s="4">
        <f t="shared" si="12"/>
        <v>15000</v>
      </c>
      <c r="S42" s="4">
        <f t="shared" si="13"/>
        <v>22518.965788094327</v>
      </c>
      <c r="T42" s="4">
        <f t="shared" si="14"/>
        <v>7518.9657880943269</v>
      </c>
      <c r="U42" s="4">
        <f t="shared" si="15"/>
        <v>-12362.054560459284</v>
      </c>
      <c r="V42" s="4">
        <f t="shared" si="16"/>
        <v>19881.020348554477</v>
      </c>
      <c r="W42" s="18"/>
      <c r="X42" s="37">
        <f t="shared" si="17"/>
        <v>9890807.6234061643</v>
      </c>
      <c r="Y42" s="38">
        <f t="shared" si="18"/>
        <v>15870.274823705477</v>
      </c>
      <c r="Z42" s="38">
        <f t="shared" si="19"/>
        <v>60000</v>
      </c>
      <c r="AA42" s="38">
        <f t="shared" si="20"/>
        <v>65572.825695091859</v>
      </c>
      <c r="AB42" s="39">
        <f t="shared" si="21"/>
        <v>5572.8256950918585</v>
      </c>
      <c r="AC42" s="18"/>
      <c r="AD42" s="37">
        <f t="shared" si="22"/>
        <v>9920629.153928997</v>
      </c>
      <c r="AE42" s="38">
        <f t="shared" si="23"/>
        <v>2637.9454395407147</v>
      </c>
      <c r="AF42" s="38">
        <f t="shared" si="24"/>
        <v>15000</v>
      </c>
      <c r="AG42" s="38">
        <f t="shared" si="3"/>
        <v>22518.965788094327</v>
      </c>
      <c r="AH42" s="39">
        <f t="shared" si="25"/>
        <v>7518.9657880943269</v>
      </c>
      <c r="AI42" s="18"/>
      <c r="AK42" s="7">
        <f t="shared" si="26"/>
        <v>0.3543436937742046</v>
      </c>
    </row>
    <row r="43" spans="1:37" x14ac:dyDescent="0.2">
      <c r="A43" s="1">
        <v>16</v>
      </c>
      <c r="B43" s="6">
        <f t="shared" si="4"/>
        <v>5000</v>
      </c>
      <c r="C43" s="7">
        <f t="shared" si="5"/>
        <v>0.4373549419210695</v>
      </c>
      <c r="D43" s="24">
        <f t="shared" si="6"/>
        <v>0</v>
      </c>
      <c r="E43" s="4">
        <f t="shared" si="7"/>
        <v>1</v>
      </c>
      <c r="F43" s="3">
        <f t="shared" si="8"/>
        <v>0.43648023203722736</v>
      </c>
      <c r="G43" s="4">
        <f t="shared" si="0"/>
        <v>2186.7747096053477</v>
      </c>
      <c r="H43" s="3">
        <f>SUM(G28:G43)/G49</f>
        <v>0.89072630938490516</v>
      </c>
      <c r="I43" s="3">
        <f t="shared" si="27"/>
        <v>1.1826386997019336</v>
      </c>
      <c r="J43" s="3">
        <f t="shared" si="28"/>
        <v>3.3642687840082286E-2</v>
      </c>
      <c r="K43" s="3">
        <f t="shared" si="9"/>
        <v>3.9787144601672965E-2</v>
      </c>
      <c r="M43" s="4">
        <f t="shared" si="1"/>
        <v>2813.2252903946523</v>
      </c>
      <c r="N43" s="3">
        <f>SUM(M28:M43)/M48</f>
        <v>0.63150828257089042</v>
      </c>
      <c r="O43" s="4">
        <f t="shared" si="2"/>
        <v>9184453.7803424597</v>
      </c>
      <c r="P43" s="4">
        <f t="shared" si="10"/>
        <v>9166084.872781774</v>
      </c>
      <c r="Q43" s="4">
        <f t="shared" si="11"/>
        <v>2817.5988398138629</v>
      </c>
      <c r="R43" s="4">
        <f t="shared" si="12"/>
        <v>15000</v>
      </c>
      <c r="S43" s="4">
        <f t="shared" si="13"/>
        <v>21186.506400499493</v>
      </c>
      <c r="T43" s="4">
        <f t="shared" si="14"/>
        <v>6186.5064004994929</v>
      </c>
      <c r="U43" s="4">
        <f t="shared" si="15"/>
        <v>-12182.401160186137</v>
      </c>
      <c r="V43" s="4">
        <f t="shared" si="16"/>
        <v>18368.90756068565</v>
      </c>
      <c r="W43" s="18"/>
      <c r="X43" s="37">
        <f t="shared" si="17"/>
        <v>9138531.5114407465</v>
      </c>
      <c r="Y43" s="38">
        <f t="shared" si="18"/>
        <v>16944.954983656076</v>
      </c>
      <c r="Z43" s="38">
        <f t="shared" si="19"/>
        <v>60000</v>
      </c>
      <c r="AA43" s="38">
        <f t="shared" si="20"/>
        <v>62867.223885368556</v>
      </c>
      <c r="AB43" s="39">
        <f t="shared" si="21"/>
        <v>2867.2238853685558</v>
      </c>
      <c r="AC43" s="18"/>
      <c r="AD43" s="37">
        <f t="shared" si="22"/>
        <v>9166084.872781774</v>
      </c>
      <c r="AE43" s="38">
        <f t="shared" si="23"/>
        <v>2817.5988398138629</v>
      </c>
      <c r="AF43" s="38">
        <f t="shared" si="24"/>
        <v>15000</v>
      </c>
      <c r="AG43" s="38">
        <f t="shared" si="3"/>
        <v>21186.506400499493</v>
      </c>
      <c r="AH43" s="39">
        <f t="shared" si="25"/>
        <v>6186.5064004994929</v>
      </c>
      <c r="AI43" s="18"/>
      <c r="AK43" s="7">
        <f t="shared" si="26"/>
        <v>0.32739298293223956</v>
      </c>
    </row>
    <row r="44" spans="1:37" x14ac:dyDescent="0.2">
      <c r="A44" s="1">
        <v>17</v>
      </c>
      <c r="B44" s="6">
        <f t="shared" si="4"/>
        <v>5000</v>
      </c>
      <c r="C44" s="7">
        <f t="shared" si="5"/>
        <v>0.40281171197150117</v>
      </c>
      <c r="D44" s="24">
        <f t="shared" si="6"/>
        <v>0</v>
      </c>
      <c r="E44" s="4">
        <f t="shared" si="7"/>
        <v>1</v>
      </c>
      <c r="F44" s="3">
        <f t="shared" si="8"/>
        <v>0.40200608854755815</v>
      </c>
      <c r="G44" s="4">
        <f t="shared" si="0"/>
        <v>2014.0585598575058</v>
      </c>
      <c r="H44" s="3">
        <f>SUM(G28:G44)/G49</f>
        <v>0.92171182569040533</v>
      </c>
      <c r="I44" s="3">
        <f t="shared" si="27"/>
        <v>1.3483291777172808</v>
      </c>
      <c r="J44" s="3">
        <f t="shared" si="28"/>
        <v>3.0985516305500171E-2</v>
      </c>
      <c r="K44" s="3">
        <f t="shared" si="9"/>
        <v>4.177867572134044E-2</v>
      </c>
      <c r="M44" s="4">
        <f t="shared" si="1"/>
        <v>2985.9414401424942</v>
      </c>
      <c r="N44" s="3">
        <f>SUM(M28:M44)/M48</f>
        <v>0.71682089514639036</v>
      </c>
      <c r="O44" s="4">
        <f t="shared" si="2"/>
        <v>8459045.9514015242</v>
      </c>
      <c r="P44" s="4">
        <f t="shared" si="10"/>
        <v>8442127.8594987206</v>
      </c>
      <c r="Q44" s="4">
        <f t="shared" si="11"/>
        <v>2989.969557262209</v>
      </c>
      <c r="R44" s="4">
        <f t="shared" si="12"/>
        <v>15000</v>
      </c>
      <c r="S44" s="4">
        <f t="shared" si="13"/>
        <v>19908.061460066587</v>
      </c>
      <c r="T44" s="4">
        <f t="shared" si="14"/>
        <v>4908.0614600665867</v>
      </c>
      <c r="U44" s="4">
        <f t="shared" si="15"/>
        <v>-12010.030442737791</v>
      </c>
      <c r="V44" s="4">
        <f t="shared" si="16"/>
        <v>16918.09190280363</v>
      </c>
      <c r="W44" s="18"/>
      <c r="X44" s="37">
        <f t="shared" si="17"/>
        <v>8416750.721644517</v>
      </c>
      <c r="Y44" s="38">
        <f t="shared" si="18"/>
        <v>17976.070397650692</v>
      </c>
      <c r="Z44" s="38">
        <f t="shared" si="19"/>
        <v>60000</v>
      </c>
      <c r="AA44" s="38">
        <f t="shared" si="20"/>
        <v>60271.300154658034</v>
      </c>
      <c r="AB44" s="39">
        <f t="shared" si="21"/>
        <v>271.30015465803444</v>
      </c>
      <c r="AC44" s="18"/>
      <c r="AD44" s="37">
        <f t="shared" si="22"/>
        <v>8442127.8594987206</v>
      </c>
      <c r="AE44" s="38">
        <f t="shared" si="23"/>
        <v>2989.969557262209</v>
      </c>
      <c r="AF44" s="38">
        <f t="shared" si="24"/>
        <v>15000</v>
      </c>
      <c r="AG44" s="38">
        <f t="shared" si="3"/>
        <v>19908.061460066587</v>
      </c>
      <c r="AH44" s="39">
        <f t="shared" si="25"/>
        <v>4908.0614600665867</v>
      </c>
      <c r="AI44" s="18"/>
      <c r="AK44" s="7">
        <f t="shared" si="26"/>
        <v>0.3015347839974612</v>
      </c>
    </row>
    <row r="45" spans="1:37" x14ac:dyDescent="0.2">
      <c r="A45" s="1">
        <v>18</v>
      </c>
      <c r="B45" s="6">
        <f t="shared" si="4"/>
        <v>5000</v>
      </c>
      <c r="C45" s="7">
        <f t="shared" si="5"/>
        <v>0.36987367827640893</v>
      </c>
      <c r="D45" s="24">
        <f t="shared" si="6"/>
        <v>0</v>
      </c>
      <c r="E45" s="4">
        <f t="shared" si="7"/>
        <v>1</v>
      </c>
      <c r="F45" s="3">
        <f t="shared" si="8"/>
        <v>0.36913393091985613</v>
      </c>
      <c r="G45" s="4">
        <f t="shared" si="0"/>
        <v>1849.3683913820446</v>
      </c>
      <c r="H45" s="3">
        <f>SUM(G28:G45)/G49</f>
        <v>0.95016364709628287</v>
      </c>
      <c r="I45" s="3">
        <f t="shared" si="27"/>
        <v>1.5236598362532936</v>
      </c>
      <c r="J45" s="3">
        <f t="shared" si="28"/>
        <v>2.8451821405877542E-2</v>
      </c>
      <c r="K45" s="3">
        <f t="shared" si="9"/>
        <v>4.3350897544387326E-2</v>
      </c>
      <c r="M45" s="4">
        <f t="shared" si="1"/>
        <v>3150.6316086179554</v>
      </c>
      <c r="N45" s="3">
        <f>SUM(M28:M45)/M48</f>
        <v>0.80683894110690324</v>
      </c>
      <c r="O45" s="4">
        <f t="shared" si="2"/>
        <v>7767347.2438045871</v>
      </c>
      <c r="P45" s="4">
        <f t="shared" si="10"/>
        <v>7751812.5493169781</v>
      </c>
      <c r="Q45" s="4">
        <f t="shared" si="11"/>
        <v>3154.3303454007191</v>
      </c>
      <c r="R45" s="4">
        <f t="shared" si="12"/>
        <v>15000</v>
      </c>
      <c r="S45" s="4">
        <f t="shared" si="13"/>
        <v>18689.024833009578</v>
      </c>
      <c r="T45" s="4">
        <f t="shared" si="14"/>
        <v>3689.0248330095783</v>
      </c>
      <c r="U45" s="4">
        <f t="shared" si="15"/>
        <v>-11845.669654599282</v>
      </c>
      <c r="V45" s="4">
        <f t="shared" si="16"/>
        <v>15534.694487608969</v>
      </c>
      <c r="W45" s="18"/>
      <c r="X45" s="37">
        <f t="shared" si="17"/>
        <v>7728510.5075855637</v>
      </c>
      <c r="Y45" s="38">
        <f t="shared" si="18"/>
        <v>18959.27070344919</v>
      </c>
      <c r="Z45" s="38">
        <f t="shared" si="19"/>
        <v>60000</v>
      </c>
      <c r="AA45" s="38">
        <f t="shared" si="20"/>
        <v>57796.006922472268</v>
      </c>
      <c r="AB45" s="39">
        <f t="shared" si="21"/>
        <v>-2203.9930775277317</v>
      </c>
      <c r="AC45" s="18"/>
      <c r="AD45" s="37">
        <f t="shared" si="22"/>
        <v>7751812.5493169781</v>
      </c>
      <c r="AE45" s="38">
        <f t="shared" si="23"/>
        <v>3154.3303454007191</v>
      </c>
      <c r="AF45" s="38">
        <f t="shared" si="24"/>
        <v>15000</v>
      </c>
      <c r="AG45" s="38">
        <f t="shared" si="3"/>
        <v>18689.024833009578</v>
      </c>
      <c r="AH45" s="39">
        <f t="shared" si="25"/>
        <v>3689.0248330095783</v>
      </c>
      <c r="AI45" s="18"/>
      <c r="AK45" s="7">
        <f t="shared" si="26"/>
        <v>0.27687819487561011</v>
      </c>
    </row>
    <row r="46" spans="1:37" x14ac:dyDescent="0.2">
      <c r="A46" s="1">
        <v>19</v>
      </c>
      <c r="B46" s="6">
        <f t="shared" si="4"/>
        <v>5000</v>
      </c>
      <c r="C46" s="7">
        <f t="shared" si="5"/>
        <v>0.33865145245628436</v>
      </c>
      <c r="D46" s="24">
        <f t="shared" si="6"/>
        <v>0</v>
      </c>
      <c r="E46" s="4">
        <f t="shared" si="7"/>
        <v>1</v>
      </c>
      <c r="F46" s="3">
        <f t="shared" si="8"/>
        <v>0.33797414955137178</v>
      </c>
      <c r="G46" s="4">
        <f t="shared" si="0"/>
        <v>1693.2572622814218</v>
      </c>
      <c r="H46" s="3">
        <f>SUM(G28:G46)/G49</f>
        <v>0.97621375882368933</v>
      </c>
      <c r="I46" s="3">
        <f t="shared" si="27"/>
        <v>1.708156246148623</v>
      </c>
      <c r="J46" s="3">
        <f t="shared" si="28"/>
        <v>2.6050111727406455E-2</v>
      </c>
      <c r="K46" s="3">
        <f t="shared" si="9"/>
        <v>4.4497661060038836E-2</v>
      </c>
      <c r="M46" s="4">
        <f t="shared" si="1"/>
        <v>3306.7427377185782</v>
      </c>
      <c r="N46" s="3">
        <f>SUM(M28:M46)/M48</f>
        <v>0.90131730504171981</v>
      </c>
      <c r="O46" s="4">
        <f t="shared" si="2"/>
        <v>7111680.5015819715</v>
      </c>
      <c r="P46" s="4">
        <f t="shared" si="10"/>
        <v>7097457.1405788073</v>
      </c>
      <c r="Q46" s="4">
        <f t="shared" si="11"/>
        <v>3310.1292522431413</v>
      </c>
      <c r="R46" s="4">
        <f t="shared" si="12"/>
        <v>15000</v>
      </c>
      <c r="S46" s="4">
        <f t="shared" si="13"/>
        <v>17533.490255407058</v>
      </c>
      <c r="T46" s="4">
        <f t="shared" si="14"/>
        <v>2533.4902554070577</v>
      </c>
      <c r="U46" s="4">
        <f t="shared" si="15"/>
        <v>-11689.870747756859</v>
      </c>
      <c r="V46" s="4">
        <f t="shared" si="16"/>
        <v>14223.361003164202</v>
      </c>
      <c r="W46" s="18"/>
      <c r="X46" s="37">
        <f t="shared" si="17"/>
        <v>7076122.099074062</v>
      </c>
      <c r="Y46" s="38">
        <f t="shared" si="18"/>
        <v>19891.254144179911</v>
      </c>
      <c r="Z46" s="38">
        <f t="shared" si="19"/>
        <v>60000</v>
      </c>
      <c r="AA46" s="38">
        <f t="shared" si="20"/>
        <v>55449.656652089208</v>
      </c>
      <c r="AB46" s="39">
        <f t="shared" si="21"/>
        <v>-4550.3433479107916</v>
      </c>
      <c r="AC46" s="18"/>
      <c r="AD46" s="37">
        <f t="shared" si="22"/>
        <v>7097457.1405788073</v>
      </c>
      <c r="AE46" s="38">
        <f t="shared" si="23"/>
        <v>3310.1292522431413</v>
      </c>
      <c r="AF46" s="38">
        <f t="shared" si="24"/>
        <v>15000</v>
      </c>
      <c r="AG46" s="38">
        <f t="shared" si="3"/>
        <v>17533.490255407058</v>
      </c>
      <c r="AH46" s="39">
        <f t="shared" si="25"/>
        <v>2533.4902554070577</v>
      </c>
      <c r="AI46" s="18"/>
      <c r="AK46" s="7">
        <f t="shared" si="26"/>
        <v>0.25350601666233785</v>
      </c>
    </row>
    <row r="47" spans="1:37" x14ac:dyDescent="0.2">
      <c r="A47" s="1">
        <v>20</v>
      </c>
      <c r="B47" s="6">
        <f t="shared" si="4"/>
        <v>5000</v>
      </c>
      <c r="C47" s="7">
        <f t="shared" si="5"/>
        <v>0.30922113529203865</v>
      </c>
      <c r="D47" s="24">
        <f t="shared" si="6"/>
        <v>0</v>
      </c>
      <c r="E47" s="4">
        <f t="shared" si="7"/>
        <v>1</v>
      </c>
      <c r="F47" s="3">
        <f t="shared" si="8"/>
        <v>0.3086026930214546</v>
      </c>
      <c r="G47" s="4">
        <f t="shared" si="0"/>
        <v>1546.1056764601933</v>
      </c>
      <c r="H47" s="3">
        <f>SUM(G28:G47)/G49</f>
        <v>1</v>
      </c>
      <c r="I47" s="3">
        <f t="shared" si="27"/>
        <v>1.9013173050417198</v>
      </c>
      <c r="J47" s="3">
        <f t="shared" si="28"/>
        <v>2.3786241176310674E-2</v>
      </c>
      <c r="K47" s="3">
        <f t="shared" si="9"/>
        <v>4.5225191970415399E-2</v>
      </c>
      <c r="M47" s="4">
        <f t="shared" si="1"/>
        <v>3453.8943235398065</v>
      </c>
      <c r="N47" s="3">
        <f>SUM(M28:M47)/M48</f>
        <v>1</v>
      </c>
      <c r="O47" s="4">
        <f t="shared" si="2"/>
        <v>6493643.8411328113</v>
      </c>
      <c r="P47" s="4">
        <f t="shared" si="10"/>
        <v>6480656.5534505453</v>
      </c>
      <c r="Q47" s="4">
        <f t="shared" si="11"/>
        <v>3456.9865348927269</v>
      </c>
      <c r="R47" s="4">
        <f t="shared" si="12"/>
        <v>15000</v>
      </c>
      <c r="S47" s="4">
        <f t="shared" si="13"/>
        <v>16444.274217158556</v>
      </c>
      <c r="T47" s="4">
        <f t="shared" si="14"/>
        <v>1444.274217158556</v>
      </c>
      <c r="U47" s="4">
        <f t="shared" si="15"/>
        <v>-11543.013465107273</v>
      </c>
      <c r="V47" s="4">
        <f t="shared" si="16"/>
        <v>12987.287682265975</v>
      </c>
      <c r="W47" s="18"/>
      <c r="X47" s="37">
        <f t="shared" si="17"/>
        <v>6461175.6219271468</v>
      </c>
      <c r="Y47" s="38">
        <f t="shared" si="18"/>
        <v>20769.749111532645</v>
      </c>
      <c r="Z47" s="38">
        <f t="shared" si="19"/>
        <v>60000</v>
      </c>
      <c r="AA47" s="38">
        <f t="shared" si="20"/>
        <v>53237.968317196704</v>
      </c>
      <c r="AB47" s="39">
        <f t="shared" si="21"/>
        <v>-6762.0316828032956</v>
      </c>
      <c r="AC47" s="18"/>
      <c r="AD47" s="37">
        <f t="shared" si="22"/>
        <v>6480656.5534505453</v>
      </c>
      <c r="AE47" s="38">
        <f t="shared" si="23"/>
        <v>3456.9865348927269</v>
      </c>
      <c r="AF47" s="38">
        <f t="shared" si="24"/>
        <v>15000</v>
      </c>
      <c r="AG47" s="38">
        <f>AE47+O47-AD47</f>
        <v>16444.274217158556</v>
      </c>
      <c r="AH47" s="39">
        <f t="shared" si="25"/>
        <v>1444.274217158556</v>
      </c>
      <c r="AI47" s="18"/>
      <c r="AK47" s="7">
        <f t="shared" si="26"/>
        <v>0.23147521650098238</v>
      </c>
    </row>
    <row r="48" spans="1:37" ht="13.5" thickBot="1" x14ac:dyDescent="0.25">
      <c r="B48" s="1">
        <f>SUM(B28:B47)</f>
        <v>100000</v>
      </c>
      <c r="C48" s="7">
        <f>AK48*$B$17/$AK$48</f>
        <v>0.65</v>
      </c>
      <c r="E48" s="4"/>
      <c r="F48" s="4"/>
      <c r="G48" s="4">
        <f>SUM(G28:G47)</f>
        <v>65000</v>
      </c>
      <c r="H48" s="3"/>
      <c r="I48" s="3"/>
      <c r="J48" s="45" t="s">
        <v>50</v>
      </c>
      <c r="K48" s="3">
        <f>SUM(K28:K47)</f>
        <v>0.45275674463256338</v>
      </c>
      <c r="L48" s="1" t="s">
        <v>51</v>
      </c>
      <c r="M48" s="10">
        <f>SUM(M28:M47)</f>
        <v>35000</v>
      </c>
      <c r="N48" s="1" t="s">
        <v>52</v>
      </c>
      <c r="O48" s="4">
        <f t="shared" ref="O48:AB48" si="29">SUM(O28:O47)</f>
        <v>273000000</v>
      </c>
      <c r="P48" s="4">
        <f t="shared" si="29"/>
        <v>271814040.3458553</v>
      </c>
      <c r="Q48" s="4">
        <f t="shared" si="29"/>
        <v>107599.88885654163</v>
      </c>
      <c r="R48" s="4">
        <f t="shared" si="29"/>
        <v>885000</v>
      </c>
      <c r="S48" s="4">
        <f t="shared" si="29"/>
        <v>1293559.5430012736</v>
      </c>
      <c r="T48" s="4">
        <f t="shared" si="29"/>
        <v>408559.54300127365</v>
      </c>
      <c r="U48" s="4">
        <f t="shared" si="29"/>
        <v>-777400.11114345863</v>
      </c>
      <c r="V48" s="4">
        <f t="shared" si="29"/>
        <v>1185959.6541447276</v>
      </c>
      <c r="W48" s="18"/>
      <c r="X48" s="40">
        <f t="shared" si="29"/>
        <v>271635000.00000006</v>
      </c>
      <c r="Y48" s="41">
        <f t="shared" si="29"/>
        <v>211950</v>
      </c>
      <c r="Z48" s="41">
        <f t="shared" si="29"/>
        <v>1200000</v>
      </c>
      <c r="AA48" s="41">
        <f t="shared" si="29"/>
        <v>1576950.0000000047</v>
      </c>
      <c r="AB48" s="42">
        <f t="shared" si="29"/>
        <v>376950.00000000466</v>
      </c>
      <c r="AD48" s="40">
        <f t="shared" ref="AD48:AH48" si="30">SUM(AD28:AD47)</f>
        <v>272454000</v>
      </c>
      <c r="AE48" s="41">
        <f t="shared" si="30"/>
        <v>35129.999999999993</v>
      </c>
      <c r="AF48" s="41">
        <f t="shared" si="30"/>
        <v>300000</v>
      </c>
      <c r="AG48" s="41">
        <f t="shared" si="30"/>
        <v>581129.99999999814</v>
      </c>
      <c r="AH48" s="42">
        <f t="shared" si="30"/>
        <v>281129.99999999814</v>
      </c>
      <c r="AK48" s="9">
        <f>AVERAGE(AK28:AK47)</f>
        <v>0.48657376082504911</v>
      </c>
    </row>
    <row r="49" spans="1:22" ht="13.5" thickBot="1" x14ac:dyDescent="0.25">
      <c r="C49" s="3">
        <f>G48/B48</f>
        <v>0.65</v>
      </c>
      <c r="F49" s="4" t="s">
        <v>48</v>
      </c>
      <c r="G49" s="4">
        <f>SUM(G28:G47)</f>
        <v>65000</v>
      </c>
      <c r="H49" s="3"/>
      <c r="I49" s="3"/>
      <c r="J49" s="45" t="s">
        <v>49</v>
      </c>
      <c r="K49" s="17">
        <f>1-K48</f>
        <v>0.54724325536743668</v>
      </c>
      <c r="O49" s="3"/>
      <c r="P49" s="3"/>
      <c r="Q49" s="3"/>
      <c r="R49" s="3"/>
      <c r="S49" s="3"/>
      <c r="T49" s="3"/>
      <c r="U49" s="3"/>
      <c r="V49" s="3"/>
    </row>
    <row r="50" spans="1:22" x14ac:dyDescent="0.2">
      <c r="C50" s="1" t="s">
        <v>6</v>
      </c>
      <c r="D50" s="8">
        <v>-0.12</v>
      </c>
      <c r="O50" s="3"/>
      <c r="P50" s="3"/>
      <c r="Q50" s="3"/>
      <c r="R50" s="3"/>
      <c r="S50" s="3"/>
      <c r="T50" s="3"/>
      <c r="U50" s="3"/>
      <c r="V50" s="3"/>
    </row>
    <row r="51" spans="1:22" x14ac:dyDescent="0.2">
      <c r="C51" s="1" t="s">
        <v>7</v>
      </c>
      <c r="D51" s="8">
        <v>1.2</v>
      </c>
    </row>
    <row r="52" spans="1:22" ht="25.5" x14ac:dyDescent="0.2">
      <c r="H52" s="9">
        <f>C56-C70</f>
        <v>0.6508577174046718</v>
      </c>
      <c r="I52" s="4">
        <f>D56-D70</f>
        <v>223716.1627862138</v>
      </c>
      <c r="J52" s="4">
        <f t="shared" ref="J52:J53" si="31">I52/H52</f>
        <v>343725.14422705682</v>
      </c>
      <c r="K52" s="1" t="s">
        <v>39</v>
      </c>
    </row>
    <row r="53" spans="1:22" x14ac:dyDescent="0.2">
      <c r="H53" s="9">
        <f>C56-C70</f>
        <v>0.6508577174046718</v>
      </c>
      <c r="I53" s="4">
        <f>F70-F56</f>
        <v>161468.95637697587</v>
      </c>
      <c r="J53" s="4">
        <f t="shared" si="31"/>
        <v>248086.41283511475</v>
      </c>
      <c r="K53" s="1" t="s">
        <v>41</v>
      </c>
    </row>
    <row r="54" spans="1:22" ht="25.5" x14ac:dyDescent="0.2">
      <c r="A54" s="13" t="s">
        <v>7</v>
      </c>
      <c r="B54" s="13" t="s">
        <v>6</v>
      </c>
      <c r="C54" s="13" t="s">
        <v>13</v>
      </c>
      <c r="D54" s="30" t="s">
        <v>39</v>
      </c>
      <c r="E54" s="30" t="s">
        <v>40</v>
      </c>
      <c r="F54" s="30" t="s">
        <v>41</v>
      </c>
      <c r="G54" s="2"/>
      <c r="H54" s="9">
        <f>C56-C70</f>
        <v>0.6508577174046718</v>
      </c>
      <c r="I54" s="4">
        <f>E56-E70</f>
        <v>62247.20640923921</v>
      </c>
      <c r="J54" s="4">
        <f>I54/H54</f>
        <v>95638.73139194402</v>
      </c>
      <c r="K54" s="1" t="s">
        <v>40</v>
      </c>
    </row>
    <row r="55" spans="1:22" x14ac:dyDescent="0.2">
      <c r="A55" s="19">
        <f>D51</f>
        <v>1.2</v>
      </c>
      <c r="B55" s="19">
        <f>D50</f>
        <v>-0.12</v>
      </c>
      <c r="C55" s="20">
        <f>K49</f>
        <v>0.54724325536743668</v>
      </c>
      <c r="D55" s="16">
        <f>U48</f>
        <v>-777400.11114345863</v>
      </c>
      <c r="E55" s="16">
        <f>T48</f>
        <v>408559.54300127365</v>
      </c>
      <c r="F55" s="16">
        <f>V48</f>
        <v>1185959.6541447276</v>
      </c>
      <c r="H55" s="25">
        <v>0.1</v>
      </c>
      <c r="I55" s="43" t="s">
        <v>44</v>
      </c>
      <c r="J55" s="5">
        <f>J54*H55</f>
        <v>9563.873139194402</v>
      </c>
      <c r="K55" s="5">
        <f>J53*H55</f>
        <v>24808.641283511475</v>
      </c>
      <c r="L55" s="5">
        <f>J52*H55</f>
        <v>34372.514422705681</v>
      </c>
      <c r="M55" s="26" t="s">
        <v>14</v>
      </c>
    </row>
    <row r="56" spans="1:22" x14ac:dyDescent="0.2">
      <c r="A56" s="22">
        <v>1.2</v>
      </c>
      <c r="B56" s="22">
        <v>-0.16</v>
      </c>
      <c r="C56" s="23">
        <v>0.81047619494946965</v>
      </c>
      <c r="D56" s="21">
        <v>-764333.8372137862</v>
      </c>
      <c r="E56" s="21">
        <v>439197.20640924107</v>
      </c>
      <c r="F56" s="21">
        <v>1203531.0436230279</v>
      </c>
      <c r="G56" s="4"/>
    </row>
    <row r="57" spans="1:22" x14ac:dyDescent="0.2">
      <c r="A57" s="22">
        <v>1.2</v>
      </c>
      <c r="B57" s="22">
        <v>-0.155</v>
      </c>
      <c r="C57" s="23">
        <v>0.77758017402168123</v>
      </c>
      <c r="D57" s="21">
        <v>-761831.84673104249</v>
      </c>
      <c r="E57" s="21">
        <v>435358.67394698318</v>
      </c>
      <c r="F57" s="21">
        <v>1197190.5206780229</v>
      </c>
      <c r="G57" s="4"/>
      <c r="J57" s="29" t="s">
        <v>40</v>
      </c>
      <c r="K57" s="29" t="s">
        <v>41</v>
      </c>
      <c r="L57" s="29" t="s">
        <v>39</v>
      </c>
    </row>
    <row r="58" spans="1:22" x14ac:dyDescent="0.2">
      <c r="A58" s="22">
        <v>1.2</v>
      </c>
      <c r="B58" s="22">
        <v>-0.15</v>
      </c>
      <c r="C58" s="23">
        <v>0.74455901940998093</v>
      </c>
      <c r="D58" s="21">
        <v>-759297.59978547716</v>
      </c>
      <c r="E58" s="21">
        <v>431470.65389453992</v>
      </c>
      <c r="F58" s="21">
        <v>1190768.2536800196</v>
      </c>
      <c r="G58" s="4"/>
      <c r="H58" s="27">
        <v>0.01</v>
      </c>
      <c r="I58" s="44" t="s">
        <v>44</v>
      </c>
      <c r="J58" s="29">
        <v>956.3873139194402</v>
      </c>
      <c r="K58" s="29">
        <v>2480.8641283511474</v>
      </c>
      <c r="L58" s="29">
        <v>3437.2514422705681</v>
      </c>
      <c r="M58" s="28" t="s">
        <v>14</v>
      </c>
    </row>
    <row r="59" spans="1:22" x14ac:dyDescent="0.2">
      <c r="A59" s="22">
        <v>1.2</v>
      </c>
      <c r="B59" s="22">
        <v>-0.14000000000000001</v>
      </c>
      <c r="C59" s="23">
        <v>0.67837363961413932</v>
      </c>
      <c r="D59" s="21">
        <v>-754154.94868190424</v>
      </c>
      <c r="E59" s="21">
        <v>423580.84242671169</v>
      </c>
      <c r="F59" s="21">
        <v>1177735.7911086101</v>
      </c>
      <c r="G59" s="4"/>
      <c r="H59" s="27">
        <v>0.05</v>
      </c>
      <c r="I59" s="44" t="s">
        <v>44</v>
      </c>
      <c r="J59" s="29">
        <v>4781.936569597201</v>
      </c>
      <c r="K59" s="29">
        <v>12404.320641755738</v>
      </c>
      <c r="L59" s="29">
        <v>17186.25721135284</v>
      </c>
      <c r="M59" s="28" t="s">
        <v>14</v>
      </c>
    </row>
    <row r="60" spans="1:22" x14ac:dyDescent="0.2">
      <c r="A60" s="22">
        <v>1.2</v>
      </c>
      <c r="B60" s="22">
        <v>-0.13500000000000001</v>
      </c>
      <c r="C60" s="23">
        <v>0.64533441223105303</v>
      </c>
      <c r="D60" s="21">
        <v>-751558.84610047541</v>
      </c>
      <c r="E60" s="21">
        <v>419597.92398520466</v>
      </c>
      <c r="F60" s="21">
        <v>1171156.7700856812</v>
      </c>
      <c r="G60" s="4"/>
      <c r="H60" s="27">
        <v>0.1</v>
      </c>
      <c r="I60" s="44" t="s">
        <v>44</v>
      </c>
      <c r="J60" s="29">
        <v>9563.873139194402</v>
      </c>
      <c r="K60" s="29">
        <v>24808.641283511475</v>
      </c>
      <c r="L60" s="29">
        <v>34372.514422705681</v>
      </c>
      <c r="M60" s="28" t="s">
        <v>14</v>
      </c>
    </row>
    <row r="61" spans="1:22" x14ac:dyDescent="0.2">
      <c r="A61" s="22">
        <v>1.2</v>
      </c>
      <c r="B61" s="22">
        <v>-0.13</v>
      </c>
      <c r="C61" s="23">
        <v>0.61241941799900435</v>
      </c>
      <c r="D61" s="21">
        <v>-782191.59864777396</v>
      </c>
      <c r="E61" s="21">
        <v>415910.60226975661</v>
      </c>
      <c r="F61" s="21">
        <v>1198102.2009175336</v>
      </c>
      <c r="G61" s="4"/>
    </row>
    <row r="62" spans="1:22" x14ac:dyDescent="0.2">
      <c r="A62" s="22">
        <v>1.2</v>
      </c>
      <c r="B62" s="22">
        <v>-0.12</v>
      </c>
      <c r="C62" s="23">
        <v>0.54724325536743668</v>
      </c>
      <c r="D62" s="21">
        <v>-777400.11114345863</v>
      </c>
      <c r="E62" s="21">
        <v>408559.54300127365</v>
      </c>
      <c r="F62" s="21">
        <v>1185959.6541447276</v>
      </c>
      <c r="G62" s="4"/>
    </row>
    <row r="63" spans="1:22" x14ac:dyDescent="0.2">
      <c r="A63" s="22">
        <v>1.2</v>
      </c>
      <c r="B63" s="22">
        <v>-0.11700000000000001</v>
      </c>
      <c r="C63" s="23">
        <v>0.52792817930659297</v>
      </c>
      <c r="D63" s="21">
        <v>-775963.47382713924</v>
      </c>
      <c r="E63" s="21">
        <v>406355.46628185827</v>
      </c>
      <c r="F63" s="21">
        <v>1182318.9401090061</v>
      </c>
      <c r="G63" s="4"/>
    </row>
    <row r="64" spans="1:22" x14ac:dyDescent="0.2">
      <c r="A64" s="22">
        <v>1.2</v>
      </c>
      <c r="B64" s="22">
        <v>-0.115</v>
      </c>
      <c r="C64" s="23">
        <v>0.51512715602860371</v>
      </c>
      <c r="D64" s="21">
        <v>-775007.37293436332</v>
      </c>
      <c r="E64" s="21">
        <v>404888.62444556132</v>
      </c>
      <c r="F64" s="21">
        <v>1179895.997379926</v>
      </c>
      <c r="G64" s="4"/>
    </row>
    <row r="65" spans="1:7" x14ac:dyDescent="0.2">
      <c r="A65" s="22">
        <v>1.2</v>
      </c>
      <c r="B65" s="22">
        <v>-0.11</v>
      </c>
      <c r="C65" s="23">
        <v>0.48342412891202069</v>
      </c>
      <c r="D65" s="21">
        <v>-805794.85003171011</v>
      </c>
      <c r="E65" s="21">
        <v>401438.67981533613</v>
      </c>
      <c r="F65" s="21">
        <v>1207233.5298470482</v>
      </c>
      <c r="G65" s="4"/>
    </row>
    <row r="66" spans="1:7" x14ac:dyDescent="0.2">
      <c r="A66" s="22">
        <v>1.2</v>
      </c>
      <c r="B66" s="22">
        <v>-0.1</v>
      </c>
      <c r="C66" s="23">
        <v>0.42155242211642552</v>
      </c>
      <c r="D66" s="21">
        <v>-801535.83403731661</v>
      </c>
      <c r="E66" s="21">
        <v>394904.53379659168</v>
      </c>
      <c r="F66" s="21">
        <v>1196440.3678339077</v>
      </c>
      <c r="G66" s="4"/>
    </row>
    <row r="67" spans="1:7" x14ac:dyDescent="0.2">
      <c r="A67" s="22">
        <v>1.2</v>
      </c>
      <c r="B67" s="22">
        <v>-9.5000000000000001E-2</v>
      </c>
      <c r="C67" s="23">
        <v>0.39152838728579598</v>
      </c>
      <c r="D67" s="21">
        <v>-832555.19397399353</v>
      </c>
      <c r="E67" s="21">
        <v>391810.34184103739</v>
      </c>
      <c r="F67" s="21">
        <v>1224365.5358150257</v>
      </c>
      <c r="G67" s="4"/>
    </row>
    <row r="68" spans="1:7" x14ac:dyDescent="0.2">
      <c r="A68" s="22">
        <v>1.2</v>
      </c>
      <c r="B68" s="22">
        <v>-7.0000000000000007E-2</v>
      </c>
      <c r="C68" s="23">
        <v>0.25315857385788321</v>
      </c>
      <c r="D68" s="21">
        <v>-890890.62616404472</v>
      </c>
      <c r="E68" s="21">
        <v>379940.40554693155</v>
      </c>
      <c r="F68" s="21">
        <v>1270831.0317109767</v>
      </c>
      <c r="G68" s="4"/>
    </row>
    <row r="69" spans="1:7" x14ac:dyDescent="0.2">
      <c r="A69" s="22">
        <v>1.2</v>
      </c>
      <c r="B69" s="22">
        <v>-0.06</v>
      </c>
      <c r="C69" s="23">
        <v>0.20430337253694875</v>
      </c>
      <c r="D69" s="21">
        <v>-955327.34483398439</v>
      </c>
      <c r="E69" s="21">
        <v>377431.01093998738</v>
      </c>
      <c r="F69" s="21">
        <v>1332758.3557739723</v>
      </c>
      <c r="G69" s="4"/>
    </row>
    <row r="70" spans="1:7" x14ac:dyDescent="0.2">
      <c r="A70" s="22">
        <v>1.2</v>
      </c>
      <c r="B70" s="22">
        <v>-0.05</v>
      </c>
      <c r="C70" s="23">
        <v>0.15961847754479785</v>
      </c>
      <c r="D70" s="21">
        <v>-988050</v>
      </c>
      <c r="E70" s="21">
        <v>376950.00000000186</v>
      </c>
      <c r="F70" s="21">
        <v>1365000.0000000037</v>
      </c>
      <c r="G70" s="4"/>
    </row>
  </sheetData>
  <mergeCells count="2">
    <mergeCell ref="X26:AB26"/>
    <mergeCell ref="AD26:AH26"/>
  </mergeCells>
  <pageMargins left="0.7" right="0.7" top="0.75" bottom="0.75" header="0.3" footer="0.3"/>
  <pageSetup paperSize="9" orientation="portrait" horizontalDpi="4294967294" verticalDpi="300" r:id="rId1"/>
  <ignoredErrors>
    <ignoredError sqref="T29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IloscPobran xmlns="15eff680-7205-4d96-b943-900c91f8b861">68</IloscPobran>
    <IloscPobranLast xmlns="15eff680-7205-4d96-b943-900c91f8b861">68</IloscPobranLas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6169E91E682348829F391E18E24ADC" ma:contentTypeVersion="3" ma:contentTypeDescription="Utwórz nowy dokument." ma:contentTypeScope="" ma:versionID="8d987f166263a89b8f9d9a4d00248ac5">
  <xsd:schema xmlns:xsd="http://www.w3.org/2001/XMLSchema" xmlns:xs="http://www.w3.org/2001/XMLSchema" xmlns:p="http://schemas.microsoft.com/office/2006/metadata/properties" xmlns:ns1="http://schemas.microsoft.com/sharepoint/v3" xmlns:ns2="15eff680-7205-4d96-b943-900c91f8b861" targetNamespace="http://schemas.microsoft.com/office/2006/metadata/properties" ma:root="true" ma:fieldsID="01d90da5a6219a11e736808c48a3d393" ns1:_="" ns2:_="">
    <xsd:import namespace="http://schemas.microsoft.com/sharepoint/v3"/>
    <xsd:import namespace="15eff680-7205-4d96-b943-900c91f8b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loscPobran" minOccurs="0"/>
                <xsd:element ref="ns2:IloscPobranLa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owana data rozpoczęcia" ma:internalName="PublishingStartDate">
      <xsd:simpleType>
        <xsd:restriction base="dms:Unknown"/>
      </xsd:simpleType>
    </xsd:element>
    <xsd:element name="PublishingExpirationDate" ma:index="9" nillable="true" ma:displayName="Planowana data zakończenia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f680-7205-4d96-b943-900c91f8b861" elementFormDefault="qualified">
    <xsd:import namespace="http://schemas.microsoft.com/office/2006/documentManagement/types"/>
    <xsd:import namespace="http://schemas.microsoft.com/office/infopath/2007/PartnerControls"/>
    <xsd:element name="IloscPobran" ma:index="10" nillable="true" ma:displayName="IloscPobran" ma:decimals="0" ma:internalName="IloscPobran">
      <xsd:simpleType>
        <xsd:restriction base="dms:Number"/>
      </xsd:simpleType>
    </xsd:element>
    <xsd:element name="IloscPobranLast" ma:index="11" nillable="true" ma:displayName="IloscPobranLast" ma:decimals="0" ma:internalName="IloscPobranLast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226C82-F1FF-43FD-BE37-D2E02DB993A7}"/>
</file>

<file path=customXml/itemProps2.xml><?xml version="1.0" encoding="utf-8"?>
<ds:datastoreItem xmlns:ds="http://schemas.openxmlformats.org/officeDocument/2006/customXml" ds:itemID="{46B9D9A3-BE1C-4283-A17D-37888A59A7E7}"/>
</file>

<file path=customXml/itemProps3.xml><?xml version="1.0" encoding="utf-8"?>
<ds:datastoreItem xmlns:ds="http://schemas.openxmlformats.org/officeDocument/2006/customXml" ds:itemID="{6ECF1E7B-3267-4414-853D-C1B3A71939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Karol Przanowski</cp:lastModifiedBy>
  <cp:lastPrinted>2009-11-04T14:01:52Z</cp:lastPrinted>
  <dcterms:created xsi:type="dcterms:W3CDTF">2008-06-27T13:02:34Z</dcterms:created>
  <dcterms:modified xsi:type="dcterms:W3CDTF">2016-02-21T14:17:37Z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0x010100256169E91E682348829F391E18E24ADC</vt:lpwstr>
  </property>
</Properties>
</file>