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4595" windowHeight="7680"/>
  </bookViews>
  <sheets>
    <sheet name="Analysis" sheetId="4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I52" i="4" l="1"/>
  <c r="I53" i="4"/>
  <c r="I54" i="4"/>
  <c r="H52" i="4"/>
  <c r="H53" i="4"/>
  <c r="J52" i="4" l="1"/>
  <c r="L55" i="4" s="1"/>
  <c r="J53" i="4"/>
  <c r="K55" i="4" s="1"/>
  <c r="B19" i="4"/>
  <c r="B12" i="4"/>
  <c r="B3" i="4" s="1"/>
  <c r="B11" i="4"/>
  <c r="H54" i="4" l="1"/>
  <c r="J54" i="4" s="1"/>
  <c r="B55" i="4"/>
  <c r="A55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28" i="4"/>
  <c r="J55" i="4" l="1"/>
  <c r="AK48" i="4"/>
  <c r="C48" i="4" s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AF28" i="4" l="1"/>
  <c r="Z28" i="4"/>
  <c r="AF30" i="4"/>
  <c r="Z30" i="4"/>
  <c r="AF32" i="4"/>
  <c r="Z32" i="4"/>
  <c r="AF34" i="4"/>
  <c r="Z34" i="4"/>
  <c r="AF36" i="4"/>
  <c r="Z36" i="4"/>
  <c r="AF38" i="4"/>
  <c r="Z38" i="4"/>
  <c r="AF40" i="4"/>
  <c r="Z40" i="4"/>
  <c r="AF42" i="4"/>
  <c r="Z42" i="4"/>
  <c r="AF44" i="4"/>
  <c r="Z44" i="4"/>
  <c r="AF46" i="4"/>
  <c r="Z46" i="4"/>
  <c r="AF29" i="4"/>
  <c r="Z29" i="4"/>
  <c r="AF31" i="4"/>
  <c r="Z31" i="4"/>
  <c r="AF33" i="4"/>
  <c r="Z33" i="4"/>
  <c r="AF35" i="4"/>
  <c r="Z35" i="4"/>
  <c r="AF37" i="4"/>
  <c r="Z37" i="4"/>
  <c r="AF39" i="4"/>
  <c r="Z39" i="4"/>
  <c r="AF41" i="4"/>
  <c r="Z41" i="4"/>
  <c r="AF43" i="4"/>
  <c r="Z43" i="4"/>
  <c r="AF45" i="4"/>
  <c r="Z45" i="4"/>
  <c r="AF47" i="4"/>
  <c r="Z47" i="4"/>
  <c r="C29" i="4"/>
  <c r="C33" i="4"/>
  <c r="C37" i="4"/>
  <c r="C41" i="4"/>
  <c r="C45" i="4"/>
  <c r="C30" i="4"/>
  <c r="C34" i="4"/>
  <c r="C38" i="4"/>
  <c r="C42" i="4"/>
  <c r="C46" i="4"/>
  <c r="C31" i="4"/>
  <c r="C35" i="4"/>
  <c r="C39" i="4"/>
  <c r="C43" i="4"/>
  <c r="C47" i="4"/>
  <c r="C32" i="4"/>
  <c r="C36" i="4"/>
  <c r="C40" i="4"/>
  <c r="C44" i="4"/>
  <c r="C28" i="4"/>
  <c r="B48" i="4"/>
  <c r="Z48" i="4" l="1"/>
  <c r="AF48" i="4"/>
  <c r="AE28" i="4"/>
  <c r="Y28" i="4"/>
  <c r="AE40" i="4"/>
  <c r="Y40" i="4"/>
  <c r="AE32" i="4"/>
  <c r="Y32" i="4"/>
  <c r="AE43" i="4"/>
  <c r="Y43" i="4"/>
  <c r="AE35" i="4"/>
  <c r="Y35" i="4"/>
  <c r="AE46" i="4"/>
  <c r="Y46" i="4"/>
  <c r="AE38" i="4"/>
  <c r="Y38" i="4"/>
  <c r="AE30" i="4"/>
  <c r="Y30" i="4"/>
  <c r="AE41" i="4"/>
  <c r="Y41" i="4"/>
  <c r="AE33" i="4"/>
  <c r="Y33" i="4"/>
  <c r="AE44" i="4"/>
  <c r="Y44" i="4"/>
  <c r="AE36" i="4"/>
  <c r="Y36" i="4"/>
  <c r="AE47" i="4"/>
  <c r="Y47" i="4"/>
  <c r="AE39" i="4"/>
  <c r="Y39" i="4"/>
  <c r="AE31" i="4"/>
  <c r="Y31" i="4"/>
  <c r="AE42" i="4"/>
  <c r="Y42" i="4"/>
  <c r="AE34" i="4"/>
  <c r="Y34" i="4"/>
  <c r="AE45" i="4"/>
  <c r="Y45" i="4"/>
  <c r="AE37" i="4"/>
  <c r="Y37" i="4"/>
  <c r="AE29" i="4"/>
  <c r="Y29" i="4"/>
  <c r="G34" i="4"/>
  <c r="M34" i="4" s="1"/>
  <c r="G45" i="4"/>
  <c r="M45" i="4" s="1"/>
  <c r="G37" i="4"/>
  <c r="M37" i="4" s="1"/>
  <c r="G36" i="4"/>
  <c r="M36" i="4" s="1"/>
  <c r="G40" i="4"/>
  <c r="M40" i="4" s="1"/>
  <c r="G35" i="4"/>
  <c r="M35" i="4" s="1"/>
  <c r="G32" i="4"/>
  <c r="M32" i="4" s="1"/>
  <c r="G28" i="4"/>
  <c r="M28" i="4" s="1"/>
  <c r="G29" i="4"/>
  <c r="M29" i="4" s="1"/>
  <c r="G42" i="4"/>
  <c r="M42" i="4" s="1"/>
  <c r="G46" i="4"/>
  <c r="M46" i="4" s="1"/>
  <c r="G38" i="4"/>
  <c r="M38" i="4" s="1"/>
  <c r="G30" i="4"/>
  <c r="M30" i="4" s="1"/>
  <c r="G41" i="4"/>
  <c r="M41" i="4" s="1"/>
  <c r="G44" i="4"/>
  <c r="M44" i="4" s="1"/>
  <c r="G47" i="4"/>
  <c r="M47" i="4" s="1"/>
  <c r="G43" i="4"/>
  <c r="M43" i="4" s="1"/>
  <c r="G31" i="4"/>
  <c r="M31" i="4" s="1"/>
  <c r="G33" i="4"/>
  <c r="M33" i="4" s="1"/>
  <c r="G39" i="4"/>
  <c r="M39" i="4" s="1"/>
  <c r="O40" i="4"/>
  <c r="O36" i="4"/>
  <c r="O32" i="4"/>
  <c r="O28" i="4"/>
  <c r="O47" i="4"/>
  <c r="O45" i="4"/>
  <c r="O43" i="4"/>
  <c r="O41" i="4"/>
  <c r="O39" i="4"/>
  <c r="O37" i="4"/>
  <c r="O35" i="4"/>
  <c r="O33" i="4"/>
  <c r="O31" i="4"/>
  <c r="O29" i="4"/>
  <c r="O46" i="4"/>
  <c r="O44" i="4"/>
  <c r="O42" i="4"/>
  <c r="O38" i="4"/>
  <c r="O34" i="4"/>
  <c r="O30" i="4"/>
  <c r="AD30" i="4" l="1"/>
  <c r="AG30" i="4" s="1"/>
  <c r="AH30" i="4" s="1"/>
  <c r="X30" i="4"/>
  <c r="AA30" i="4" s="1"/>
  <c r="AB30" i="4" s="1"/>
  <c r="AD38" i="4"/>
  <c r="AG38" i="4" s="1"/>
  <c r="AH38" i="4" s="1"/>
  <c r="X38" i="4"/>
  <c r="AA38" i="4" s="1"/>
  <c r="AB38" i="4" s="1"/>
  <c r="AD44" i="4"/>
  <c r="AG44" i="4" s="1"/>
  <c r="AH44" i="4" s="1"/>
  <c r="X44" i="4"/>
  <c r="AA44" i="4" s="1"/>
  <c r="AB44" i="4" s="1"/>
  <c r="AD29" i="4"/>
  <c r="X29" i="4"/>
  <c r="AA29" i="4" s="1"/>
  <c r="AB29" i="4" s="1"/>
  <c r="AD33" i="4"/>
  <c r="AG33" i="4" s="1"/>
  <c r="AH33" i="4" s="1"/>
  <c r="X33" i="4"/>
  <c r="AA33" i="4" s="1"/>
  <c r="AB33" i="4" s="1"/>
  <c r="AD37" i="4"/>
  <c r="AG37" i="4" s="1"/>
  <c r="AH37" i="4" s="1"/>
  <c r="X37" i="4"/>
  <c r="AA37" i="4" s="1"/>
  <c r="AB37" i="4" s="1"/>
  <c r="AD41" i="4"/>
  <c r="AG41" i="4" s="1"/>
  <c r="AH41" i="4" s="1"/>
  <c r="X41" i="4"/>
  <c r="AA41" i="4" s="1"/>
  <c r="AB41" i="4" s="1"/>
  <c r="AD45" i="4"/>
  <c r="AG45" i="4" s="1"/>
  <c r="AH45" i="4" s="1"/>
  <c r="X45" i="4"/>
  <c r="AA45" i="4" s="1"/>
  <c r="AB45" i="4" s="1"/>
  <c r="AD28" i="4"/>
  <c r="AG28" i="4" s="1"/>
  <c r="X28" i="4"/>
  <c r="AA28" i="4" s="1"/>
  <c r="AD36" i="4"/>
  <c r="AG36" i="4" s="1"/>
  <c r="AH36" i="4" s="1"/>
  <c r="X36" i="4"/>
  <c r="AA36" i="4" s="1"/>
  <c r="AB36" i="4" s="1"/>
  <c r="AD34" i="4"/>
  <c r="AG34" i="4" s="1"/>
  <c r="AH34" i="4" s="1"/>
  <c r="X34" i="4"/>
  <c r="AA34" i="4" s="1"/>
  <c r="AB34" i="4" s="1"/>
  <c r="AD42" i="4"/>
  <c r="AG42" i="4" s="1"/>
  <c r="AH42" i="4" s="1"/>
  <c r="X42" i="4"/>
  <c r="AA42" i="4" s="1"/>
  <c r="AB42" i="4" s="1"/>
  <c r="AD46" i="4"/>
  <c r="AG46" i="4" s="1"/>
  <c r="AH46" i="4" s="1"/>
  <c r="X46" i="4"/>
  <c r="AA46" i="4" s="1"/>
  <c r="AB46" i="4" s="1"/>
  <c r="AD31" i="4"/>
  <c r="AG31" i="4" s="1"/>
  <c r="AH31" i="4" s="1"/>
  <c r="X31" i="4"/>
  <c r="AA31" i="4" s="1"/>
  <c r="AB31" i="4" s="1"/>
  <c r="AD35" i="4"/>
  <c r="AG35" i="4" s="1"/>
  <c r="AH35" i="4" s="1"/>
  <c r="X35" i="4"/>
  <c r="AA35" i="4" s="1"/>
  <c r="AB35" i="4" s="1"/>
  <c r="AD39" i="4"/>
  <c r="AG39" i="4" s="1"/>
  <c r="AH39" i="4" s="1"/>
  <c r="X39" i="4"/>
  <c r="AA39" i="4" s="1"/>
  <c r="AB39" i="4" s="1"/>
  <c r="AD43" i="4"/>
  <c r="AG43" i="4" s="1"/>
  <c r="AH43" i="4" s="1"/>
  <c r="X43" i="4"/>
  <c r="AA43" i="4" s="1"/>
  <c r="AB43" i="4" s="1"/>
  <c r="AD47" i="4"/>
  <c r="AG47" i="4" s="1"/>
  <c r="AH47" i="4" s="1"/>
  <c r="X47" i="4"/>
  <c r="AA47" i="4" s="1"/>
  <c r="AB47" i="4" s="1"/>
  <c r="AD32" i="4"/>
  <c r="AG32" i="4" s="1"/>
  <c r="AH32" i="4" s="1"/>
  <c r="X32" i="4"/>
  <c r="AA32" i="4" s="1"/>
  <c r="AB32" i="4" s="1"/>
  <c r="AD40" i="4"/>
  <c r="AG40" i="4" s="1"/>
  <c r="AH40" i="4" s="1"/>
  <c r="X40" i="4"/>
  <c r="AA40" i="4" s="1"/>
  <c r="AB40" i="4" s="1"/>
  <c r="AG29" i="4"/>
  <c r="AH29" i="4" s="1"/>
  <c r="Y48" i="4"/>
  <c r="AE48" i="4"/>
  <c r="G49" i="4"/>
  <c r="H47" i="4" s="1"/>
  <c r="G48" i="4"/>
  <c r="C49" i="4" s="1"/>
  <c r="O48" i="4"/>
  <c r="M48" i="4"/>
  <c r="N41" i="4" s="1"/>
  <c r="H35" i="4"/>
  <c r="N46" i="4" l="1"/>
  <c r="H29" i="4"/>
  <c r="E39" i="4"/>
  <c r="P39" i="4" s="1"/>
  <c r="V39" i="4" s="1"/>
  <c r="H31" i="4"/>
  <c r="H33" i="4"/>
  <c r="H39" i="4"/>
  <c r="E43" i="4"/>
  <c r="H32" i="4"/>
  <c r="J32" i="4" s="1"/>
  <c r="H28" i="4"/>
  <c r="J28" i="4" s="1"/>
  <c r="H38" i="4"/>
  <c r="H36" i="4"/>
  <c r="J36" i="4" s="1"/>
  <c r="H30" i="4"/>
  <c r="J30" i="4" s="1"/>
  <c r="H37" i="4"/>
  <c r="N36" i="4"/>
  <c r="N35" i="4"/>
  <c r="H34" i="4"/>
  <c r="J35" i="4" s="1"/>
  <c r="N30" i="4"/>
  <c r="E47" i="4"/>
  <c r="E35" i="4"/>
  <c r="P35" i="4" s="1"/>
  <c r="V35" i="4" s="1"/>
  <c r="E31" i="4"/>
  <c r="E46" i="4"/>
  <c r="P46" i="4" s="1"/>
  <c r="V46" i="4" s="1"/>
  <c r="E42" i="4"/>
  <c r="P42" i="4" s="1"/>
  <c r="V42" i="4" s="1"/>
  <c r="E34" i="4"/>
  <c r="P34" i="4" s="1"/>
  <c r="V34" i="4" s="1"/>
  <c r="E40" i="4"/>
  <c r="P40" i="4" s="1"/>
  <c r="V40" i="4" s="1"/>
  <c r="E32" i="4"/>
  <c r="P32" i="4" s="1"/>
  <c r="V32" i="4" s="1"/>
  <c r="N38" i="4"/>
  <c r="X48" i="4"/>
  <c r="AD48" i="4"/>
  <c r="AH28" i="4"/>
  <c r="AH48" i="4" s="1"/>
  <c r="AG48" i="4"/>
  <c r="AA48" i="4"/>
  <c r="AB28" i="4"/>
  <c r="N32" i="4"/>
  <c r="N39" i="4"/>
  <c r="N37" i="4"/>
  <c r="N33" i="4"/>
  <c r="N40" i="4"/>
  <c r="N34" i="4"/>
  <c r="N43" i="4"/>
  <c r="N42" i="4"/>
  <c r="N44" i="4"/>
  <c r="N28" i="4"/>
  <c r="N31" i="4"/>
  <c r="N45" i="4"/>
  <c r="N47" i="4"/>
  <c r="N29" i="4"/>
  <c r="J31" i="4" l="1"/>
  <c r="R32" i="4"/>
  <c r="J39" i="4"/>
  <c r="J38" i="4"/>
  <c r="J33" i="4"/>
  <c r="F46" i="4"/>
  <c r="Q46" i="4" s="1"/>
  <c r="S46" i="4" s="1"/>
  <c r="J34" i="4"/>
  <c r="R34" i="4"/>
  <c r="R46" i="4"/>
  <c r="R35" i="4"/>
  <c r="P43" i="4"/>
  <c r="V43" i="4" s="1"/>
  <c r="R43" i="4"/>
  <c r="R42" i="4"/>
  <c r="J37" i="4"/>
  <c r="F43" i="4"/>
  <c r="Q43" i="4" s="1"/>
  <c r="S43" i="4" s="1"/>
  <c r="P47" i="4"/>
  <c r="V47" i="4" s="1"/>
  <c r="F47" i="4"/>
  <c r="Q47" i="4" s="1"/>
  <c r="P31" i="4"/>
  <c r="V31" i="4" s="1"/>
  <c r="F31" i="4"/>
  <c r="Q31" i="4" s="1"/>
  <c r="J29" i="4"/>
  <c r="F34" i="4"/>
  <c r="Q34" i="4" s="1"/>
  <c r="S34" i="4" s="1"/>
  <c r="F35" i="4"/>
  <c r="Q35" i="4" s="1"/>
  <c r="U35" i="4" s="1"/>
  <c r="F39" i="4"/>
  <c r="Q39" i="4" s="1"/>
  <c r="S39" i="4" s="1"/>
  <c r="F32" i="4"/>
  <c r="Q32" i="4" s="1"/>
  <c r="U32" i="4" s="1"/>
  <c r="R40" i="4"/>
  <c r="AB48" i="4"/>
  <c r="E44" i="4"/>
  <c r="P44" i="4" s="1"/>
  <c r="V44" i="4" s="1"/>
  <c r="E38" i="4"/>
  <c r="P38" i="4" s="1"/>
  <c r="V38" i="4" s="1"/>
  <c r="E29" i="4"/>
  <c r="P29" i="4" s="1"/>
  <c r="V29" i="4" s="1"/>
  <c r="E36" i="4"/>
  <c r="P36" i="4" s="1"/>
  <c r="V36" i="4" s="1"/>
  <c r="E30" i="4"/>
  <c r="P30" i="4" s="1"/>
  <c r="V30" i="4" s="1"/>
  <c r="F42" i="4"/>
  <c r="Q42" i="4" s="1"/>
  <c r="R31" i="4"/>
  <c r="R39" i="4"/>
  <c r="R47" i="4"/>
  <c r="F40" i="4"/>
  <c r="Q40" i="4" s="1"/>
  <c r="E37" i="4"/>
  <c r="P37" i="4" s="1"/>
  <c r="V37" i="4" s="1"/>
  <c r="E41" i="4"/>
  <c r="P41" i="4" s="1"/>
  <c r="V41" i="4" s="1"/>
  <c r="E45" i="4"/>
  <c r="P45" i="4" s="1"/>
  <c r="V45" i="4" s="1"/>
  <c r="E33" i="4"/>
  <c r="P33" i="4" s="1"/>
  <c r="V33" i="4" s="1"/>
  <c r="H46" i="4"/>
  <c r="H44" i="4"/>
  <c r="H42" i="4"/>
  <c r="H40" i="4"/>
  <c r="J40" i="4" s="1"/>
  <c r="H45" i="4"/>
  <c r="H43" i="4"/>
  <c r="H41" i="4"/>
  <c r="F33" i="4" l="1"/>
  <c r="Q33" i="4" s="1"/>
  <c r="F37" i="4"/>
  <c r="Q37" i="4" s="1"/>
  <c r="S37" i="4" s="1"/>
  <c r="T43" i="4"/>
  <c r="U39" i="4"/>
  <c r="U34" i="4"/>
  <c r="R33" i="4"/>
  <c r="F45" i="4"/>
  <c r="Q45" i="4" s="1"/>
  <c r="S45" i="4" s="1"/>
  <c r="R37" i="4"/>
  <c r="S32" i="4"/>
  <c r="T32" i="4" s="1"/>
  <c r="S35" i="4"/>
  <c r="T35" i="4" s="1"/>
  <c r="F36" i="4"/>
  <c r="Q36" i="4" s="1"/>
  <c r="S36" i="4" s="1"/>
  <c r="F44" i="4"/>
  <c r="Q44" i="4" s="1"/>
  <c r="S44" i="4" s="1"/>
  <c r="R44" i="4"/>
  <c r="T34" i="4"/>
  <c r="S31" i="4"/>
  <c r="S47" i="4"/>
  <c r="U43" i="4"/>
  <c r="U47" i="4"/>
  <c r="U31" i="4"/>
  <c r="T46" i="4"/>
  <c r="R36" i="4"/>
  <c r="F29" i="4"/>
  <c r="Q29" i="4" s="1"/>
  <c r="S29" i="4" s="1"/>
  <c r="F38" i="4"/>
  <c r="Q38" i="4" s="1"/>
  <c r="S38" i="4" s="1"/>
  <c r="T39" i="4"/>
  <c r="T31" i="4"/>
  <c r="T47" i="4"/>
  <c r="U46" i="4"/>
  <c r="F30" i="4"/>
  <c r="Q30" i="4" s="1"/>
  <c r="S30" i="4" s="1"/>
  <c r="T30" i="4" s="1"/>
  <c r="R38" i="4"/>
  <c r="R45" i="4"/>
  <c r="F41" i="4"/>
  <c r="Q41" i="4" s="1"/>
  <c r="S41" i="4" s="1"/>
  <c r="R41" i="4"/>
  <c r="S33" i="4"/>
  <c r="U40" i="4"/>
  <c r="S40" i="4"/>
  <c r="T40" i="4" s="1"/>
  <c r="S42" i="4"/>
  <c r="T42" i="4" s="1"/>
  <c r="U42" i="4"/>
  <c r="R30" i="4"/>
  <c r="U30" i="4" s="1"/>
  <c r="U36" i="4"/>
  <c r="R29" i="4"/>
  <c r="E28" i="4"/>
  <c r="P28" i="4" s="1"/>
  <c r="U37" i="4"/>
  <c r="J41" i="4"/>
  <c r="J45" i="4"/>
  <c r="J46" i="4"/>
  <c r="J47" i="4"/>
  <c r="J43" i="4"/>
  <c r="J44" i="4"/>
  <c r="I45" i="4"/>
  <c r="I40" i="4"/>
  <c r="K40" i="4" s="1"/>
  <c r="I44" i="4"/>
  <c r="J42" i="4"/>
  <c r="I35" i="4"/>
  <c r="K35" i="4" s="1"/>
  <c r="I38" i="4"/>
  <c r="K38" i="4" s="1"/>
  <c r="I42" i="4"/>
  <c r="U38" i="4" l="1"/>
  <c r="U29" i="4"/>
  <c r="U33" i="4"/>
  <c r="T33" i="4"/>
  <c r="U41" i="4"/>
  <c r="T37" i="4"/>
  <c r="T41" i="4"/>
  <c r="U44" i="4"/>
  <c r="T45" i="4"/>
  <c r="U45" i="4"/>
  <c r="T44" i="4"/>
  <c r="T38" i="4"/>
  <c r="T36" i="4"/>
  <c r="F28" i="4"/>
  <c r="Q28" i="4" s="1"/>
  <c r="Q48" i="4" s="1"/>
  <c r="B22" i="4" s="1"/>
  <c r="R28" i="4"/>
  <c r="R48" i="4" s="1"/>
  <c r="B23" i="4" s="1"/>
  <c r="T29" i="4"/>
  <c r="P48" i="4"/>
  <c r="B20" i="4" s="1"/>
  <c r="V28" i="4"/>
  <c r="V48" i="4" s="1"/>
  <c r="K44" i="4"/>
  <c r="K45" i="4"/>
  <c r="I39" i="4"/>
  <c r="K39" i="4" s="1"/>
  <c r="I33" i="4"/>
  <c r="K33" i="4" s="1"/>
  <c r="I47" i="4"/>
  <c r="K47" i="4" s="1"/>
  <c r="I31" i="4"/>
  <c r="K31" i="4" s="1"/>
  <c r="K42" i="4"/>
  <c r="I43" i="4"/>
  <c r="K43" i="4" s="1"/>
  <c r="I36" i="4"/>
  <c r="K36" i="4" s="1"/>
  <c r="I32" i="4"/>
  <c r="K32" i="4" s="1"/>
  <c r="I41" i="4"/>
  <c r="K41" i="4" s="1"/>
  <c r="I34" i="4"/>
  <c r="K34" i="4" s="1"/>
  <c r="I30" i="4"/>
  <c r="K30" i="4" s="1"/>
  <c r="I46" i="4"/>
  <c r="K46" i="4" s="1"/>
  <c r="I28" i="4"/>
  <c r="K28" i="4" s="1"/>
  <c r="I29" i="4"/>
  <c r="K29" i="4" s="1"/>
  <c r="I37" i="4"/>
  <c r="K37" i="4" s="1"/>
  <c r="S28" i="4" l="1"/>
  <c r="T28" i="4" s="1"/>
  <c r="T48" i="4" s="1"/>
  <c r="U28" i="4"/>
  <c r="U48" i="4" s="1"/>
  <c r="B24" i="4" s="1"/>
  <c r="B21" i="4"/>
  <c r="F55" i="4"/>
  <c r="S48" i="4"/>
  <c r="K48" i="4"/>
  <c r="K49" i="4" s="1"/>
  <c r="B25" i="4" l="1"/>
  <c r="E55" i="4"/>
  <c r="D55" i="4"/>
  <c r="B18" i="4"/>
  <c r="C55" i="4"/>
</calcChain>
</file>

<file path=xl/sharedStrings.xml><?xml version="1.0" encoding="utf-8"?>
<sst xmlns="http://schemas.openxmlformats.org/spreadsheetml/2006/main" count="86" uniqueCount="53">
  <si>
    <t>Average loan amount</t>
  </si>
  <si>
    <t>Provision charged on disbursement day</t>
  </si>
  <si>
    <t>Global loss</t>
  </si>
  <si>
    <t>Score bands</t>
  </si>
  <si>
    <t>Number of applications</t>
  </si>
  <si>
    <t>Observed default12 ratio (bad rate)</t>
  </si>
  <si>
    <t>a</t>
  </si>
  <si>
    <t>b</t>
  </si>
  <si>
    <t>Goods</t>
  </si>
  <si>
    <t>LGD (Loss Given Default)</t>
  </si>
  <si>
    <t>Z</t>
  </si>
  <si>
    <t>cum good(%)</t>
  </si>
  <si>
    <t>Gini global</t>
  </si>
  <si>
    <t>Gini</t>
  </si>
  <si>
    <t>PLN</t>
  </si>
  <si>
    <t>FTE cost</t>
  </si>
  <si>
    <t>Number of collection entrances / accounts</t>
  </si>
  <si>
    <t>High strategy cost per account</t>
  </si>
  <si>
    <t>Low strategy cost per account</t>
  </si>
  <si>
    <t>Number of accounts connected by operator / per months</t>
  </si>
  <si>
    <t>Full staff cost</t>
  </si>
  <si>
    <t>Automatic dialler or sms cost / per account</t>
  </si>
  <si>
    <t>Telephone connection cost / per account</t>
  </si>
  <si>
    <t>Operator cost / per account</t>
  </si>
  <si>
    <t>High strategy risk improvement</t>
  </si>
  <si>
    <t>Low strategy risk improvement</t>
  </si>
  <si>
    <t>Global risk in collection (default24)</t>
  </si>
  <si>
    <t>High strategy collection fee / per account</t>
  </si>
  <si>
    <t>Low strategy collection fee / per account</t>
  </si>
  <si>
    <t>High strategy flag</t>
  </si>
  <si>
    <t>Low strategy flag</t>
  </si>
  <si>
    <t>Risk improvement</t>
  </si>
  <si>
    <t>Loss</t>
  </si>
  <si>
    <t>Final loss</t>
  </si>
  <si>
    <t>Loss improvement</t>
  </si>
  <si>
    <t>Fees</t>
  </si>
  <si>
    <t>Bads</t>
  </si>
  <si>
    <t>Costs</t>
  </si>
  <si>
    <t>Income</t>
  </si>
  <si>
    <t>Collection profit</t>
  </si>
  <si>
    <t>Total profit</t>
  </si>
  <si>
    <t>Loss profit</t>
  </si>
  <si>
    <t>High</t>
  </si>
  <si>
    <t>Low</t>
  </si>
  <si>
    <t>of Gini</t>
  </si>
  <si>
    <t>Cum bads(%)</t>
  </si>
  <si>
    <t>Goods+</t>
  </si>
  <si>
    <t>Bads-</t>
  </si>
  <si>
    <t>Sum bads</t>
  </si>
  <si>
    <t>Sum Z</t>
  </si>
  <si>
    <t xml:space="preserve">Gini </t>
  </si>
  <si>
    <t>Sum goods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</si>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</sst>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2" fillId="4" borderId="0" xfId="1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0" fillId="2" borderId="2" xfId="0" applyNumberFormat="1" applyFill="1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 wrapText="1"/>
    </xf>
    <xf numFmtId="10" fontId="0" fillId="3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2" borderId="2" xfId="0" applyNumberFormat="1" applyFill="1" applyBorder="1" applyAlignment="1">
      <alignment vertical="center" wrapText="1"/>
    </xf>
    <xf numFmtId="165" fontId="0" fillId="2" borderId="2" xfId="0" applyNumberForma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0" fontId="1" fillId="0" borderId="0" xfId="1" applyNumberFormat="1" applyFont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Bad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Analysis!$A$28:$A$47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Analysis!$C$28:$C$47</c:f>
              <c:numCache>
                <c:formatCode>0.00%</c:formatCode>
                <c:ptCount val="20"/>
                <c:pt idx="0">
                  <c:v>1.1963652127062747</c:v>
                </c:pt>
                <c:pt idx="1">
                  <c:v>1.1445049873731803</c:v>
                </c:pt>
                <c:pt idx="2">
                  <c:v>1.0891028360501203</c:v>
                </c:pt>
                <c:pt idx="3">
                  <c:v>1.0305605636613901</c:v>
                </c:pt>
                <c:pt idx="4">
                  <c:v>0.96941068408597098</c:v>
                </c:pt>
                <c:pt idx="5">
                  <c:v>0.90630294856327787</c:v>
                </c:pt>
                <c:pt idx="6">
                  <c:v>0.84198031050607058</c:v>
                </c:pt>
                <c:pt idx="7">
                  <c:v>0.77724578796384913</c:v>
                </c:pt>
                <c:pt idx="8">
                  <c:v>0.71292314990664185</c:v>
                </c:pt>
                <c:pt idx="9">
                  <c:v>0.64981541438394863</c:v>
                </c:pt>
                <c:pt idx="10">
                  <c:v>0.58866553480852957</c:v>
                </c:pt>
                <c:pt idx="11">
                  <c:v>0.53012326241979923</c:v>
                </c:pt>
                <c:pt idx="12">
                  <c:v>0.47472111109673915</c:v>
                </c:pt>
                <c:pt idx="13">
                  <c:v>0.42286088576364467</c:v>
                </c:pt>
                <c:pt idx="14">
                  <c:v>0.37481071170736568</c:v>
                </c:pt>
                <c:pt idx="15">
                  <c:v>0.33071122781778689</c:v>
                </c:pt>
                <c:pt idx="16">
                  <c:v>0.29058877589540949</c:v>
                </c:pt>
                <c:pt idx="17">
                  <c:v>0.25437308317069429</c:v>
                </c:pt>
                <c:pt idx="18">
                  <c:v>0.221917029767221</c:v>
                </c:pt>
                <c:pt idx="19">
                  <c:v>0.19301648235208746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3206272"/>
        <c:axId val="103208448"/>
      </c:lineChart>
      <c:catAx>
        <c:axId val="1032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08448"/>
        <c:crosses val="autoZero"/>
        <c:auto val="1"/>
        <c:lblAlgn val="ctr"/>
        <c:lblOffset val="100"/>
        <c:noMultiLvlLbl val="0"/>
      </c:catAx>
      <c:valAx>
        <c:axId val="10320844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0320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Total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Analysis!$E$56:$E$70</c:f>
              <c:numCache>
                <c:formatCode>#,##0</c:formatCode>
                <c:ptCount val="15"/>
                <c:pt idx="0">
                  <c:v>22765042.275292546</c:v>
                </c:pt>
                <c:pt idx="1">
                  <c:v>22646270.382109504</c:v>
                </c:pt>
                <c:pt idx="2">
                  <c:v>22526953.570457473</c:v>
                </c:pt>
                <c:pt idx="3">
                  <c:v>22287689.753419742</c:v>
                </c:pt>
                <c:pt idx="4">
                  <c:v>22168270.566543236</c:v>
                </c:pt>
                <c:pt idx="5">
                  <c:v>22049358.584757328</c:v>
                </c:pt>
                <c:pt idx="6">
                  <c:v>21814183.514786221</c:v>
                </c:pt>
                <c:pt idx="7">
                  <c:v>21744585.693323709</c:v>
                </c:pt>
                <c:pt idx="8">
                  <c:v>21698488.663382776</c:v>
                </c:pt>
                <c:pt idx="9">
                  <c:v>21584432.20344647</c:v>
                </c:pt>
                <c:pt idx="10">
                  <c:v>21362332.577199146</c:v>
                </c:pt>
                <c:pt idx="11">
                  <c:v>21254815.097828947</c:v>
                </c:pt>
                <c:pt idx="12">
                  <c:v>20761720.687125675</c:v>
                </c:pt>
                <c:pt idx="13">
                  <c:v>20588582.146126032</c:v>
                </c:pt>
                <c:pt idx="14">
                  <c:v>20430630.322310138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8880"/>
        <c:axId val="103500800"/>
      </c:scatterChart>
      <c:valAx>
        <c:axId val="103498880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03500800"/>
        <c:crosses val="autoZero"/>
        <c:crossBetween val="midCat"/>
      </c:valAx>
      <c:valAx>
        <c:axId val="1035008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349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Loss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Analysis!$F$56:$F$70</c:f>
              <c:numCache>
                <c:formatCode>#,##0</c:formatCode>
                <c:ptCount val="15"/>
                <c:pt idx="0">
                  <c:v>23434122.48996076</c:v>
                </c:pt>
                <c:pt idx="1">
                  <c:v>23312779.276297715</c:v>
                </c:pt>
                <c:pt idx="2">
                  <c:v>23190879.347098365</c:v>
                </c:pt>
                <c:pt idx="3">
                  <c:v>22946435.651754543</c:v>
                </c:pt>
                <c:pt idx="4">
                  <c:v>22824431.130985547</c:v>
                </c:pt>
                <c:pt idx="5">
                  <c:v>22702944.795908727</c:v>
                </c:pt>
                <c:pt idx="6">
                  <c:v>22462678.365872573</c:v>
                </c:pt>
                <c:pt idx="7">
                  <c:v>22391573.804903813</c:v>
                </c:pt>
                <c:pt idx="8">
                  <c:v>22344478.80958591</c:v>
                </c:pt>
                <c:pt idx="9">
                  <c:v>22227953.114686254</c:v>
                </c:pt>
                <c:pt idx="10">
                  <c:v>22001045.201711614</c:v>
                </c:pt>
                <c:pt idx="11">
                  <c:v>21891200.051296912</c:v>
                </c:pt>
                <c:pt idx="12">
                  <c:v>21387430.524429053</c:v>
                </c:pt>
                <c:pt idx="13">
                  <c:v>21210543.666681916</c:v>
                </c:pt>
                <c:pt idx="14">
                  <c:v>21049172.306908924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4992"/>
        <c:axId val="103535360"/>
      </c:scatterChart>
      <c:valAx>
        <c:axId val="103524992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03535360"/>
        <c:crosses val="autoZero"/>
        <c:crossBetween val="midCat"/>
      </c:valAx>
      <c:valAx>
        <c:axId val="10353536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352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Collection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Analysis!$D$56:$D$70</c:f>
              <c:numCache>
                <c:formatCode>#,##0</c:formatCode>
                <c:ptCount val="15"/>
                <c:pt idx="0">
                  <c:v>-669080.21466821607</c:v>
                </c:pt>
                <c:pt idx="1">
                  <c:v>-666508.89418821363</c:v>
                </c:pt>
                <c:pt idx="2">
                  <c:v>-663925.77664089389</c:v>
                </c:pt>
                <c:pt idx="3">
                  <c:v>-658745.89833479852</c:v>
                </c:pt>
                <c:pt idx="4">
                  <c:v>-656160.56444231281</c:v>
                </c:pt>
                <c:pt idx="5">
                  <c:v>-653586.21115139942</c:v>
                </c:pt>
                <c:pt idx="6">
                  <c:v>-648494.85108634748</c:v>
                </c:pt>
                <c:pt idx="7">
                  <c:v>-646988.11158010457</c:v>
                </c:pt>
                <c:pt idx="8">
                  <c:v>-645990.14620313025</c:v>
                </c:pt>
                <c:pt idx="9">
                  <c:v>-643520.91123978002</c:v>
                </c:pt>
                <c:pt idx="10">
                  <c:v>-638712.62451246043</c:v>
                </c:pt>
                <c:pt idx="11">
                  <c:v>-636384.95346795826</c:v>
                </c:pt>
                <c:pt idx="12">
                  <c:v>-625709.83730337769</c:v>
                </c:pt>
                <c:pt idx="13">
                  <c:v>-621961.52055587852</c:v>
                </c:pt>
                <c:pt idx="14">
                  <c:v>-618541.98459878436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4144"/>
        <c:axId val="104696064"/>
      </c:scatterChart>
      <c:valAx>
        <c:axId val="104694144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04696064"/>
        <c:crosses val="autoZero"/>
        <c:crossBetween val="midCat"/>
      </c:valAx>
      <c:valAx>
        <c:axId val="104696064"/>
        <c:scaling>
          <c:orientation val="minMax"/>
          <c:max val="-740000"/>
          <c:min val="-10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469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102577</xdr:colOff>
      <xdr:row>0</xdr:row>
      <xdr:rowOff>51288</xdr:rowOff>
    </xdr:from>
    <xdr:to>
      <xdr:col>7</xdr:col>
      <xdr:colOff>549519</xdr:colOff>
      <xdr:row>21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8</xdr:col>
      <xdr:colOff>0</xdr:colOff>
      <xdr:row>87</xdr:row>
      <xdr:rowOff>146539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105</xdr:row>
      <xdr:rowOff>146539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8</xdr:col>
      <xdr:colOff>0</xdr:colOff>
      <xdr:row>123</xdr:row>
      <xdr:rowOff>146539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zoomScaleNormal="100" workbookViewId="0"/>
  </sheetViews>
  <sheetFormatPr defaultRowHeight="12.75" x14ac:dyDescent="0.2"/>
  <cols>
    <col min="1" max="1" width="48.85546875" style="1" customWidth="1"/>
    <col min="2" max="2" width="12.140625" style="1" customWidth="1"/>
    <col min="3" max="3" width="12" style="1" customWidth="1"/>
    <col min="4" max="4" width="10.28515625" style="1" bestFit="1" customWidth="1"/>
    <col min="5" max="5" width="12.28515625" style="1" customWidth="1"/>
    <col min="6" max="6" width="15" style="1" bestFit="1" customWidth="1"/>
    <col min="7" max="7" width="13.5703125" style="1" customWidth="1"/>
    <col min="8" max="8" width="10.7109375" style="1" customWidth="1"/>
    <col min="9" max="9" width="10.140625" style="1" bestFit="1" customWidth="1"/>
    <col min="10" max="10" width="11.5703125" style="1" bestFit="1" customWidth="1"/>
    <col min="11" max="11" width="11.28515625" style="1" customWidth="1"/>
    <col min="12" max="12" width="14.85546875" style="1" customWidth="1"/>
    <col min="13" max="13" width="9.140625" style="1"/>
    <col min="14" max="14" width="11.28515625" style="1" customWidth="1"/>
    <col min="15" max="15" width="12.28515625" style="1" customWidth="1"/>
    <col min="16" max="16" width="14.28515625" style="1" customWidth="1"/>
    <col min="17" max="17" width="8" style="1" bestFit="1" customWidth="1"/>
    <col min="18" max="18" width="9.42578125" style="1" customWidth="1"/>
    <col min="19" max="19" width="9.42578125" style="1" bestFit="1" customWidth="1"/>
    <col min="20" max="20" width="10.28515625" style="1" bestFit="1" customWidth="1"/>
    <col min="21" max="21" width="14.7109375" style="1" bestFit="1" customWidth="1"/>
    <col min="22" max="22" width="10" style="1" bestFit="1" customWidth="1"/>
    <col min="23" max="23" width="12.5703125" style="1" bestFit="1" customWidth="1"/>
    <col min="24" max="24" width="13.42578125" style="1" customWidth="1"/>
    <col min="25" max="26" width="11.5703125" style="1" bestFit="1" customWidth="1"/>
    <col min="27" max="27" width="10.140625" style="1" customWidth="1"/>
    <col min="28" max="28" width="11.140625" style="1" bestFit="1" customWidth="1"/>
    <col min="29" max="29" width="11.5703125" style="1" bestFit="1" customWidth="1"/>
    <col min="30" max="30" width="12.7109375" style="1" customWidth="1"/>
    <col min="31" max="33" width="9.140625" style="1"/>
    <col min="34" max="35" width="11.5703125" style="1" bestFit="1" customWidth="1"/>
    <col min="36" max="16384" width="9.140625" style="1"/>
  </cols>
  <sheetData>
    <row r="1" spans="1:2" x14ac:dyDescent="0.2">
      <c r="A1" s="11" t="s">
        <v>16</v>
      </c>
      <c r="B1" s="12">
        <v>100000</v>
      </c>
    </row>
    <row r="2" spans="1:2" x14ac:dyDescent="0.2">
      <c r="A2" s="11" t="s">
        <v>0</v>
      </c>
      <c r="B2" s="12">
        <v>7000</v>
      </c>
    </row>
    <row r="3" spans="1:2" x14ac:dyDescent="0.2">
      <c r="A3" s="11" t="s">
        <v>17</v>
      </c>
      <c r="B3" s="12">
        <f>B12+B13</f>
        <v>12</v>
      </c>
    </row>
    <row r="4" spans="1:2" x14ac:dyDescent="0.2">
      <c r="A4" s="11" t="s">
        <v>18</v>
      </c>
      <c r="B4" s="12">
        <v>3</v>
      </c>
    </row>
    <row r="5" spans="1:2" x14ac:dyDescent="0.2">
      <c r="A5" s="11" t="s">
        <v>24</v>
      </c>
      <c r="B5" s="32">
        <v>0.9</v>
      </c>
    </row>
    <row r="6" spans="1:2" x14ac:dyDescent="0.2">
      <c r="A6" s="11" t="s">
        <v>25</v>
      </c>
      <c r="B6" s="32">
        <v>0.95</v>
      </c>
    </row>
    <row r="7" spans="1:2" x14ac:dyDescent="0.2">
      <c r="A7" s="11" t="s">
        <v>27</v>
      </c>
      <c r="B7" s="12">
        <v>6</v>
      </c>
    </row>
    <row r="8" spans="1:2" x14ac:dyDescent="0.2">
      <c r="A8" s="11" t="s">
        <v>28</v>
      </c>
      <c r="B8" s="12">
        <v>1</v>
      </c>
    </row>
    <row r="9" spans="1:2" x14ac:dyDescent="0.2">
      <c r="A9" s="11" t="s">
        <v>19</v>
      </c>
      <c r="B9" s="12">
        <v>2000</v>
      </c>
    </row>
    <row r="10" spans="1:2" x14ac:dyDescent="0.2">
      <c r="A10" s="11" t="s">
        <v>15</v>
      </c>
      <c r="B10" s="12">
        <v>8000</v>
      </c>
    </row>
    <row r="11" spans="1:2" x14ac:dyDescent="0.2">
      <c r="A11" s="11" t="s">
        <v>20</v>
      </c>
      <c r="B11" s="16">
        <f>B10*B1/B9</f>
        <v>400000</v>
      </c>
    </row>
    <row r="12" spans="1:2" x14ac:dyDescent="0.2">
      <c r="A12" s="11" t="s">
        <v>23</v>
      </c>
      <c r="B12" s="16">
        <f>B10/B9</f>
        <v>4</v>
      </c>
    </row>
    <row r="13" spans="1:2" x14ac:dyDescent="0.2">
      <c r="A13" s="11" t="s">
        <v>22</v>
      </c>
      <c r="B13" s="12">
        <v>8</v>
      </c>
    </row>
    <row r="14" spans="1:2" x14ac:dyDescent="0.2">
      <c r="A14" s="11" t="s">
        <v>21</v>
      </c>
      <c r="B14" s="12">
        <v>2</v>
      </c>
    </row>
    <row r="15" spans="1:2" x14ac:dyDescent="0.2">
      <c r="A15" s="11" t="s">
        <v>9</v>
      </c>
      <c r="B15" s="14">
        <v>0.6</v>
      </c>
    </row>
    <row r="16" spans="1:2" x14ac:dyDescent="0.2">
      <c r="A16" s="11" t="s">
        <v>1</v>
      </c>
      <c r="B16" s="31">
        <v>5.0000000000000001E-3</v>
      </c>
    </row>
    <row r="17" spans="1:37" x14ac:dyDescent="0.2">
      <c r="A17" s="11" t="s">
        <v>26</v>
      </c>
      <c r="B17" s="14">
        <v>0.65</v>
      </c>
    </row>
    <row r="18" spans="1:37" x14ac:dyDescent="0.2">
      <c r="A18" s="11" t="s">
        <v>12</v>
      </c>
      <c r="B18" s="15">
        <f>K49</f>
        <v>0.81047619494946965</v>
      </c>
    </row>
    <row r="19" spans="1:37" x14ac:dyDescent="0.2">
      <c r="A19" s="11" t="s">
        <v>2</v>
      </c>
      <c r="B19" s="16">
        <f>B17*B15*B1*B2</f>
        <v>273000000</v>
      </c>
    </row>
    <row r="20" spans="1:37" x14ac:dyDescent="0.2">
      <c r="A20" s="11" t="s">
        <v>33</v>
      </c>
      <c r="B20" s="16">
        <f>P48</f>
        <v>249565877.51003927</v>
      </c>
    </row>
    <row r="21" spans="1:37" x14ac:dyDescent="0.2">
      <c r="A21" s="11" t="s">
        <v>41</v>
      </c>
      <c r="B21" s="16">
        <f>V48</f>
        <v>23434122.48996076</v>
      </c>
    </row>
    <row r="22" spans="1:37" x14ac:dyDescent="0.2">
      <c r="A22" s="11" t="s">
        <v>35</v>
      </c>
      <c r="B22" s="16">
        <f>Q48</f>
        <v>80919.785331783874</v>
      </c>
    </row>
    <row r="23" spans="1:37" x14ac:dyDescent="0.2">
      <c r="A23" s="11" t="s">
        <v>37</v>
      </c>
      <c r="B23" s="16">
        <f>R48</f>
        <v>750000</v>
      </c>
    </row>
    <row r="24" spans="1:37" x14ac:dyDescent="0.2">
      <c r="A24" s="11" t="s">
        <v>39</v>
      </c>
      <c r="B24" s="16">
        <f>U48</f>
        <v>-669080.21466821607</v>
      </c>
    </row>
    <row r="25" spans="1:37" x14ac:dyDescent="0.2">
      <c r="A25" s="11" t="s">
        <v>40</v>
      </c>
      <c r="B25" s="16">
        <f>T48</f>
        <v>22765042.275292546</v>
      </c>
      <c r="D25" s="1">
        <v>0</v>
      </c>
      <c r="O25" s="2"/>
    </row>
    <row r="26" spans="1:37" x14ac:dyDescent="0.2">
      <c r="X26" s="45" t="s">
        <v>42</v>
      </c>
      <c r="Y26" s="46"/>
      <c r="Z26" s="46"/>
      <c r="AA26" s="46"/>
      <c r="AB26" s="47"/>
      <c r="AD26" s="45" t="s">
        <v>43</v>
      </c>
      <c r="AE26" s="46"/>
      <c r="AF26" s="46"/>
      <c r="AG26" s="46"/>
      <c r="AH26" s="47"/>
    </row>
    <row r="27" spans="1:37" ht="51" x14ac:dyDescent="0.2">
      <c r="A27" s="1" t="s">
        <v>3</v>
      </c>
      <c r="B27" s="1" t="s">
        <v>4</v>
      </c>
      <c r="C27" s="1" t="s">
        <v>5</v>
      </c>
      <c r="D27" s="1" t="s">
        <v>29</v>
      </c>
      <c r="E27" s="1" t="s">
        <v>30</v>
      </c>
      <c r="F27" s="1" t="s">
        <v>31</v>
      </c>
      <c r="G27" s="1" t="s">
        <v>36</v>
      </c>
      <c r="H27" s="33" t="s">
        <v>45</v>
      </c>
      <c r="I27" s="33" t="s">
        <v>46</v>
      </c>
      <c r="J27" s="33" t="s">
        <v>47</v>
      </c>
      <c r="K27" s="2" t="s">
        <v>10</v>
      </c>
      <c r="M27" s="1" t="s">
        <v>8</v>
      </c>
      <c r="N27" s="2" t="s">
        <v>11</v>
      </c>
      <c r="O27" s="1" t="s">
        <v>32</v>
      </c>
      <c r="P27" s="33" t="s">
        <v>34</v>
      </c>
      <c r="Q27" s="33" t="s">
        <v>35</v>
      </c>
      <c r="R27" s="33" t="s">
        <v>37</v>
      </c>
      <c r="S27" s="33" t="s">
        <v>38</v>
      </c>
      <c r="T27" s="33" t="s">
        <v>40</v>
      </c>
      <c r="U27" s="33" t="s">
        <v>39</v>
      </c>
      <c r="V27" s="1" t="s">
        <v>41</v>
      </c>
      <c r="W27" s="2"/>
      <c r="X27" s="34" t="s">
        <v>34</v>
      </c>
      <c r="Y27" s="35" t="s">
        <v>35</v>
      </c>
      <c r="Z27" s="35" t="s">
        <v>37</v>
      </c>
      <c r="AA27" s="35" t="s">
        <v>38</v>
      </c>
      <c r="AB27" s="36" t="s">
        <v>40</v>
      </c>
      <c r="AC27" s="2"/>
      <c r="AD27" s="34" t="s">
        <v>34</v>
      </c>
      <c r="AE27" s="35" t="s">
        <v>35</v>
      </c>
      <c r="AF27" s="35" t="s">
        <v>37</v>
      </c>
      <c r="AG27" s="35" t="s">
        <v>38</v>
      </c>
      <c r="AH27" s="36" t="s">
        <v>40</v>
      </c>
      <c r="AI27" s="2"/>
      <c r="AK27" s="1" t="s">
        <v>5</v>
      </c>
    </row>
    <row r="28" spans="1:37" x14ac:dyDescent="0.2">
      <c r="A28" s="1">
        <v>1</v>
      </c>
      <c r="B28" s="6">
        <f>$B$1/20</f>
        <v>5000</v>
      </c>
      <c r="C28" s="7">
        <f>MIN(AK28*$B$17/$AK$48,10)</f>
        <v>1.1963652127062747</v>
      </c>
      <c r="D28" s="24">
        <v>1</v>
      </c>
      <c r="E28" s="4">
        <f>1-D28</f>
        <v>0</v>
      </c>
      <c r="F28" s="3">
        <f>C28*(D28*$B$5+E28*$B$6)</f>
        <v>1.0767286914356473</v>
      </c>
      <c r="G28" s="4">
        <f t="shared" ref="G28:G47" si="0">B28*C28</f>
        <v>5981.8260635313736</v>
      </c>
      <c r="H28" s="3">
        <f>G28/G49</f>
        <v>9.2028093285098062E-2</v>
      </c>
      <c r="I28" s="3">
        <f>N28</f>
        <v>-2.8052173243753538E-2</v>
      </c>
      <c r="J28" s="3">
        <f>H28</f>
        <v>9.2028093285098062E-2</v>
      </c>
      <c r="K28" s="3">
        <f>I28*J28</f>
        <v>-2.5815880161258824E-3</v>
      </c>
      <c r="M28" s="4">
        <f t="shared" ref="M28:M47" si="1">B28-G28</f>
        <v>-981.82606353137362</v>
      </c>
      <c r="N28" s="3">
        <f>M28/M48</f>
        <v>-2.8052173243753538E-2</v>
      </c>
      <c r="O28" s="4">
        <f t="shared" ref="O28:O47" si="2">B28*C28*$B$2*$B$15</f>
        <v>25123669.466831766</v>
      </c>
      <c r="P28" s="4">
        <f>O28*(D28*$B$5+E28*$B$6)</f>
        <v>22611302.52014859</v>
      </c>
      <c r="Q28" s="4">
        <f>(1-F28)*B28*(D28*$B$7+E28*$B$8)</f>
        <v>-2301.8607430694192</v>
      </c>
      <c r="R28" s="4">
        <f>B28*(D28*$B$3+E28*$B$4)</f>
        <v>60000</v>
      </c>
      <c r="S28" s="4">
        <f>Q28+O28-P28</f>
        <v>2510065.0859401077</v>
      </c>
      <c r="T28" s="4">
        <f>S28-R28</f>
        <v>2450065.0859401077</v>
      </c>
      <c r="U28" s="4">
        <f>Q28-R28</f>
        <v>-62301.860743069417</v>
      </c>
      <c r="V28" s="4">
        <f>O28-P28</f>
        <v>2512366.9466831759</v>
      </c>
      <c r="W28" s="18"/>
      <c r="X28" s="37">
        <f>O28*$B$5</f>
        <v>22611302.52014859</v>
      </c>
      <c r="Y28" s="38">
        <f>(1-C28*$B$5)*B28*$B$7</f>
        <v>-2301.8607430694192</v>
      </c>
      <c r="Z28" s="38">
        <f>B28*$B$3</f>
        <v>60000</v>
      </c>
      <c r="AA28" s="38">
        <f>Y28+O28-X28</f>
        <v>2510065.0859401077</v>
      </c>
      <c r="AB28" s="39">
        <f>AA28-Z28</f>
        <v>2450065.0859401077</v>
      </c>
      <c r="AC28" s="18"/>
      <c r="AD28" s="37">
        <f>O28*$B$6</f>
        <v>23867485.993490178</v>
      </c>
      <c r="AE28" s="38">
        <f>(1-C28*$B$6)*B28*$B$8</f>
        <v>-682.73476035480508</v>
      </c>
      <c r="AF28" s="38">
        <f>B28*$B$4</f>
        <v>15000</v>
      </c>
      <c r="AG28" s="38">
        <f t="shared" ref="AG28:AG46" si="3">AE28+O28-AD28</f>
        <v>1255500.7385812327</v>
      </c>
      <c r="AH28" s="39">
        <f>AG28-AF28</f>
        <v>1240500.7385812327</v>
      </c>
      <c r="AI28" s="18"/>
      <c r="AK28" s="7">
        <f>1/(1+EXP(-($D$50*A28+$D$51)))</f>
        <v>0.73885000608424889</v>
      </c>
    </row>
    <row r="29" spans="1:37" x14ac:dyDescent="0.2">
      <c r="A29" s="1">
        <v>2</v>
      </c>
      <c r="B29" s="6">
        <f t="shared" ref="B29:B47" si="4">$B$1/20</f>
        <v>5000</v>
      </c>
      <c r="C29" s="7">
        <f t="shared" ref="C29:C47" si="5">MIN(AK29*$B$17/$AK$48,10)</f>
        <v>1.1445049873731803</v>
      </c>
      <c r="D29" s="24">
        <v>1</v>
      </c>
      <c r="E29" s="4">
        <f t="shared" ref="E29:E47" si="6">1-D29</f>
        <v>0</v>
      </c>
      <c r="F29" s="3">
        <f t="shared" ref="F29:F47" si="7">C29*(D29*$B$5+E29*$B$6)</f>
        <v>1.0300544886358622</v>
      </c>
      <c r="G29" s="4">
        <f t="shared" si="0"/>
        <v>5722.5249368659015</v>
      </c>
      <c r="H29" s="3">
        <f>SUM(G28:G29)/G49</f>
        <v>0.1800669384676504</v>
      </c>
      <c r="I29" s="3">
        <f>N28+N29</f>
        <v>-7.6747916112247128E-2</v>
      </c>
      <c r="J29" s="3">
        <f>H29-H28</f>
        <v>8.8038845182552339E-2</v>
      </c>
      <c r="K29" s="3">
        <f t="shared" ref="K29:K47" si="8">I29*J29</f>
        <v>-6.7567979046896393E-3</v>
      </c>
      <c r="M29" s="4">
        <f t="shared" si="1"/>
        <v>-722.52493686590151</v>
      </c>
      <c r="N29" s="3">
        <f>(M29+M28)/M48</f>
        <v>-4.8695742868493583E-2</v>
      </c>
      <c r="O29" s="4">
        <f t="shared" si="2"/>
        <v>24034604.734836783</v>
      </c>
      <c r="P29" s="4">
        <f t="shared" ref="P29:P47" si="9">O29*(D29*$B$5+E29*$B$6)</f>
        <v>21631144.261353105</v>
      </c>
      <c r="Q29" s="4">
        <f t="shared" ref="Q29:Q47" si="10">(1-F29)*B29*(D29*$B$7+E29*$B$8)</f>
        <v>-901.63465907586726</v>
      </c>
      <c r="R29" s="4">
        <f t="shared" ref="R29:R47" si="11">B29*(D29*$B$3+E29*$B$4)</f>
        <v>60000</v>
      </c>
      <c r="S29" s="4">
        <f t="shared" ref="S29:S47" si="12">Q29+O29-P29</f>
        <v>2402558.8388246037</v>
      </c>
      <c r="T29" s="4">
        <f t="shared" ref="T29:T47" si="13">S29-R29</f>
        <v>2342558.8388246037</v>
      </c>
      <c r="U29" s="4">
        <f t="shared" ref="U29:U47" si="14">Q29-R29</f>
        <v>-60901.634659075869</v>
      </c>
      <c r="V29" s="4">
        <f t="shared" ref="V29:V47" si="15">O29-P29</f>
        <v>2403460.473483678</v>
      </c>
      <c r="W29" s="18"/>
      <c r="X29" s="37">
        <f t="shared" ref="X29:X47" si="16">O29*$B$5</f>
        <v>21631144.261353105</v>
      </c>
      <c r="Y29" s="38">
        <f t="shared" ref="Y29:Y47" si="17">(1-C29*$B$5)*B29*$B$7</f>
        <v>-901.63465907586726</v>
      </c>
      <c r="Z29" s="38">
        <f t="shared" ref="Z29:Z47" si="18">B29*$B$3</f>
        <v>60000</v>
      </c>
      <c r="AA29" s="38">
        <f t="shared" ref="AA29:AA47" si="19">Y29+O29-X29</f>
        <v>2402558.8388246037</v>
      </c>
      <c r="AB29" s="39">
        <f t="shared" ref="AB29:AB47" si="20">AA29-Z29</f>
        <v>2342558.8388246037</v>
      </c>
      <c r="AC29" s="18"/>
      <c r="AD29" s="37">
        <f t="shared" ref="AD29:AD47" si="21">O29*$B$6</f>
        <v>22832874.498094942</v>
      </c>
      <c r="AE29" s="38">
        <f t="shared" ref="AE29:AE47" si="22">(1-C29*$B$6)*B29*$B$8</f>
        <v>-436.39869002260576</v>
      </c>
      <c r="AF29" s="38">
        <f t="shared" ref="AF29:AF47" si="23">B29*$B$4</f>
        <v>15000</v>
      </c>
      <c r="AG29" s="38">
        <f t="shared" si="3"/>
        <v>1201293.8380518183</v>
      </c>
      <c r="AH29" s="39">
        <f t="shared" ref="AH29:AH47" si="24">AG29-AF29</f>
        <v>1186293.8380518183</v>
      </c>
      <c r="AI29" s="18"/>
      <c r="AK29" s="7">
        <f t="shared" ref="AK29:AK47" si="25">1/(1+EXP(-($D$50*A29+$D$51)))</f>
        <v>0.70682222109356752</v>
      </c>
    </row>
    <row r="30" spans="1:37" x14ac:dyDescent="0.2">
      <c r="A30" s="1">
        <v>3</v>
      </c>
      <c r="B30" s="6">
        <f t="shared" si="4"/>
        <v>5000</v>
      </c>
      <c r="C30" s="7">
        <f t="shared" si="5"/>
        <v>1.0891028360501203</v>
      </c>
      <c r="D30" s="24">
        <v>1</v>
      </c>
      <c r="E30" s="4">
        <f t="shared" si="6"/>
        <v>0</v>
      </c>
      <c r="F30" s="3">
        <f t="shared" si="7"/>
        <v>0.98019255244510828</v>
      </c>
      <c r="G30" s="4">
        <f t="shared" si="0"/>
        <v>5445.5141802506014</v>
      </c>
      <c r="H30" s="3">
        <f>SUM(G28:G30)/G49</f>
        <v>0.26384407970227503</v>
      </c>
      <c r="I30" s="3">
        <f t="shared" ref="I30:I47" si="26">N29+N30</f>
        <v>-0.11012046231557579</v>
      </c>
      <c r="J30" s="3">
        <f t="shared" ref="J30:J47" si="27">H30-H29</f>
        <v>8.3777141234624625E-2</v>
      </c>
      <c r="K30" s="3">
        <f t="shared" si="8"/>
        <v>-9.2255775242341513E-3</v>
      </c>
      <c r="M30" s="4">
        <f t="shared" si="1"/>
        <v>-445.51418025060138</v>
      </c>
      <c r="N30" s="3">
        <f>SUM(M28:M30)/M48</f>
        <v>-6.14247194470822E-2</v>
      </c>
      <c r="O30" s="4">
        <f t="shared" si="2"/>
        <v>22871159.557052523</v>
      </c>
      <c r="P30" s="4">
        <f t="shared" si="9"/>
        <v>20584043.601347271</v>
      </c>
      <c r="Q30" s="4">
        <f t="shared" si="10"/>
        <v>594.22342664675159</v>
      </c>
      <c r="R30" s="4">
        <f t="shared" si="11"/>
        <v>60000</v>
      </c>
      <c r="S30" s="4">
        <f t="shared" si="12"/>
        <v>2287710.179131899</v>
      </c>
      <c r="T30" s="4">
        <f t="shared" si="13"/>
        <v>2227710.179131899</v>
      </c>
      <c r="U30" s="4">
        <f t="shared" si="14"/>
        <v>-59405.776573353251</v>
      </c>
      <c r="V30" s="4">
        <f t="shared" si="15"/>
        <v>2287115.9557052515</v>
      </c>
      <c r="W30" s="18"/>
      <c r="X30" s="37">
        <f t="shared" si="16"/>
        <v>20584043.601347271</v>
      </c>
      <c r="Y30" s="38">
        <f t="shared" si="17"/>
        <v>594.22342664675159</v>
      </c>
      <c r="Z30" s="38">
        <f t="shared" si="18"/>
        <v>60000</v>
      </c>
      <c r="AA30" s="38">
        <f t="shared" si="19"/>
        <v>2287710.179131899</v>
      </c>
      <c r="AB30" s="39">
        <f t="shared" si="20"/>
        <v>2227710.179131899</v>
      </c>
      <c r="AC30" s="18"/>
      <c r="AD30" s="37">
        <f t="shared" si="21"/>
        <v>21727601.579199895</v>
      </c>
      <c r="AE30" s="38">
        <f t="shared" si="22"/>
        <v>-173.23847123807079</v>
      </c>
      <c r="AF30" s="38">
        <f t="shared" si="23"/>
        <v>15000</v>
      </c>
      <c r="AG30" s="38">
        <f t="shared" si="3"/>
        <v>1143384.7393813878</v>
      </c>
      <c r="AH30" s="39">
        <f t="shared" si="24"/>
        <v>1128384.7393813878</v>
      </c>
      <c r="AI30" s="18"/>
      <c r="AK30" s="7">
        <f t="shared" si="25"/>
        <v>0.67260701706776038</v>
      </c>
    </row>
    <row r="31" spans="1:37" x14ac:dyDescent="0.2">
      <c r="A31" s="1">
        <v>4</v>
      </c>
      <c r="B31" s="6">
        <f t="shared" si="4"/>
        <v>5000</v>
      </c>
      <c r="C31" s="7">
        <f t="shared" si="5"/>
        <v>1.0305605636613901</v>
      </c>
      <c r="D31" s="24">
        <v>1</v>
      </c>
      <c r="E31" s="4">
        <f t="shared" si="6"/>
        <v>0</v>
      </c>
      <c r="F31" s="3">
        <f t="shared" si="7"/>
        <v>0.92750450729525113</v>
      </c>
      <c r="G31" s="4">
        <f t="shared" si="0"/>
        <v>5152.8028183069509</v>
      </c>
      <c r="H31" s="3">
        <f>SUM(G28:G31)/G49</f>
        <v>0.34311796921468968</v>
      </c>
      <c r="I31" s="3">
        <f t="shared" si="26"/>
        <v>-0.12721523370293442</v>
      </c>
      <c r="J31" s="3">
        <f t="shared" si="27"/>
        <v>7.9273889512414653E-2</v>
      </c>
      <c r="K31" s="3">
        <f t="shared" si="8"/>
        <v>-1.0084846380862432E-2</v>
      </c>
      <c r="M31" s="4">
        <f t="shared" si="1"/>
        <v>-152.80281830695094</v>
      </c>
      <c r="N31" s="3">
        <f>SUM(M28:M31)/M48</f>
        <v>-6.5790514255852223E-2</v>
      </c>
      <c r="O31" s="4">
        <f t="shared" si="2"/>
        <v>21641771.836889192</v>
      </c>
      <c r="P31" s="4">
        <f t="shared" si="9"/>
        <v>19477594.653200272</v>
      </c>
      <c r="Q31" s="4">
        <f t="shared" si="10"/>
        <v>2174.8647811424662</v>
      </c>
      <c r="R31" s="4">
        <f t="shared" si="11"/>
        <v>60000</v>
      </c>
      <c r="S31" s="4">
        <f t="shared" si="12"/>
        <v>2166352.0484700613</v>
      </c>
      <c r="T31" s="4">
        <f t="shared" si="13"/>
        <v>2106352.0484700613</v>
      </c>
      <c r="U31" s="4">
        <f t="shared" si="14"/>
        <v>-57825.135218857533</v>
      </c>
      <c r="V31" s="4">
        <f t="shared" si="15"/>
        <v>2164177.18368892</v>
      </c>
      <c r="W31" s="18"/>
      <c r="X31" s="37">
        <f t="shared" si="16"/>
        <v>19477594.653200272</v>
      </c>
      <c r="Y31" s="38">
        <f t="shared" si="17"/>
        <v>2174.8647811424662</v>
      </c>
      <c r="Z31" s="38">
        <f t="shared" si="18"/>
        <v>60000</v>
      </c>
      <c r="AA31" s="38">
        <f t="shared" si="19"/>
        <v>2166352.0484700613</v>
      </c>
      <c r="AB31" s="39">
        <f t="shared" si="20"/>
        <v>2106352.0484700613</v>
      </c>
      <c r="AC31" s="18"/>
      <c r="AD31" s="37">
        <f t="shared" si="21"/>
        <v>20559683.245044731</v>
      </c>
      <c r="AE31" s="38">
        <f t="shared" si="22"/>
        <v>104.83732260839706</v>
      </c>
      <c r="AF31" s="38">
        <f t="shared" si="23"/>
        <v>15000</v>
      </c>
      <c r="AG31" s="38">
        <f t="shared" si="3"/>
        <v>1082193.4291670695</v>
      </c>
      <c r="AH31" s="39">
        <f t="shared" si="24"/>
        <v>1067193.4291670695</v>
      </c>
      <c r="AI31" s="18"/>
      <c r="AK31" s="7">
        <f t="shared" si="25"/>
        <v>0.63645254028156639</v>
      </c>
    </row>
    <row r="32" spans="1:37" x14ac:dyDescent="0.2">
      <c r="A32" s="1">
        <v>5</v>
      </c>
      <c r="B32" s="6">
        <f t="shared" si="4"/>
        <v>5000</v>
      </c>
      <c r="C32" s="7">
        <f t="shared" si="5"/>
        <v>0.96941068408597098</v>
      </c>
      <c r="D32" s="24">
        <v>1</v>
      </c>
      <c r="E32" s="4">
        <f t="shared" si="6"/>
        <v>0</v>
      </c>
      <c r="F32" s="3">
        <f t="shared" si="7"/>
        <v>0.87246961567737391</v>
      </c>
      <c r="G32" s="4">
        <f t="shared" si="0"/>
        <v>4847.0534204298547</v>
      </c>
      <c r="H32" s="3">
        <f>SUM(G28:G32)/G49</f>
        <v>0.41768802183668741</v>
      </c>
      <c r="I32" s="3">
        <f t="shared" si="26"/>
        <v>-0.12721112623827172</v>
      </c>
      <c r="J32" s="3">
        <f t="shared" si="27"/>
        <v>7.4570052621997729E-2</v>
      </c>
      <c r="K32" s="3">
        <f t="shared" si="8"/>
        <v>-9.4861403776915175E-3</v>
      </c>
      <c r="M32" s="4">
        <f t="shared" si="1"/>
        <v>152.94657957014533</v>
      </c>
      <c r="N32" s="3">
        <f>SUM(M28:M32)/M48</f>
        <v>-6.14206119824195E-2</v>
      </c>
      <c r="O32" s="4">
        <f t="shared" si="2"/>
        <v>20357624.365805387</v>
      </c>
      <c r="P32" s="4">
        <f t="shared" si="9"/>
        <v>18321861.929224849</v>
      </c>
      <c r="Q32" s="4">
        <f t="shared" si="10"/>
        <v>3825.9115296787822</v>
      </c>
      <c r="R32" s="4">
        <f t="shared" si="11"/>
        <v>60000</v>
      </c>
      <c r="S32" s="4">
        <f t="shared" si="12"/>
        <v>2039588.3481102176</v>
      </c>
      <c r="T32" s="4">
        <f t="shared" si="13"/>
        <v>1979588.3481102176</v>
      </c>
      <c r="U32" s="4">
        <f t="shared" si="14"/>
        <v>-56174.088470321221</v>
      </c>
      <c r="V32" s="4">
        <f t="shared" si="15"/>
        <v>2035762.4365805387</v>
      </c>
      <c r="W32" s="18"/>
      <c r="X32" s="37">
        <f t="shared" si="16"/>
        <v>18321861.929224849</v>
      </c>
      <c r="Y32" s="38">
        <f t="shared" si="17"/>
        <v>3825.9115296787822</v>
      </c>
      <c r="Z32" s="38">
        <f t="shared" si="18"/>
        <v>60000</v>
      </c>
      <c r="AA32" s="38">
        <f t="shared" si="19"/>
        <v>2039588.3481102176</v>
      </c>
      <c r="AB32" s="39">
        <f t="shared" si="20"/>
        <v>1979588.3481102176</v>
      </c>
      <c r="AC32" s="18"/>
      <c r="AD32" s="37">
        <f t="shared" si="21"/>
        <v>19339743.147515118</v>
      </c>
      <c r="AE32" s="38">
        <f t="shared" si="22"/>
        <v>395.29925059163804</v>
      </c>
      <c r="AF32" s="38">
        <f t="shared" si="23"/>
        <v>15000</v>
      </c>
      <c r="AG32" s="38">
        <f t="shared" si="3"/>
        <v>1018276.5175408609</v>
      </c>
      <c r="AH32" s="39">
        <f t="shared" si="24"/>
        <v>1003276.5175408609</v>
      </c>
      <c r="AI32" s="18"/>
      <c r="AK32" s="7">
        <f t="shared" si="25"/>
        <v>0.598687660112452</v>
      </c>
    </row>
    <row r="33" spans="1:37" x14ac:dyDescent="0.2">
      <c r="A33" s="1">
        <v>6</v>
      </c>
      <c r="B33" s="6">
        <f t="shared" si="4"/>
        <v>5000</v>
      </c>
      <c r="C33" s="7">
        <f t="shared" si="5"/>
        <v>0.90630294856327787</v>
      </c>
      <c r="D33" s="24">
        <v>1</v>
      </c>
      <c r="E33" s="4">
        <f t="shared" si="6"/>
        <v>0</v>
      </c>
      <c r="F33" s="3">
        <f t="shared" si="7"/>
        <v>0.81567265370695008</v>
      </c>
      <c r="G33" s="4">
        <f t="shared" si="0"/>
        <v>4531.5147428163891</v>
      </c>
      <c r="H33" s="3">
        <f>SUM(G28:G33)/G49</f>
        <v>0.48740363326463187</v>
      </c>
      <c r="I33" s="3">
        <f t="shared" si="26"/>
        <v>-0.10945593090245012</v>
      </c>
      <c r="J33" s="3">
        <f t="shared" si="27"/>
        <v>6.9715611427944468E-2</v>
      </c>
      <c r="K33" s="3">
        <f t="shared" si="8"/>
        <v>-7.6307871472791515E-3</v>
      </c>
      <c r="M33" s="4">
        <f t="shared" si="1"/>
        <v>468.48525718361088</v>
      </c>
      <c r="N33" s="3">
        <f>SUM(M28:M33)/M48</f>
        <v>-4.8035318920030615E-2</v>
      </c>
      <c r="O33" s="4">
        <f t="shared" si="2"/>
        <v>19032361.919828832</v>
      </c>
      <c r="P33" s="4">
        <f t="shared" si="9"/>
        <v>17129125.727845948</v>
      </c>
      <c r="Q33" s="4">
        <f t="shared" si="10"/>
        <v>5529.820388791497</v>
      </c>
      <c r="R33" s="4">
        <f t="shared" si="11"/>
        <v>60000</v>
      </c>
      <c r="S33" s="4">
        <f t="shared" si="12"/>
        <v>1908766.0123716742</v>
      </c>
      <c r="T33" s="4">
        <f t="shared" si="13"/>
        <v>1848766.0123716742</v>
      </c>
      <c r="U33" s="4">
        <f t="shared" si="14"/>
        <v>-54470.179611208499</v>
      </c>
      <c r="V33" s="4">
        <f t="shared" si="15"/>
        <v>1903236.191982884</v>
      </c>
      <c r="W33" s="18"/>
      <c r="X33" s="37">
        <f t="shared" si="16"/>
        <v>17129125.727845948</v>
      </c>
      <c r="Y33" s="38">
        <f t="shared" si="17"/>
        <v>5529.820388791497</v>
      </c>
      <c r="Z33" s="38">
        <f t="shared" si="18"/>
        <v>60000</v>
      </c>
      <c r="AA33" s="38">
        <f t="shared" si="19"/>
        <v>1908766.0123716742</v>
      </c>
      <c r="AB33" s="39">
        <f t="shared" si="20"/>
        <v>1848766.0123716742</v>
      </c>
      <c r="AC33" s="18"/>
      <c r="AD33" s="37">
        <f t="shared" si="21"/>
        <v>18080743.823837388</v>
      </c>
      <c r="AE33" s="38">
        <f t="shared" si="22"/>
        <v>695.06099432443011</v>
      </c>
      <c r="AF33" s="38">
        <f t="shared" si="23"/>
        <v>15000</v>
      </c>
      <c r="AG33" s="38">
        <f t="shared" si="3"/>
        <v>952313.15698576719</v>
      </c>
      <c r="AH33" s="39">
        <f t="shared" si="24"/>
        <v>937313.15698576719</v>
      </c>
      <c r="AI33" s="18"/>
      <c r="AK33" s="7">
        <f t="shared" si="25"/>
        <v>0.55971364926719291</v>
      </c>
    </row>
    <row r="34" spans="1:37" x14ac:dyDescent="0.2">
      <c r="A34" s="1">
        <v>7</v>
      </c>
      <c r="B34" s="6">
        <f t="shared" si="4"/>
        <v>5000</v>
      </c>
      <c r="C34" s="7">
        <f t="shared" si="5"/>
        <v>0.84198031050607058</v>
      </c>
      <c r="D34" s="24">
        <v>1</v>
      </c>
      <c r="E34" s="4">
        <f t="shared" si="6"/>
        <v>0</v>
      </c>
      <c r="F34" s="3">
        <f t="shared" si="7"/>
        <v>0.7577822794554635</v>
      </c>
      <c r="G34" s="4">
        <f t="shared" si="0"/>
        <v>4209.901552530353</v>
      </c>
      <c r="H34" s="3">
        <f>SUM(G28:G34)/G49</f>
        <v>0.55217134945740654</v>
      </c>
      <c r="I34" s="3">
        <f t="shared" si="26"/>
        <v>-7.34963964837856E-2</v>
      </c>
      <c r="J34" s="3">
        <f t="shared" si="27"/>
        <v>6.476771619277466E-2</v>
      </c>
      <c r="K34" s="3">
        <f t="shared" si="8"/>
        <v>-4.7601937486534676E-3</v>
      </c>
      <c r="M34" s="4">
        <f t="shared" si="1"/>
        <v>790.098447469647</v>
      </c>
      <c r="N34" s="3">
        <f>SUM(M28:M34)/M48</f>
        <v>-2.5461077563754982E-2</v>
      </c>
      <c r="O34" s="4">
        <f t="shared" si="2"/>
        <v>17681586.520627484</v>
      </c>
      <c r="P34" s="4">
        <f t="shared" si="9"/>
        <v>15913427.868564736</v>
      </c>
      <c r="Q34" s="4">
        <f t="shared" si="10"/>
        <v>7266.5316163360949</v>
      </c>
      <c r="R34" s="4">
        <f t="shared" si="11"/>
        <v>60000</v>
      </c>
      <c r="S34" s="4">
        <f t="shared" si="12"/>
        <v>1775425.1836790852</v>
      </c>
      <c r="T34" s="4">
        <f t="shared" si="13"/>
        <v>1715425.1836790852</v>
      </c>
      <c r="U34" s="4">
        <f t="shared" si="14"/>
        <v>-52733.468383663901</v>
      </c>
      <c r="V34" s="4">
        <f t="shared" si="15"/>
        <v>1768158.6520627476</v>
      </c>
      <c r="W34" s="18"/>
      <c r="X34" s="37">
        <f t="shared" si="16"/>
        <v>15913427.868564736</v>
      </c>
      <c r="Y34" s="38">
        <f t="shared" si="17"/>
        <v>7266.5316163360949</v>
      </c>
      <c r="Z34" s="38">
        <f t="shared" si="18"/>
        <v>60000</v>
      </c>
      <c r="AA34" s="38">
        <f t="shared" si="19"/>
        <v>1775425.1836790852</v>
      </c>
      <c r="AB34" s="39">
        <f t="shared" si="20"/>
        <v>1715425.1836790852</v>
      </c>
      <c r="AC34" s="18"/>
      <c r="AD34" s="37">
        <f t="shared" si="21"/>
        <v>16797507.194596108</v>
      </c>
      <c r="AE34" s="38">
        <f t="shared" si="22"/>
        <v>1000.5935250961651</v>
      </c>
      <c r="AF34" s="38">
        <f t="shared" si="23"/>
        <v>15000</v>
      </c>
      <c r="AG34" s="38">
        <f t="shared" si="3"/>
        <v>885079.91955647245</v>
      </c>
      <c r="AH34" s="39">
        <f t="shared" si="24"/>
        <v>870079.91955647245</v>
      </c>
      <c r="AI34" s="18"/>
      <c r="AK34" s="7">
        <f t="shared" si="25"/>
        <v>0.51998934015558174</v>
      </c>
    </row>
    <row r="35" spans="1:37" x14ac:dyDescent="0.2">
      <c r="A35" s="1">
        <v>8</v>
      </c>
      <c r="B35" s="6">
        <f t="shared" si="4"/>
        <v>5000</v>
      </c>
      <c r="C35" s="7">
        <f t="shared" si="5"/>
        <v>0.77724578796384913</v>
      </c>
      <c r="D35" s="24">
        <v>1</v>
      </c>
      <c r="E35" s="4">
        <f t="shared" si="6"/>
        <v>0</v>
      </c>
      <c r="F35" s="3">
        <f t="shared" si="7"/>
        <v>0.69952120916746419</v>
      </c>
      <c r="G35" s="4">
        <f t="shared" si="0"/>
        <v>3886.2289398192456</v>
      </c>
      <c r="H35" s="3">
        <f>SUM(G28:G35)/G49</f>
        <v>0.61195948699308722</v>
      </c>
      <c r="I35" s="3">
        <f t="shared" si="26"/>
        <v>-1.9100124836631264E-2</v>
      </c>
      <c r="J35" s="3">
        <f t="shared" si="27"/>
        <v>5.9788137535680685E-2</v>
      </c>
      <c r="K35" s="3">
        <f t="shared" si="8"/>
        <v>-1.1419608906811805E-3</v>
      </c>
      <c r="M35" s="4">
        <f t="shared" si="1"/>
        <v>1113.7710601807544</v>
      </c>
      <c r="N35" s="3">
        <f>SUM(M28:M35)/M48</f>
        <v>6.3609527271237193E-3</v>
      </c>
      <c r="O35" s="4">
        <f t="shared" si="2"/>
        <v>16322161.547240831</v>
      </c>
      <c r="P35" s="4">
        <f t="shared" si="9"/>
        <v>14689945.392516749</v>
      </c>
      <c r="Q35" s="4">
        <f t="shared" si="10"/>
        <v>9014.3637249760759</v>
      </c>
      <c r="R35" s="4">
        <f t="shared" si="11"/>
        <v>60000</v>
      </c>
      <c r="S35" s="4">
        <f t="shared" si="12"/>
        <v>1641230.5184490588</v>
      </c>
      <c r="T35" s="4">
        <f t="shared" si="13"/>
        <v>1581230.5184490588</v>
      </c>
      <c r="U35" s="4">
        <f t="shared" si="14"/>
        <v>-50985.63627502392</v>
      </c>
      <c r="V35" s="4">
        <f t="shared" si="15"/>
        <v>1632216.154724082</v>
      </c>
      <c r="W35" s="18"/>
      <c r="X35" s="37">
        <f t="shared" si="16"/>
        <v>14689945.392516749</v>
      </c>
      <c r="Y35" s="38">
        <f t="shared" si="17"/>
        <v>9014.3637249760759</v>
      </c>
      <c r="Z35" s="38">
        <f t="shared" si="18"/>
        <v>60000</v>
      </c>
      <c r="AA35" s="38">
        <f t="shared" si="19"/>
        <v>1641230.5184490588</v>
      </c>
      <c r="AB35" s="39">
        <f t="shared" si="20"/>
        <v>1581230.5184490588</v>
      </c>
      <c r="AC35" s="18"/>
      <c r="AD35" s="37">
        <f t="shared" si="21"/>
        <v>15506053.469878789</v>
      </c>
      <c r="AE35" s="38">
        <f t="shared" si="22"/>
        <v>1308.0825071717168</v>
      </c>
      <c r="AF35" s="38">
        <f t="shared" si="23"/>
        <v>15000</v>
      </c>
      <c r="AG35" s="38">
        <f t="shared" si="3"/>
        <v>817416.15986921452</v>
      </c>
      <c r="AH35" s="39">
        <f t="shared" si="24"/>
        <v>802416.15986921452</v>
      </c>
      <c r="AI35" s="18"/>
      <c r="AK35" s="7">
        <f t="shared" si="25"/>
        <v>0.48001065984441826</v>
      </c>
    </row>
    <row r="36" spans="1:37" x14ac:dyDescent="0.2">
      <c r="A36" s="1">
        <v>9</v>
      </c>
      <c r="B36" s="6">
        <f t="shared" si="4"/>
        <v>5000</v>
      </c>
      <c r="C36" s="7">
        <f t="shared" si="5"/>
        <v>0.71292314990664185</v>
      </c>
      <c r="D36" s="24">
        <v>1</v>
      </c>
      <c r="E36" s="4">
        <f t="shared" si="6"/>
        <v>0</v>
      </c>
      <c r="F36" s="3">
        <f t="shared" si="7"/>
        <v>0.64163083491597772</v>
      </c>
      <c r="G36" s="4">
        <f t="shared" si="0"/>
        <v>3564.6157495332091</v>
      </c>
      <c r="H36" s="3">
        <f>SUM(G28:G36)/G49</f>
        <v>0.6667997292935981</v>
      </c>
      <c r="I36" s="3">
        <f t="shared" si="26"/>
        <v>5.3732884039012899E-2</v>
      </c>
      <c r="J36" s="3">
        <f t="shared" si="27"/>
        <v>5.4840242300510877E-2</v>
      </c>
      <c r="K36" s="3">
        <f t="shared" si="8"/>
        <v>2.946724380204721E-3</v>
      </c>
      <c r="M36" s="4">
        <f t="shared" si="1"/>
        <v>1435.3842504667909</v>
      </c>
      <c r="N36" s="3">
        <f>SUM(M28:M36)/M48</f>
        <v>4.737193131188918E-2</v>
      </c>
      <c r="O36" s="4">
        <f t="shared" si="2"/>
        <v>14971386.148039477</v>
      </c>
      <c r="P36" s="4">
        <f t="shared" si="9"/>
        <v>13474247.533235529</v>
      </c>
      <c r="Q36" s="4">
        <f t="shared" si="10"/>
        <v>10751.074952520668</v>
      </c>
      <c r="R36" s="4">
        <f t="shared" si="11"/>
        <v>60000</v>
      </c>
      <c r="S36" s="4">
        <f t="shared" si="12"/>
        <v>1507889.6897564679</v>
      </c>
      <c r="T36" s="4">
        <f t="shared" si="13"/>
        <v>1447889.6897564679</v>
      </c>
      <c r="U36" s="4">
        <f t="shared" si="14"/>
        <v>-49248.92504747933</v>
      </c>
      <c r="V36" s="4">
        <f t="shared" si="15"/>
        <v>1497138.6148039475</v>
      </c>
      <c r="W36" s="18"/>
      <c r="X36" s="37">
        <f t="shared" si="16"/>
        <v>13474247.533235529</v>
      </c>
      <c r="Y36" s="38">
        <f t="shared" si="17"/>
        <v>10751.074952520668</v>
      </c>
      <c r="Z36" s="38">
        <f t="shared" si="18"/>
        <v>60000</v>
      </c>
      <c r="AA36" s="38">
        <f t="shared" si="19"/>
        <v>1507889.6897564679</v>
      </c>
      <c r="AB36" s="39">
        <f t="shared" si="20"/>
        <v>1447889.6897564679</v>
      </c>
      <c r="AC36" s="18"/>
      <c r="AD36" s="37">
        <f t="shared" si="21"/>
        <v>14222816.840637503</v>
      </c>
      <c r="AE36" s="38">
        <f t="shared" si="22"/>
        <v>1613.6150379434516</v>
      </c>
      <c r="AF36" s="38">
        <f t="shared" si="23"/>
        <v>15000</v>
      </c>
      <c r="AG36" s="38">
        <f t="shared" si="3"/>
        <v>750182.92243991792</v>
      </c>
      <c r="AH36" s="39">
        <f t="shared" si="24"/>
        <v>735182.92243991792</v>
      </c>
      <c r="AI36" s="18"/>
      <c r="AK36" s="7">
        <f t="shared" si="25"/>
        <v>0.44028635073280703</v>
      </c>
    </row>
    <row r="37" spans="1:37" x14ac:dyDescent="0.2">
      <c r="A37" s="1">
        <v>10</v>
      </c>
      <c r="B37" s="6">
        <f t="shared" si="4"/>
        <v>5000</v>
      </c>
      <c r="C37" s="7">
        <f t="shared" si="5"/>
        <v>0.64981541438394863</v>
      </c>
      <c r="D37" s="24">
        <v>1</v>
      </c>
      <c r="E37" s="4">
        <f t="shared" si="6"/>
        <v>0</v>
      </c>
      <c r="F37" s="3">
        <f t="shared" si="7"/>
        <v>0.58483387294555378</v>
      </c>
      <c r="G37" s="4">
        <f t="shared" si="0"/>
        <v>3249.077071919743</v>
      </c>
      <c r="H37" s="3">
        <f>SUM(G28:G37)/G49</f>
        <v>0.71678553040005577</v>
      </c>
      <c r="I37" s="3">
        <f t="shared" si="26"/>
        <v>0.1447702319975</v>
      </c>
      <c r="J37" s="3">
        <f t="shared" si="27"/>
        <v>4.9985801106457672E-2</v>
      </c>
      <c r="K37" s="3">
        <f t="shared" si="8"/>
        <v>7.2364560227627696E-3</v>
      </c>
      <c r="M37" s="4">
        <f t="shared" si="1"/>
        <v>1750.922928080257</v>
      </c>
      <c r="N37" s="3">
        <f>SUM(M28:M37)/M48</f>
        <v>9.7398300685610825E-2</v>
      </c>
      <c r="O37" s="4">
        <f t="shared" si="2"/>
        <v>13646123.70206292</v>
      </c>
      <c r="P37" s="4">
        <f t="shared" si="9"/>
        <v>12281511.331856629</v>
      </c>
      <c r="Q37" s="4">
        <f t="shared" si="10"/>
        <v>12454.983811633387</v>
      </c>
      <c r="R37" s="4">
        <f t="shared" si="11"/>
        <v>60000</v>
      </c>
      <c r="S37" s="4">
        <f t="shared" si="12"/>
        <v>1377067.3540179245</v>
      </c>
      <c r="T37" s="4">
        <f t="shared" si="13"/>
        <v>1317067.3540179245</v>
      </c>
      <c r="U37" s="4">
        <f t="shared" si="14"/>
        <v>-47545.016188366615</v>
      </c>
      <c r="V37" s="4">
        <f t="shared" si="15"/>
        <v>1364612.3702062909</v>
      </c>
      <c r="W37" s="18"/>
      <c r="X37" s="37">
        <f t="shared" si="16"/>
        <v>12281511.331856629</v>
      </c>
      <c r="Y37" s="38">
        <f t="shared" si="17"/>
        <v>12454.983811633387</v>
      </c>
      <c r="Z37" s="38">
        <f t="shared" si="18"/>
        <v>60000</v>
      </c>
      <c r="AA37" s="38">
        <f t="shared" si="19"/>
        <v>1377067.3540179245</v>
      </c>
      <c r="AB37" s="39">
        <f t="shared" si="20"/>
        <v>1317067.3540179245</v>
      </c>
      <c r="AC37" s="18"/>
      <c r="AD37" s="37">
        <f t="shared" si="21"/>
        <v>12963817.516959773</v>
      </c>
      <c r="AE37" s="38">
        <f t="shared" si="22"/>
        <v>1913.3767816762443</v>
      </c>
      <c r="AF37" s="38">
        <f t="shared" si="23"/>
        <v>15000</v>
      </c>
      <c r="AG37" s="38">
        <f t="shared" si="3"/>
        <v>684219.56188482232</v>
      </c>
      <c r="AH37" s="39">
        <f t="shared" si="24"/>
        <v>669219.56188482232</v>
      </c>
      <c r="AI37" s="18"/>
      <c r="AK37" s="7">
        <f t="shared" si="25"/>
        <v>0.401312339887548</v>
      </c>
    </row>
    <row r="38" spans="1:37" x14ac:dyDescent="0.2">
      <c r="A38" s="1">
        <v>11</v>
      </c>
      <c r="B38" s="6">
        <f t="shared" si="4"/>
        <v>5000</v>
      </c>
      <c r="C38" s="7">
        <f t="shared" si="5"/>
        <v>0.58866553480852957</v>
      </c>
      <c r="D38" s="24">
        <v>0</v>
      </c>
      <c r="E38" s="4">
        <f t="shared" si="6"/>
        <v>1</v>
      </c>
      <c r="F38" s="3">
        <f t="shared" si="7"/>
        <v>0.55923225806810306</v>
      </c>
      <c r="G38" s="4">
        <f t="shared" si="0"/>
        <v>2943.3276740426477</v>
      </c>
      <c r="H38" s="3">
        <f>SUM(G28:G38)/G49</f>
        <v>0.76206749461609646</v>
      </c>
      <c r="I38" s="3">
        <f t="shared" si="26"/>
        <v>0.25355866782714598</v>
      </c>
      <c r="J38" s="3">
        <f t="shared" si="27"/>
        <v>4.5281964216040693E-2</v>
      </c>
      <c r="K38" s="3">
        <f t="shared" si="8"/>
        <v>1.1481634523215772E-2</v>
      </c>
      <c r="M38" s="4">
        <f t="shared" si="1"/>
        <v>2056.6723259573523</v>
      </c>
      <c r="N38" s="3">
        <f>SUM(M28:M38)/M48</f>
        <v>0.15616036714153517</v>
      </c>
      <c r="O38" s="4">
        <f t="shared" si="2"/>
        <v>12361976.230979118</v>
      </c>
      <c r="P38" s="4">
        <f t="shared" si="9"/>
        <v>11743877.419430163</v>
      </c>
      <c r="Q38" s="4">
        <f t="shared" si="10"/>
        <v>2203.8387096594847</v>
      </c>
      <c r="R38" s="4">
        <f t="shared" si="11"/>
        <v>15000</v>
      </c>
      <c r="S38" s="4">
        <f t="shared" si="12"/>
        <v>620302.65025861561</v>
      </c>
      <c r="T38" s="4">
        <f t="shared" si="13"/>
        <v>605302.65025861561</v>
      </c>
      <c r="U38" s="4">
        <f t="shared" si="14"/>
        <v>-12796.161290340515</v>
      </c>
      <c r="V38" s="4">
        <f t="shared" si="15"/>
        <v>618098.81154895574</v>
      </c>
      <c r="W38" s="18"/>
      <c r="X38" s="37">
        <f t="shared" si="16"/>
        <v>11125778.607881207</v>
      </c>
      <c r="Y38" s="38">
        <f t="shared" si="17"/>
        <v>14106.0305601697</v>
      </c>
      <c r="Z38" s="38">
        <f t="shared" si="18"/>
        <v>60000</v>
      </c>
      <c r="AA38" s="38">
        <f t="shared" si="19"/>
        <v>1250303.6536580808</v>
      </c>
      <c r="AB38" s="39">
        <f t="shared" si="20"/>
        <v>1190303.6536580808</v>
      </c>
      <c r="AC38" s="18"/>
      <c r="AD38" s="37">
        <f t="shared" si="21"/>
        <v>11743877.419430163</v>
      </c>
      <c r="AE38" s="38">
        <f t="shared" si="22"/>
        <v>2203.8387096594847</v>
      </c>
      <c r="AF38" s="38">
        <f t="shared" si="23"/>
        <v>15000</v>
      </c>
      <c r="AG38" s="38">
        <f t="shared" si="3"/>
        <v>620302.65025861561</v>
      </c>
      <c r="AH38" s="39">
        <f t="shared" si="24"/>
        <v>605302.65025861561</v>
      </c>
      <c r="AI38" s="18"/>
      <c r="AK38" s="7">
        <f t="shared" si="25"/>
        <v>0.36354745971843366</v>
      </c>
    </row>
    <row r="39" spans="1:37" x14ac:dyDescent="0.2">
      <c r="A39" s="1">
        <v>12</v>
      </c>
      <c r="B39" s="6">
        <f t="shared" si="4"/>
        <v>5000</v>
      </c>
      <c r="C39" s="7">
        <f t="shared" si="5"/>
        <v>0.53012326241979923</v>
      </c>
      <c r="D39" s="24">
        <v>0</v>
      </c>
      <c r="E39" s="4">
        <f t="shared" si="6"/>
        <v>1</v>
      </c>
      <c r="F39" s="3">
        <f t="shared" si="7"/>
        <v>0.50361709929880927</v>
      </c>
      <c r="G39" s="4">
        <f t="shared" si="0"/>
        <v>2650.6163120989963</v>
      </c>
      <c r="H39" s="3">
        <f>SUM(G28:G39)/G49</f>
        <v>0.80284620710992716</v>
      </c>
      <c r="I39" s="3">
        <f t="shared" si="26"/>
        <v>0.37944598250881334</v>
      </c>
      <c r="J39" s="3">
        <f t="shared" si="27"/>
        <v>4.0778712493830693E-2</v>
      </c>
      <c r="K39" s="3">
        <f t="shared" si="8"/>
        <v>1.5473318627666009E-2</v>
      </c>
      <c r="M39" s="4">
        <f t="shared" si="1"/>
        <v>2349.3836879010037</v>
      </c>
      <c r="N39" s="3">
        <f>SUM(M28:M39)/M48</f>
        <v>0.22328561536727815</v>
      </c>
      <c r="O39" s="4">
        <f t="shared" si="2"/>
        <v>11132588.510815784</v>
      </c>
      <c r="P39" s="4">
        <f t="shared" si="9"/>
        <v>10575959.085274994</v>
      </c>
      <c r="Q39" s="4">
        <f t="shared" si="10"/>
        <v>2481.9145035059537</v>
      </c>
      <c r="R39" s="4">
        <f t="shared" si="11"/>
        <v>15000</v>
      </c>
      <c r="S39" s="4">
        <f t="shared" si="12"/>
        <v>559111.34004429542</v>
      </c>
      <c r="T39" s="4">
        <f t="shared" si="13"/>
        <v>544111.34004429542</v>
      </c>
      <c r="U39" s="4">
        <f t="shared" si="14"/>
        <v>-12518.085496494046</v>
      </c>
      <c r="V39" s="4">
        <f t="shared" si="15"/>
        <v>556629.42554078996</v>
      </c>
      <c r="W39" s="18"/>
      <c r="X39" s="37">
        <f t="shared" si="16"/>
        <v>10019329.659734206</v>
      </c>
      <c r="Y39" s="38">
        <f t="shared" si="17"/>
        <v>15686.671914665421</v>
      </c>
      <c r="Z39" s="38">
        <f t="shared" si="18"/>
        <v>60000</v>
      </c>
      <c r="AA39" s="38">
        <f t="shared" si="19"/>
        <v>1128945.5229962431</v>
      </c>
      <c r="AB39" s="39">
        <f t="shared" si="20"/>
        <v>1068945.5229962431</v>
      </c>
      <c r="AC39" s="18"/>
      <c r="AD39" s="37">
        <f t="shared" si="21"/>
        <v>10575959.085274994</v>
      </c>
      <c r="AE39" s="38">
        <f t="shared" si="22"/>
        <v>2481.9145035059537</v>
      </c>
      <c r="AF39" s="38">
        <f t="shared" si="23"/>
        <v>15000</v>
      </c>
      <c r="AG39" s="38">
        <f t="shared" si="3"/>
        <v>559111.34004429542</v>
      </c>
      <c r="AH39" s="39">
        <f t="shared" si="24"/>
        <v>544111.34004429542</v>
      </c>
      <c r="AI39" s="18"/>
      <c r="AK39" s="7">
        <f t="shared" si="25"/>
        <v>0.32739298293223956</v>
      </c>
    </row>
    <row r="40" spans="1:37" x14ac:dyDescent="0.2">
      <c r="A40" s="1">
        <v>13</v>
      </c>
      <c r="B40" s="6">
        <f t="shared" si="4"/>
        <v>5000</v>
      </c>
      <c r="C40" s="7">
        <f t="shared" si="5"/>
        <v>0.47472111109673915</v>
      </c>
      <c r="D40" s="24">
        <v>0</v>
      </c>
      <c r="E40" s="4">
        <f t="shared" si="6"/>
        <v>1</v>
      </c>
      <c r="F40" s="3">
        <f t="shared" si="7"/>
        <v>0.45098505554190216</v>
      </c>
      <c r="G40" s="4">
        <f t="shared" si="0"/>
        <v>2373.6055554836958</v>
      </c>
      <c r="H40" s="3">
        <f>SUM(G28:G40)/G49</f>
        <v>0.83936321565583016</v>
      </c>
      <c r="I40" s="3">
        <f t="shared" si="26"/>
        <v>0.52161107200645074</v>
      </c>
      <c r="J40" s="3">
        <f t="shared" si="27"/>
        <v>3.6517008545903007E-2</v>
      </c>
      <c r="K40" s="3">
        <f t="shared" si="8"/>
        <v>1.9047675974097192E-2</v>
      </c>
      <c r="M40" s="4">
        <f t="shared" si="1"/>
        <v>2626.3944445163042</v>
      </c>
      <c r="N40" s="3">
        <f>SUM(M28:M40)/M48</f>
        <v>0.29832545663917259</v>
      </c>
      <c r="O40" s="4">
        <f t="shared" si="2"/>
        <v>9969143.3330315221</v>
      </c>
      <c r="P40" s="4">
        <f t="shared" si="9"/>
        <v>9470686.1663799454</v>
      </c>
      <c r="Q40" s="4">
        <f t="shared" si="10"/>
        <v>2745.0747222904893</v>
      </c>
      <c r="R40" s="4">
        <f t="shared" si="11"/>
        <v>15000</v>
      </c>
      <c r="S40" s="4">
        <f t="shared" si="12"/>
        <v>501202.2413738668</v>
      </c>
      <c r="T40" s="4">
        <f t="shared" si="13"/>
        <v>486202.2413738668</v>
      </c>
      <c r="U40" s="4">
        <f t="shared" si="14"/>
        <v>-12254.92527770951</v>
      </c>
      <c r="V40" s="4">
        <f t="shared" si="15"/>
        <v>498457.16665157676</v>
      </c>
      <c r="W40" s="18"/>
      <c r="X40" s="37">
        <f t="shared" si="16"/>
        <v>8972228.9997283705</v>
      </c>
      <c r="Y40" s="38">
        <f t="shared" si="17"/>
        <v>17182.530000388044</v>
      </c>
      <c r="Z40" s="38">
        <f t="shared" si="18"/>
        <v>60000</v>
      </c>
      <c r="AA40" s="38">
        <f t="shared" si="19"/>
        <v>1014096.8633035403</v>
      </c>
      <c r="AB40" s="39">
        <f t="shared" si="20"/>
        <v>954096.86330354027</v>
      </c>
      <c r="AC40" s="18"/>
      <c r="AD40" s="37">
        <f t="shared" si="21"/>
        <v>9470686.1663799454</v>
      </c>
      <c r="AE40" s="38">
        <f t="shared" si="22"/>
        <v>2745.0747222904893</v>
      </c>
      <c r="AF40" s="38">
        <f t="shared" si="23"/>
        <v>15000</v>
      </c>
      <c r="AG40" s="38">
        <f t="shared" si="3"/>
        <v>501202.2413738668</v>
      </c>
      <c r="AH40" s="39">
        <f t="shared" si="24"/>
        <v>486202.2413738668</v>
      </c>
      <c r="AI40" s="18"/>
      <c r="AK40" s="7">
        <f t="shared" si="25"/>
        <v>0.29317777890643237</v>
      </c>
    </row>
    <row r="41" spans="1:37" x14ac:dyDescent="0.2">
      <c r="A41" s="1">
        <v>14</v>
      </c>
      <c r="B41" s="6">
        <f t="shared" si="4"/>
        <v>5000</v>
      </c>
      <c r="C41" s="7">
        <f t="shared" si="5"/>
        <v>0.42286088576364467</v>
      </c>
      <c r="D41" s="24">
        <v>0</v>
      </c>
      <c r="E41" s="4">
        <f t="shared" si="6"/>
        <v>1</v>
      </c>
      <c r="F41" s="3">
        <f t="shared" si="7"/>
        <v>0.40171784147546241</v>
      </c>
      <c r="G41" s="4">
        <f t="shared" si="0"/>
        <v>2114.3044288182232</v>
      </c>
      <c r="H41" s="3">
        <f>SUM(G28:G41)/G49</f>
        <v>0.87189097609918742</v>
      </c>
      <c r="I41" s="3">
        <f t="shared" si="26"/>
        <v>0.67909935816925304</v>
      </c>
      <c r="J41" s="3">
        <f t="shared" si="27"/>
        <v>3.2527760443357256E-2</v>
      </c>
      <c r="K41" s="3">
        <f t="shared" si="8"/>
        <v>2.208958123976713E-2</v>
      </c>
      <c r="M41" s="4">
        <f t="shared" si="1"/>
        <v>2885.6955711817768</v>
      </c>
      <c r="N41" s="3">
        <f>SUM(M28:M41)/M48</f>
        <v>0.38077390153008051</v>
      </c>
      <c r="O41" s="4">
        <f t="shared" si="2"/>
        <v>8880078.6010365374</v>
      </c>
      <c r="P41" s="4">
        <f t="shared" si="9"/>
        <v>8436074.6709847096</v>
      </c>
      <c r="Q41" s="4">
        <f t="shared" si="10"/>
        <v>2991.4107926226879</v>
      </c>
      <c r="R41" s="4">
        <f t="shared" si="11"/>
        <v>15000</v>
      </c>
      <c r="S41" s="4">
        <f t="shared" si="12"/>
        <v>446995.34084445052</v>
      </c>
      <c r="T41" s="4">
        <f t="shared" si="13"/>
        <v>431995.34084445052</v>
      </c>
      <c r="U41" s="4">
        <f t="shared" si="14"/>
        <v>-12008.589207377312</v>
      </c>
      <c r="V41" s="4">
        <f t="shared" si="15"/>
        <v>444003.9300518278</v>
      </c>
      <c r="W41" s="18"/>
      <c r="X41" s="37">
        <f t="shared" si="16"/>
        <v>7992070.7409328837</v>
      </c>
      <c r="Y41" s="38">
        <f t="shared" si="17"/>
        <v>18582.756084381595</v>
      </c>
      <c r="Z41" s="38">
        <f t="shared" si="18"/>
        <v>60000</v>
      </c>
      <c r="AA41" s="38">
        <f t="shared" si="19"/>
        <v>906590.61618803442</v>
      </c>
      <c r="AB41" s="39">
        <f t="shared" si="20"/>
        <v>846590.61618803442</v>
      </c>
      <c r="AC41" s="18"/>
      <c r="AD41" s="37">
        <f t="shared" si="21"/>
        <v>8436074.6709847096</v>
      </c>
      <c r="AE41" s="38">
        <f t="shared" si="22"/>
        <v>2991.4107926226879</v>
      </c>
      <c r="AF41" s="38">
        <f t="shared" si="23"/>
        <v>15000</v>
      </c>
      <c r="AG41" s="38">
        <f t="shared" si="3"/>
        <v>446995.34084445052</v>
      </c>
      <c r="AH41" s="39">
        <f t="shared" si="24"/>
        <v>431995.34084445052</v>
      </c>
      <c r="AI41" s="18"/>
      <c r="AK41" s="7">
        <f t="shared" si="25"/>
        <v>0.26114999391575094</v>
      </c>
    </row>
    <row r="42" spans="1:37" x14ac:dyDescent="0.2">
      <c r="A42" s="1">
        <v>15</v>
      </c>
      <c r="B42" s="6">
        <f t="shared" si="4"/>
        <v>5000</v>
      </c>
      <c r="C42" s="7">
        <f t="shared" si="5"/>
        <v>0.37481071170736568</v>
      </c>
      <c r="D42" s="24">
        <v>0</v>
      </c>
      <c r="E42" s="4">
        <f t="shared" si="6"/>
        <v>1</v>
      </c>
      <c r="F42" s="3">
        <f t="shared" si="7"/>
        <v>0.35607017612199737</v>
      </c>
      <c r="G42" s="4">
        <f t="shared" si="0"/>
        <v>1874.0535585368284</v>
      </c>
      <c r="H42" s="3">
        <f>SUM(G28:G42)/G49</f>
        <v>0.90072256930744621</v>
      </c>
      <c r="I42" s="3">
        <f t="shared" si="26"/>
        <v>0.85086055853053733</v>
      </c>
      <c r="J42" s="3">
        <f t="shared" si="27"/>
        <v>2.8831593208258788E-2</v>
      </c>
      <c r="K42" s="3">
        <f t="shared" si="8"/>
        <v>2.453166550050432E-2</v>
      </c>
      <c r="M42" s="4">
        <f t="shared" si="1"/>
        <v>3125.9464414631716</v>
      </c>
      <c r="N42" s="3">
        <f>SUM(M28:M42)/M48</f>
        <v>0.47008665700045688</v>
      </c>
      <c r="O42" s="4">
        <f t="shared" si="2"/>
        <v>7871024.9458546788</v>
      </c>
      <c r="P42" s="4">
        <f t="shared" si="9"/>
        <v>7477473.6985619441</v>
      </c>
      <c r="Q42" s="4">
        <f t="shared" si="10"/>
        <v>3219.6491193900133</v>
      </c>
      <c r="R42" s="4">
        <f t="shared" si="11"/>
        <v>15000</v>
      </c>
      <c r="S42" s="4">
        <f t="shared" si="12"/>
        <v>396770.89641212486</v>
      </c>
      <c r="T42" s="4">
        <f t="shared" si="13"/>
        <v>381770.89641212486</v>
      </c>
      <c r="U42" s="4">
        <f t="shared" si="14"/>
        <v>-11780.350880609987</v>
      </c>
      <c r="V42" s="4">
        <f t="shared" si="15"/>
        <v>393551.24729273468</v>
      </c>
      <c r="W42" s="18"/>
      <c r="X42" s="37">
        <f t="shared" si="16"/>
        <v>7083922.4512692112</v>
      </c>
      <c r="Y42" s="38">
        <f t="shared" si="17"/>
        <v>19880.110783901127</v>
      </c>
      <c r="Z42" s="38">
        <f t="shared" si="18"/>
        <v>60000</v>
      </c>
      <c r="AA42" s="38">
        <f t="shared" si="19"/>
        <v>806982.60536936857</v>
      </c>
      <c r="AB42" s="39">
        <f t="shared" si="20"/>
        <v>746982.60536936857</v>
      </c>
      <c r="AC42" s="18"/>
      <c r="AD42" s="37">
        <f t="shared" si="21"/>
        <v>7477473.6985619441</v>
      </c>
      <c r="AE42" s="38">
        <f t="shared" si="22"/>
        <v>3219.6491193900133</v>
      </c>
      <c r="AF42" s="38">
        <f t="shared" si="23"/>
        <v>15000</v>
      </c>
      <c r="AG42" s="38">
        <f t="shared" si="3"/>
        <v>396770.89641212486</v>
      </c>
      <c r="AH42" s="39">
        <f t="shared" si="24"/>
        <v>381770.89641212486</v>
      </c>
      <c r="AI42" s="18"/>
      <c r="AK42" s="7">
        <f t="shared" si="25"/>
        <v>0.23147521650098238</v>
      </c>
    </row>
    <row r="43" spans="1:37" x14ac:dyDescent="0.2">
      <c r="A43" s="1">
        <v>16</v>
      </c>
      <c r="B43" s="6">
        <f t="shared" si="4"/>
        <v>5000</v>
      </c>
      <c r="C43" s="7">
        <f t="shared" si="5"/>
        <v>0.33071122781778689</v>
      </c>
      <c r="D43" s="24">
        <v>0</v>
      </c>
      <c r="E43" s="4">
        <f t="shared" si="6"/>
        <v>1</v>
      </c>
      <c r="F43" s="3">
        <f t="shared" si="7"/>
        <v>0.31417566642689754</v>
      </c>
      <c r="G43" s="4">
        <f t="shared" si="0"/>
        <v>1653.5561390889345</v>
      </c>
      <c r="H43" s="3">
        <f>SUM(G28:G43)/G49</f>
        <v>0.92616189452419906</v>
      </c>
      <c r="I43" s="3">
        <f t="shared" si="26"/>
        <v>1.0357859957412299</v>
      </c>
      <c r="J43" s="3">
        <f t="shared" si="27"/>
        <v>2.5439325216752851E-2</v>
      </c>
      <c r="K43" s="3">
        <f t="shared" si="8"/>
        <v>2.634969680061933E-2</v>
      </c>
      <c r="M43" s="4">
        <f t="shared" si="1"/>
        <v>3346.4438609110657</v>
      </c>
      <c r="N43" s="3">
        <f>SUM(M28:M43)/M48</f>
        <v>0.56569933874077305</v>
      </c>
      <c r="O43" s="4">
        <f t="shared" si="2"/>
        <v>6944935.7841735249</v>
      </c>
      <c r="P43" s="4">
        <f t="shared" si="9"/>
        <v>6597688.9949648483</v>
      </c>
      <c r="Q43" s="4">
        <f t="shared" si="10"/>
        <v>3429.1216678655123</v>
      </c>
      <c r="R43" s="4">
        <f t="shared" si="11"/>
        <v>15000</v>
      </c>
      <c r="S43" s="4">
        <f t="shared" si="12"/>
        <v>350675.91087654233</v>
      </c>
      <c r="T43" s="4">
        <f t="shared" si="13"/>
        <v>335675.91087654233</v>
      </c>
      <c r="U43" s="4">
        <f t="shared" si="14"/>
        <v>-11570.878332134487</v>
      </c>
      <c r="V43" s="4">
        <f t="shared" si="15"/>
        <v>347246.78920867667</v>
      </c>
      <c r="W43" s="18"/>
      <c r="X43" s="37">
        <f t="shared" si="16"/>
        <v>6250442.2057561725</v>
      </c>
      <c r="Y43" s="38">
        <f t="shared" si="17"/>
        <v>21070.796848919752</v>
      </c>
      <c r="Z43" s="38">
        <f t="shared" si="18"/>
        <v>60000</v>
      </c>
      <c r="AA43" s="38">
        <f t="shared" si="19"/>
        <v>715564.37526627257</v>
      </c>
      <c r="AB43" s="39">
        <f t="shared" si="20"/>
        <v>655564.37526627257</v>
      </c>
      <c r="AC43" s="18"/>
      <c r="AD43" s="37">
        <f t="shared" si="21"/>
        <v>6597688.9949648483</v>
      </c>
      <c r="AE43" s="38">
        <f t="shared" si="22"/>
        <v>3429.1216678655123</v>
      </c>
      <c r="AF43" s="38">
        <f t="shared" si="23"/>
        <v>15000</v>
      </c>
      <c r="AG43" s="38">
        <f t="shared" si="3"/>
        <v>350675.91087654233</v>
      </c>
      <c r="AH43" s="39">
        <f t="shared" si="24"/>
        <v>335675.91087654233</v>
      </c>
      <c r="AI43" s="18"/>
      <c r="AK43" s="7">
        <f t="shared" si="25"/>
        <v>0.20424030228409176</v>
      </c>
    </row>
    <row r="44" spans="1:37" x14ac:dyDescent="0.2">
      <c r="A44" s="1">
        <v>17</v>
      </c>
      <c r="B44" s="6">
        <f t="shared" si="4"/>
        <v>5000</v>
      </c>
      <c r="C44" s="7">
        <f t="shared" si="5"/>
        <v>0.29058877589540949</v>
      </c>
      <c r="D44" s="24">
        <v>0</v>
      </c>
      <c r="E44" s="4">
        <f t="shared" si="6"/>
        <v>1</v>
      </c>
      <c r="F44" s="3">
        <f t="shared" si="7"/>
        <v>0.27605933710063901</v>
      </c>
      <c r="G44" s="4">
        <f t="shared" si="0"/>
        <v>1452.9438794770474</v>
      </c>
      <c r="H44" s="3">
        <f>SUM(G28:G44)/G49</f>
        <v>0.94851487728538442</v>
      </c>
      <c r="I44" s="3">
        <f t="shared" si="26"/>
        <v>1.2327431380679164</v>
      </c>
      <c r="J44" s="3">
        <f t="shared" si="27"/>
        <v>2.2352982761185358E-2</v>
      </c>
      <c r="K44" s="3">
        <f t="shared" si="8"/>
        <v>2.7555486114201676E-2</v>
      </c>
      <c r="M44" s="4">
        <f t="shared" si="1"/>
        <v>3547.0561205229524</v>
      </c>
      <c r="N44" s="3">
        <f>SUM(M28:M44)/M48</f>
        <v>0.66704379932714319</v>
      </c>
      <c r="O44" s="4">
        <f t="shared" si="2"/>
        <v>6102364.2938035997</v>
      </c>
      <c r="P44" s="4">
        <f t="shared" si="9"/>
        <v>5797246.0791134192</v>
      </c>
      <c r="Q44" s="4">
        <f t="shared" si="10"/>
        <v>3619.703314496805</v>
      </c>
      <c r="R44" s="4">
        <f t="shared" si="11"/>
        <v>15000</v>
      </c>
      <c r="S44" s="4">
        <f t="shared" si="12"/>
        <v>308737.91800467763</v>
      </c>
      <c r="T44" s="4">
        <f t="shared" si="13"/>
        <v>293737.91800467763</v>
      </c>
      <c r="U44" s="4">
        <f t="shared" si="14"/>
        <v>-11380.296685503195</v>
      </c>
      <c r="V44" s="4">
        <f t="shared" si="15"/>
        <v>305118.2146901805</v>
      </c>
      <c r="W44" s="18"/>
      <c r="X44" s="37">
        <f t="shared" si="16"/>
        <v>5492127.8644232396</v>
      </c>
      <c r="Y44" s="38">
        <f t="shared" si="17"/>
        <v>22154.103050823946</v>
      </c>
      <c r="Z44" s="38">
        <f t="shared" si="18"/>
        <v>60000</v>
      </c>
      <c r="AA44" s="38">
        <f t="shared" si="19"/>
        <v>632390.53243118431</v>
      </c>
      <c r="AB44" s="39">
        <f t="shared" si="20"/>
        <v>572390.53243118431</v>
      </c>
      <c r="AC44" s="18"/>
      <c r="AD44" s="37">
        <f t="shared" si="21"/>
        <v>5797246.0791134192</v>
      </c>
      <c r="AE44" s="38">
        <f t="shared" si="22"/>
        <v>3619.703314496805</v>
      </c>
      <c r="AF44" s="38">
        <f t="shared" si="23"/>
        <v>15000</v>
      </c>
      <c r="AG44" s="38">
        <f t="shared" si="3"/>
        <v>308737.91800467763</v>
      </c>
      <c r="AH44" s="39">
        <f t="shared" si="24"/>
        <v>293737.91800467763</v>
      </c>
      <c r="AI44" s="18"/>
      <c r="AK44" s="7">
        <f t="shared" si="25"/>
        <v>0.17946151940732677</v>
      </c>
    </row>
    <row r="45" spans="1:37" x14ac:dyDescent="0.2">
      <c r="A45" s="1">
        <v>18</v>
      </c>
      <c r="B45" s="6">
        <f t="shared" si="4"/>
        <v>5000</v>
      </c>
      <c r="C45" s="7">
        <f t="shared" si="5"/>
        <v>0.25437308317069429</v>
      </c>
      <c r="D45" s="24">
        <v>0</v>
      </c>
      <c r="E45" s="4">
        <f t="shared" si="6"/>
        <v>1</v>
      </c>
      <c r="F45" s="3">
        <f t="shared" si="7"/>
        <v>0.24165442901215956</v>
      </c>
      <c r="G45" s="4">
        <f t="shared" si="0"/>
        <v>1271.8654158534714</v>
      </c>
      <c r="H45" s="3">
        <f>SUM(G28:G45)/G49</f>
        <v>0.9680820375292839</v>
      </c>
      <c r="I45" s="3">
        <f t="shared" si="26"/>
        <v>1.4406057296299015</v>
      </c>
      <c r="J45" s="3">
        <f t="shared" si="27"/>
        <v>1.9567160243899484E-2</v>
      </c>
      <c r="K45" s="3">
        <f t="shared" si="8"/>
        <v>2.8188563159948016E-2</v>
      </c>
      <c r="M45" s="4">
        <f t="shared" si="1"/>
        <v>3728.1345841465286</v>
      </c>
      <c r="N45" s="3">
        <f>SUM(M28:M45)/M48</f>
        <v>0.77356193030275833</v>
      </c>
      <c r="O45" s="4">
        <f t="shared" si="2"/>
        <v>5341834.7465845793</v>
      </c>
      <c r="P45" s="4">
        <f t="shared" si="9"/>
        <v>5074743.0092553506</v>
      </c>
      <c r="Q45" s="4">
        <f t="shared" si="10"/>
        <v>3791.7278549392017</v>
      </c>
      <c r="R45" s="4">
        <f t="shared" si="11"/>
        <v>15000</v>
      </c>
      <c r="S45" s="4">
        <f t="shared" si="12"/>
        <v>270883.46518416796</v>
      </c>
      <c r="T45" s="4">
        <f t="shared" si="13"/>
        <v>255883.46518416796</v>
      </c>
      <c r="U45" s="4">
        <f t="shared" si="14"/>
        <v>-11208.272145060799</v>
      </c>
      <c r="V45" s="4">
        <f t="shared" si="15"/>
        <v>267091.73732922878</v>
      </c>
      <c r="W45" s="18"/>
      <c r="X45" s="37">
        <f t="shared" si="16"/>
        <v>4807651.2719261218</v>
      </c>
      <c r="Y45" s="38">
        <f t="shared" si="17"/>
        <v>23131.92675439125</v>
      </c>
      <c r="Z45" s="38">
        <f t="shared" si="18"/>
        <v>60000</v>
      </c>
      <c r="AA45" s="38">
        <f t="shared" si="19"/>
        <v>557315.40141284838</v>
      </c>
      <c r="AB45" s="39">
        <f t="shared" si="20"/>
        <v>497315.40141284838</v>
      </c>
      <c r="AC45" s="18"/>
      <c r="AD45" s="37">
        <f t="shared" si="21"/>
        <v>5074743.0092553506</v>
      </c>
      <c r="AE45" s="38">
        <f t="shared" si="22"/>
        <v>3791.7278549392017</v>
      </c>
      <c r="AF45" s="38">
        <f t="shared" si="23"/>
        <v>15000</v>
      </c>
      <c r="AG45" s="38">
        <f t="shared" si="3"/>
        <v>270883.46518416796</v>
      </c>
      <c r="AH45" s="39">
        <f t="shared" si="24"/>
        <v>255883.46518416796</v>
      </c>
      <c r="AI45" s="18"/>
      <c r="AK45" s="7">
        <f t="shared" si="25"/>
        <v>0.15709546888545273</v>
      </c>
    </row>
    <row r="46" spans="1:37" x14ac:dyDescent="0.2">
      <c r="A46" s="1">
        <v>19</v>
      </c>
      <c r="B46" s="6">
        <f t="shared" si="4"/>
        <v>5000</v>
      </c>
      <c r="C46" s="7">
        <f t="shared" si="5"/>
        <v>0.221917029767221</v>
      </c>
      <c r="D46" s="24">
        <v>0</v>
      </c>
      <c r="E46" s="4">
        <f t="shared" si="6"/>
        <v>1</v>
      </c>
      <c r="F46" s="3">
        <f t="shared" si="7"/>
        <v>0.21082117827885993</v>
      </c>
      <c r="G46" s="4">
        <f t="shared" si="0"/>
        <v>1109.585148836105</v>
      </c>
      <c r="H46" s="3">
        <f>SUM(G28:G46)/G49</f>
        <v>0.98515257828060865</v>
      </c>
      <c r="I46" s="3">
        <f t="shared" si="26"/>
        <v>1.6582785706387708</v>
      </c>
      <c r="J46" s="3">
        <f t="shared" si="27"/>
        <v>1.7070540751324748E-2</v>
      </c>
      <c r="K46" s="3">
        <f t="shared" si="8"/>
        <v>2.8307711917137691E-2</v>
      </c>
      <c r="M46" s="4">
        <f t="shared" si="1"/>
        <v>3890.414851163895</v>
      </c>
      <c r="N46" s="3">
        <f>SUM(M28:M46)/M48</f>
        <v>0.88471664033601249</v>
      </c>
      <c r="O46" s="4">
        <f t="shared" si="2"/>
        <v>4660257.6251116404</v>
      </c>
      <c r="P46" s="4">
        <f t="shared" si="9"/>
        <v>4427244.7438560585</v>
      </c>
      <c r="Q46" s="4">
        <f t="shared" si="10"/>
        <v>3945.8941086057002</v>
      </c>
      <c r="R46" s="4">
        <f t="shared" si="11"/>
        <v>15000</v>
      </c>
      <c r="S46" s="4">
        <f t="shared" si="12"/>
        <v>236958.77536418755</v>
      </c>
      <c r="T46" s="4">
        <f t="shared" si="13"/>
        <v>221958.77536418755</v>
      </c>
      <c r="U46" s="4">
        <f t="shared" si="14"/>
        <v>-11054.1058913943</v>
      </c>
      <c r="V46" s="4">
        <f t="shared" si="15"/>
        <v>233012.88125558197</v>
      </c>
      <c r="W46" s="18"/>
      <c r="X46" s="37">
        <f t="shared" si="16"/>
        <v>4194231.8626004765</v>
      </c>
      <c r="Y46" s="38">
        <f t="shared" si="17"/>
        <v>24008.240196285034</v>
      </c>
      <c r="Z46" s="38">
        <f t="shared" si="18"/>
        <v>60000</v>
      </c>
      <c r="AA46" s="38">
        <f t="shared" si="19"/>
        <v>490034.00270744879</v>
      </c>
      <c r="AB46" s="39">
        <f t="shared" si="20"/>
        <v>430034.00270744879</v>
      </c>
      <c r="AC46" s="18"/>
      <c r="AD46" s="37">
        <f t="shared" si="21"/>
        <v>4427244.7438560585</v>
      </c>
      <c r="AE46" s="38">
        <f t="shared" si="22"/>
        <v>3945.8941086057002</v>
      </c>
      <c r="AF46" s="38">
        <f t="shared" si="23"/>
        <v>15000</v>
      </c>
      <c r="AG46" s="38">
        <f t="shared" si="3"/>
        <v>236958.77536418755</v>
      </c>
      <c r="AH46" s="39">
        <f t="shared" si="24"/>
        <v>221958.77536418755</v>
      </c>
      <c r="AI46" s="18"/>
      <c r="AK46" s="7">
        <f t="shared" si="25"/>
        <v>0.13705129257545964</v>
      </c>
    </row>
    <row r="47" spans="1:37" x14ac:dyDescent="0.2">
      <c r="A47" s="1">
        <v>20</v>
      </c>
      <c r="B47" s="6">
        <f t="shared" si="4"/>
        <v>5000</v>
      </c>
      <c r="C47" s="7">
        <f t="shared" si="5"/>
        <v>0.19301648235208746</v>
      </c>
      <c r="D47" s="24">
        <v>0</v>
      </c>
      <c r="E47" s="4">
        <f t="shared" si="6"/>
        <v>1</v>
      </c>
      <c r="F47" s="3">
        <f t="shared" si="7"/>
        <v>0.18336565823448309</v>
      </c>
      <c r="G47" s="4">
        <f t="shared" si="0"/>
        <v>965.08241176043725</v>
      </c>
      <c r="H47" s="3">
        <f>SUM(G28:G47)/G49</f>
        <v>1</v>
      </c>
      <c r="I47" s="3">
        <f t="shared" si="26"/>
        <v>1.8847166403360125</v>
      </c>
      <c r="J47" s="3">
        <f t="shared" si="27"/>
        <v>1.4847421719391352E-2</v>
      </c>
      <c r="K47" s="3">
        <f t="shared" si="8"/>
        <v>2.7983182780623211E-2</v>
      </c>
      <c r="M47" s="4">
        <f t="shared" si="1"/>
        <v>4034.917588239563</v>
      </c>
      <c r="N47" s="3">
        <f>SUM(M28:M47)/M48</f>
        <v>1</v>
      </c>
      <c r="O47" s="4">
        <f t="shared" si="2"/>
        <v>4053346.1293938365</v>
      </c>
      <c r="P47" s="4">
        <f t="shared" si="9"/>
        <v>3850678.8229241446</v>
      </c>
      <c r="Q47" s="4">
        <f t="shared" si="10"/>
        <v>4083.1717088275841</v>
      </c>
      <c r="R47" s="4">
        <f t="shared" si="11"/>
        <v>15000</v>
      </c>
      <c r="S47" s="4">
        <f t="shared" si="12"/>
        <v>206750.47817851929</v>
      </c>
      <c r="T47" s="4">
        <f t="shared" si="13"/>
        <v>191750.47817851929</v>
      </c>
      <c r="U47" s="4">
        <f t="shared" si="14"/>
        <v>-10916.828291172416</v>
      </c>
      <c r="V47" s="4">
        <f t="shared" si="15"/>
        <v>202667.30646969192</v>
      </c>
      <c r="W47" s="18"/>
      <c r="X47" s="37">
        <f t="shared" si="16"/>
        <v>3648011.5164544531</v>
      </c>
      <c r="Y47" s="38">
        <f t="shared" si="17"/>
        <v>24788.554976493637</v>
      </c>
      <c r="Z47" s="38">
        <f t="shared" si="18"/>
        <v>60000</v>
      </c>
      <c r="AA47" s="38">
        <f t="shared" si="19"/>
        <v>430123.16791587695</v>
      </c>
      <c r="AB47" s="39">
        <f t="shared" si="20"/>
        <v>370123.16791587695</v>
      </c>
      <c r="AC47" s="18"/>
      <c r="AD47" s="37">
        <f t="shared" si="21"/>
        <v>3850678.8229241446</v>
      </c>
      <c r="AE47" s="38">
        <f t="shared" si="22"/>
        <v>4083.1717088275841</v>
      </c>
      <c r="AF47" s="38">
        <f t="shared" si="23"/>
        <v>15000</v>
      </c>
      <c r="AG47" s="38">
        <f>AE47+O47-AD47</f>
        <v>206750.47817851929</v>
      </c>
      <c r="AH47" s="39">
        <f t="shared" si="24"/>
        <v>191750.47817851929</v>
      </c>
      <c r="AI47" s="18"/>
      <c r="AK47" s="7">
        <f t="shared" si="25"/>
        <v>0.11920292202211755</v>
      </c>
    </row>
    <row r="48" spans="1:37" ht="13.5" thickBot="1" x14ac:dyDescent="0.25">
      <c r="B48" s="1">
        <f>SUM(B28:B47)</f>
        <v>100000</v>
      </c>
      <c r="C48" s="7">
        <f>AK48*$B$17/$AK$48</f>
        <v>0.65</v>
      </c>
      <c r="E48" s="4"/>
      <c r="F48" s="4"/>
      <c r="G48" s="4">
        <f>SUM(G28:G47)</f>
        <v>65000</v>
      </c>
      <c r="H48" s="3"/>
      <c r="I48" s="3"/>
      <c r="J48" s="44" t="s">
        <v>49</v>
      </c>
      <c r="K48" s="3">
        <f>SUM(K28:K47)</f>
        <v>0.1895238050505304</v>
      </c>
      <c r="L48" s="1" t="s">
        <v>51</v>
      </c>
      <c r="M48" s="10">
        <f>SUM(M28:M47)</f>
        <v>34999.999999999993</v>
      </c>
      <c r="N48" s="1" t="s">
        <v>52</v>
      </c>
      <c r="O48" s="4">
        <f t="shared" ref="O48:AB48" si="28">SUM(O28:O47)</f>
        <v>273000000</v>
      </c>
      <c r="P48" s="4">
        <f t="shared" si="28"/>
        <v>249565877.51003927</v>
      </c>
      <c r="Q48" s="4">
        <f t="shared" si="28"/>
        <v>80919.785331783874</v>
      </c>
      <c r="R48" s="4">
        <f t="shared" si="28"/>
        <v>750000</v>
      </c>
      <c r="S48" s="4">
        <f t="shared" si="28"/>
        <v>23515042.275292546</v>
      </c>
      <c r="T48" s="4">
        <f t="shared" si="28"/>
        <v>22765042.275292546</v>
      </c>
      <c r="U48" s="4">
        <f t="shared" si="28"/>
        <v>-669080.21466821607</v>
      </c>
      <c r="V48" s="4">
        <f t="shared" si="28"/>
        <v>23434122.48996076</v>
      </c>
      <c r="W48" s="18"/>
      <c r="X48" s="40">
        <f t="shared" si="28"/>
        <v>245700000.00000009</v>
      </c>
      <c r="Y48" s="41">
        <f t="shared" si="28"/>
        <v>248999.99999999997</v>
      </c>
      <c r="Z48" s="41">
        <f t="shared" si="28"/>
        <v>1200000</v>
      </c>
      <c r="AA48" s="41">
        <f t="shared" si="28"/>
        <v>27548999.999999993</v>
      </c>
      <c r="AB48" s="42">
        <f t="shared" si="28"/>
        <v>26348999.999999993</v>
      </c>
      <c r="AD48" s="40">
        <f t="shared" ref="AD48:AH48" si="29">SUM(AD28:AD47)</f>
        <v>259350000.00000003</v>
      </c>
      <c r="AE48" s="41">
        <f t="shared" si="29"/>
        <v>38249.999999999993</v>
      </c>
      <c r="AF48" s="41">
        <f t="shared" si="29"/>
        <v>300000</v>
      </c>
      <c r="AG48" s="41">
        <f t="shared" si="29"/>
        <v>13688250.000000011</v>
      </c>
      <c r="AH48" s="42">
        <f t="shared" si="29"/>
        <v>13388250.000000011</v>
      </c>
      <c r="AK48" s="9">
        <f>AVERAGE(AK28:AK47)</f>
        <v>0.40142633608377148</v>
      </c>
    </row>
    <row r="49" spans="1:22" ht="13.5" thickBot="1" x14ac:dyDescent="0.25">
      <c r="C49" s="3">
        <f>G48/B48</f>
        <v>0.65</v>
      </c>
      <c r="F49" s="4" t="s">
        <v>48</v>
      </c>
      <c r="G49" s="4">
        <f>SUM(G28:G47)</f>
        <v>65000</v>
      </c>
      <c r="H49" s="3"/>
      <c r="I49" s="3"/>
      <c r="J49" s="44" t="s">
        <v>50</v>
      </c>
      <c r="K49" s="17">
        <f>1-K48</f>
        <v>0.81047619494946965</v>
      </c>
      <c r="O49" s="3"/>
      <c r="P49" s="3"/>
      <c r="Q49" s="3"/>
      <c r="R49" s="3"/>
      <c r="S49" s="3"/>
      <c r="T49" s="3"/>
      <c r="U49" s="3"/>
      <c r="V49" s="3"/>
    </row>
    <row r="50" spans="1:22" x14ac:dyDescent="0.2">
      <c r="C50" s="1" t="s">
        <v>6</v>
      </c>
      <c r="D50" s="8">
        <v>-0.16</v>
      </c>
      <c r="O50" s="3"/>
      <c r="P50" s="3"/>
      <c r="Q50" s="3"/>
      <c r="R50" s="3"/>
      <c r="S50" s="3"/>
      <c r="T50" s="3"/>
      <c r="U50" s="3"/>
      <c r="V50" s="3"/>
    </row>
    <row r="51" spans="1:22" x14ac:dyDescent="0.2">
      <c r="C51" s="1" t="s">
        <v>7</v>
      </c>
      <c r="D51" s="8">
        <v>1.2</v>
      </c>
    </row>
    <row r="52" spans="1:22" ht="25.5" x14ac:dyDescent="0.2">
      <c r="H52" s="9">
        <f>C56-C70</f>
        <v>0.6508577174046718</v>
      </c>
      <c r="I52" s="4">
        <f>D56-D70</f>
        <v>-50538.230069431709</v>
      </c>
      <c r="J52" s="4">
        <f t="shared" ref="J52:J53" si="30">I52/H52</f>
        <v>-77648.660710293902</v>
      </c>
      <c r="K52" s="1" t="s">
        <v>39</v>
      </c>
    </row>
    <row r="53" spans="1:22" x14ac:dyDescent="0.2">
      <c r="H53" s="9">
        <f>C56-C70</f>
        <v>0.6508577174046718</v>
      </c>
      <c r="I53" s="4">
        <f>F70-F56</f>
        <v>-2384950.1830518357</v>
      </c>
      <c r="J53" s="4">
        <f t="shared" si="30"/>
        <v>-3664318.8200363447</v>
      </c>
      <c r="K53" s="1" t="s">
        <v>41</v>
      </c>
    </row>
    <row r="54" spans="1:22" ht="25.5" x14ac:dyDescent="0.2">
      <c r="A54" s="13" t="s">
        <v>7</v>
      </c>
      <c r="B54" s="13" t="s">
        <v>6</v>
      </c>
      <c r="C54" s="13" t="s">
        <v>13</v>
      </c>
      <c r="D54" s="30" t="s">
        <v>39</v>
      </c>
      <c r="E54" s="30" t="s">
        <v>40</v>
      </c>
      <c r="F54" s="30" t="s">
        <v>41</v>
      </c>
      <c r="G54" s="2"/>
      <c r="H54" s="9">
        <f>C56-C70</f>
        <v>0.6508577174046718</v>
      </c>
      <c r="I54" s="4">
        <f>E56-E70</f>
        <v>2334411.9529824071</v>
      </c>
      <c r="J54" s="4">
        <f>I54/H54</f>
        <v>3586670.1593260556</v>
      </c>
      <c r="K54" s="1" t="s">
        <v>40</v>
      </c>
    </row>
    <row r="55" spans="1:22" x14ac:dyDescent="0.2">
      <c r="A55" s="19">
        <f>D51</f>
        <v>1.2</v>
      </c>
      <c r="B55" s="19">
        <f>D50</f>
        <v>-0.16</v>
      </c>
      <c r="C55" s="20">
        <f>K49</f>
        <v>0.81047619494946965</v>
      </c>
      <c r="D55" s="16">
        <f>U48</f>
        <v>-669080.21466821607</v>
      </c>
      <c r="E55" s="16">
        <f>T48</f>
        <v>22765042.275292546</v>
      </c>
      <c r="F55" s="16">
        <f>V48</f>
        <v>23434122.48996076</v>
      </c>
      <c r="H55" s="25">
        <v>0.01</v>
      </c>
      <c r="I55" s="26" t="s">
        <v>44</v>
      </c>
      <c r="J55" s="5">
        <f>J54*H55</f>
        <v>35866.701593260557</v>
      </c>
      <c r="K55" s="5">
        <f>J53*H55</f>
        <v>-36643.188200363446</v>
      </c>
      <c r="L55" s="5">
        <f>J52*H55</f>
        <v>-776.48660710293905</v>
      </c>
      <c r="M55" s="26" t="s">
        <v>14</v>
      </c>
    </row>
    <row r="56" spans="1:22" x14ac:dyDescent="0.2">
      <c r="A56" s="22">
        <v>1.2</v>
      </c>
      <c r="B56" s="22">
        <v>-0.16</v>
      </c>
      <c r="C56" s="23">
        <v>0.81047619494946965</v>
      </c>
      <c r="D56" s="21">
        <v>-669080.21466821607</v>
      </c>
      <c r="E56" s="21">
        <v>22765042.275292546</v>
      </c>
      <c r="F56" s="21">
        <v>23434122.48996076</v>
      </c>
      <c r="G56" s="4"/>
    </row>
    <row r="57" spans="1:22" x14ac:dyDescent="0.2">
      <c r="A57" s="22">
        <v>1.2</v>
      </c>
      <c r="B57" s="22">
        <v>-0.155</v>
      </c>
      <c r="C57" s="23">
        <v>0.77758017402168123</v>
      </c>
      <c r="D57" s="21">
        <v>-666508.89418821363</v>
      </c>
      <c r="E57" s="21">
        <v>22646270.382109504</v>
      </c>
      <c r="F57" s="21">
        <v>23312779.276297715</v>
      </c>
      <c r="G57" s="4"/>
      <c r="J57" s="29" t="s">
        <v>40</v>
      </c>
      <c r="K57" s="29" t="s">
        <v>41</v>
      </c>
      <c r="L57" s="29" t="s">
        <v>39</v>
      </c>
    </row>
    <row r="58" spans="1:22" x14ac:dyDescent="0.2">
      <c r="A58" s="22">
        <v>1.2</v>
      </c>
      <c r="B58" s="22">
        <v>-0.15</v>
      </c>
      <c r="C58" s="23">
        <v>0.74455901940998093</v>
      </c>
      <c r="D58" s="21">
        <v>-663925.77664089389</v>
      </c>
      <c r="E58" s="21">
        <v>22526953.570457473</v>
      </c>
      <c r="F58" s="21">
        <v>23190879.347098365</v>
      </c>
      <c r="G58" s="4"/>
      <c r="H58" s="27">
        <v>0.01</v>
      </c>
      <c r="I58" s="43" t="s">
        <v>44</v>
      </c>
      <c r="J58" s="29">
        <v>35866.701593260557</v>
      </c>
      <c r="K58" s="29">
        <v>-36643.188200363446</v>
      </c>
      <c r="L58" s="29">
        <v>-776.48660710293905</v>
      </c>
      <c r="M58" s="28" t="s">
        <v>14</v>
      </c>
    </row>
    <row r="59" spans="1:22" x14ac:dyDescent="0.2">
      <c r="A59" s="22">
        <v>1.2</v>
      </c>
      <c r="B59" s="22">
        <v>-0.14000000000000001</v>
      </c>
      <c r="C59" s="23">
        <v>0.67837363961413932</v>
      </c>
      <c r="D59" s="21">
        <v>-658745.89833479852</v>
      </c>
      <c r="E59" s="21">
        <v>22287689.753419742</v>
      </c>
      <c r="F59" s="21">
        <v>22946435.651754543</v>
      </c>
      <c r="G59" s="4"/>
      <c r="H59" s="27">
        <v>0.05</v>
      </c>
      <c r="I59" s="43" t="s">
        <v>44</v>
      </c>
      <c r="J59" s="29">
        <v>179333.5079663028</v>
      </c>
      <c r="K59" s="29">
        <v>-183215.94100181723</v>
      </c>
      <c r="L59" s="29">
        <v>-3882.4330355146953</v>
      </c>
      <c r="M59" s="28" t="s">
        <v>14</v>
      </c>
    </row>
    <row r="60" spans="1:22" x14ac:dyDescent="0.2">
      <c r="A60" s="22">
        <v>1.2</v>
      </c>
      <c r="B60" s="22">
        <v>-0.13500000000000001</v>
      </c>
      <c r="C60" s="23">
        <v>0.64533441223105303</v>
      </c>
      <c r="D60" s="21">
        <v>-656160.56444231281</v>
      </c>
      <c r="E60" s="21">
        <v>22168270.566543236</v>
      </c>
      <c r="F60" s="21">
        <v>22824431.130985547</v>
      </c>
      <c r="G60" s="4"/>
      <c r="H60" s="27">
        <v>0.1</v>
      </c>
      <c r="I60" s="43" t="s">
        <v>44</v>
      </c>
      <c r="J60" s="29">
        <v>358667.0159326056</v>
      </c>
      <c r="K60" s="29">
        <v>-366431.88200363447</v>
      </c>
      <c r="L60" s="29">
        <v>-7764.8660710293907</v>
      </c>
      <c r="M60" s="28" t="s">
        <v>14</v>
      </c>
    </row>
    <row r="61" spans="1:22" x14ac:dyDescent="0.2">
      <c r="A61" s="22">
        <v>1.2</v>
      </c>
      <c r="B61" s="22">
        <v>-0.13</v>
      </c>
      <c r="C61" s="23">
        <v>0.61241941799900435</v>
      </c>
      <c r="D61" s="21">
        <v>-653586.21115139942</v>
      </c>
      <c r="E61" s="21">
        <v>22049358.584757328</v>
      </c>
      <c r="F61" s="21">
        <v>22702944.795908727</v>
      </c>
      <c r="G61" s="4"/>
    </row>
    <row r="62" spans="1:22" x14ac:dyDescent="0.2">
      <c r="A62" s="22">
        <v>1.2</v>
      </c>
      <c r="B62" s="22">
        <v>-0.12</v>
      </c>
      <c r="C62" s="23">
        <v>0.54724325536743668</v>
      </c>
      <c r="D62" s="21">
        <v>-648494.85108634748</v>
      </c>
      <c r="E62" s="21">
        <v>21814183.514786221</v>
      </c>
      <c r="F62" s="21">
        <v>22462678.365872573</v>
      </c>
      <c r="G62" s="4"/>
    </row>
    <row r="63" spans="1:22" x14ac:dyDescent="0.2">
      <c r="A63" s="22">
        <v>1.2</v>
      </c>
      <c r="B63" s="22">
        <v>-0.11700000000000001</v>
      </c>
      <c r="C63" s="23">
        <v>0.52792817930659297</v>
      </c>
      <c r="D63" s="21">
        <v>-646988.11158010457</v>
      </c>
      <c r="E63" s="21">
        <v>21744585.693323709</v>
      </c>
      <c r="F63" s="21">
        <v>22391573.804903813</v>
      </c>
      <c r="G63" s="4"/>
    </row>
    <row r="64" spans="1:22" x14ac:dyDescent="0.2">
      <c r="A64" s="22">
        <v>1.2</v>
      </c>
      <c r="B64" s="22">
        <v>-0.115</v>
      </c>
      <c r="C64" s="23">
        <v>0.51512715602860371</v>
      </c>
      <c r="D64" s="21">
        <v>-645990.14620313025</v>
      </c>
      <c r="E64" s="21">
        <v>21698488.663382776</v>
      </c>
      <c r="F64" s="21">
        <v>22344478.80958591</v>
      </c>
      <c r="G64" s="4"/>
    </row>
    <row r="65" spans="1:7" x14ac:dyDescent="0.2">
      <c r="A65" s="22">
        <v>1.2</v>
      </c>
      <c r="B65" s="22">
        <v>-0.11</v>
      </c>
      <c r="C65" s="23">
        <v>0.48342412891202069</v>
      </c>
      <c r="D65" s="21">
        <v>-643520.91123978002</v>
      </c>
      <c r="E65" s="21">
        <v>21584432.20344647</v>
      </c>
      <c r="F65" s="21">
        <v>22227953.114686254</v>
      </c>
      <c r="G65" s="4"/>
    </row>
    <row r="66" spans="1:7" x14ac:dyDescent="0.2">
      <c r="A66" s="22">
        <v>1.2</v>
      </c>
      <c r="B66" s="22">
        <v>-0.1</v>
      </c>
      <c r="C66" s="23">
        <v>0.42155242211642552</v>
      </c>
      <c r="D66" s="21">
        <v>-638712.62451246043</v>
      </c>
      <c r="E66" s="21">
        <v>21362332.577199146</v>
      </c>
      <c r="F66" s="21">
        <v>22001045.201711614</v>
      </c>
      <c r="G66" s="4"/>
    </row>
    <row r="67" spans="1:7" x14ac:dyDescent="0.2">
      <c r="A67" s="22">
        <v>1.2</v>
      </c>
      <c r="B67" s="22">
        <v>-9.5000000000000001E-2</v>
      </c>
      <c r="C67" s="23">
        <v>0.39152838728579598</v>
      </c>
      <c r="D67" s="21">
        <v>-636384.95346795826</v>
      </c>
      <c r="E67" s="21">
        <v>21254815.097828947</v>
      </c>
      <c r="F67" s="21">
        <v>21891200.051296912</v>
      </c>
      <c r="G67" s="4"/>
    </row>
    <row r="68" spans="1:7" x14ac:dyDescent="0.2">
      <c r="A68" s="22">
        <v>1.2</v>
      </c>
      <c r="B68" s="22">
        <v>-7.0000000000000007E-2</v>
      </c>
      <c r="C68" s="23">
        <v>0.25315857385788321</v>
      </c>
      <c r="D68" s="21">
        <v>-625709.83730337769</v>
      </c>
      <c r="E68" s="21">
        <v>20761720.687125675</v>
      </c>
      <c r="F68" s="21">
        <v>21387430.524429053</v>
      </c>
      <c r="G68" s="4"/>
    </row>
    <row r="69" spans="1:7" x14ac:dyDescent="0.2">
      <c r="A69" s="22">
        <v>1.2</v>
      </c>
      <c r="B69" s="22">
        <v>-0.06</v>
      </c>
      <c r="C69" s="23">
        <v>0.20430337253694875</v>
      </c>
      <c r="D69" s="21">
        <v>-621961.52055587852</v>
      </c>
      <c r="E69" s="21">
        <v>20588582.146126032</v>
      </c>
      <c r="F69" s="21">
        <v>21210543.666681916</v>
      </c>
      <c r="G69" s="4"/>
    </row>
    <row r="70" spans="1:7" x14ac:dyDescent="0.2">
      <c r="A70" s="22">
        <v>1.2</v>
      </c>
      <c r="B70" s="22">
        <v>-0.05</v>
      </c>
      <c r="C70" s="23">
        <v>0.15961847754479785</v>
      </c>
      <c r="D70" s="21">
        <v>-618541.98459878436</v>
      </c>
      <c r="E70" s="21">
        <v>20430630.322310138</v>
      </c>
      <c r="F70" s="21">
        <v>21049172.306908924</v>
      </c>
      <c r="G70" s="4"/>
    </row>
  </sheetData>
  <mergeCells count="2">
    <mergeCell ref="X26:AB26"/>
    <mergeCell ref="AD26:AH26"/>
  </mergeCells>
  <pageMargins left="0.7" right="0.7" top="0.75" bottom="0.75" header="0.3" footer="0.3"/>
  <pageSetup paperSize="9" orientation="portrait" horizontalDpi="4294967294" verticalDpi="300" r:id="rId1"/>
  <ignoredErrors>
    <ignoredError sqref="T29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66</IloscPobran>
    <IloscPobranLast xmlns="15eff680-7205-4d96-b943-900c91f8b861">66</IloscPobranLa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249562-3E37-466F-8885-53F8492A2439}"/>
</file>

<file path=customXml/itemProps2.xml><?xml version="1.0" encoding="utf-8"?>
<ds:datastoreItem xmlns:ds="http://schemas.openxmlformats.org/officeDocument/2006/customXml" ds:itemID="{4ECB73A1-D53F-4F92-9B8A-8AFC9830D6AB}"/>
</file>

<file path=customXml/itemProps3.xml><?xml version="1.0" encoding="utf-8"?>
<ds:datastoreItem xmlns:ds="http://schemas.openxmlformats.org/officeDocument/2006/customXml" ds:itemID="{C7D73355-8D89-4A38-9483-62702FB19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2009-11-04T14:01:52Z</cp:lastPrinted>
  <dcterms:created xsi:type="dcterms:W3CDTF">2008-06-27T13:02:34Z</dcterms:created>
  <dcterms:modified xsi:type="dcterms:W3CDTF">2016-02-21T14:17:50Z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