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20" windowWidth="14595" windowHeight="7620"/>
  </bookViews>
  <sheets>
    <sheet name="Analysis" sheetId="4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/>
</workbook>
</file>

<file path=xl/calcChain.xml><?xml version="1.0" encoding="utf-8"?>
<calcChain xmlns="http://schemas.openxmlformats.org/spreadsheetml/2006/main">
  <c r="AJ8" i="4" l="1"/>
  <c r="AI8" i="4" l="1"/>
  <c r="Q10" i="4" l="1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9" i="4"/>
  <c r="Q29" i="4" l="1"/>
  <c r="C29" i="4" s="1"/>
  <c r="B28" i="4"/>
  <c r="R28" i="4" s="1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R27" i="4" l="1"/>
  <c r="O9" i="4"/>
  <c r="C10" i="4"/>
  <c r="AJ10" i="4" s="1"/>
  <c r="C20" i="4"/>
  <c r="AJ20" i="4" s="1"/>
  <c r="C9" i="4"/>
  <c r="AJ9" i="4" s="1"/>
  <c r="C14" i="4"/>
  <c r="C13" i="4"/>
  <c r="AJ13" i="4" s="1"/>
  <c r="C12" i="4"/>
  <c r="AJ12" i="4" s="1"/>
  <c r="C16" i="4"/>
  <c r="AJ16" i="4" s="1"/>
  <c r="C24" i="4"/>
  <c r="C21" i="4"/>
  <c r="AJ21" i="4" s="1"/>
  <c r="C28" i="4"/>
  <c r="AJ28" i="4" s="1"/>
  <c r="C17" i="4"/>
  <c r="AJ17" i="4" s="1"/>
  <c r="C25" i="4"/>
  <c r="D25" i="4" s="1"/>
  <c r="C18" i="4"/>
  <c r="AJ18" i="4" s="1"/>
  <c r="C22" i="4"/>
  <c r="AJ22" i="4" s="1"/>
  <c r="C26" i="4"/>
  <c r="AJ26" i="4" s="1"/>
  <c r="C11" i="4"/>
  <c r="C15" i="4"/>
  <c r="AJ15" i="4" s="1"/>
  <c r="C19" i="4"/>
  <c r="AJ19" i="4" s="1"/>
  <c r="C23" i="4"/>
  <c r="AJ23" i="4" s="1"/>
  <c r="C27" i="4"/>
  <c r="AJ27" i="4" s="1"/>
  <c r="B29" i="4"/>
  <c r="S28" i="4" s="1"/>
  <c r="Z28" i="4" s="1"/>
  <c r="L11" i="4" l="1"/>
  <c r="AJ11" i="4"/>
  <c r="L25" i="4"/>
  <c r="AJ25" i="4"/>
  <c r="L24" i="4"/>
  <c r="AJ24" i="4"/>
  <c r="L14" i="4"/>
  <c r="AJ14" i="4"/>
  <c r="S27" i="4"/>
  <c r="Z27" i="4" s="1"/>
  <c r="R26" i="4"/>
  <c r="P9" i="4"/>
  <c r="AC9" i="4" s="1"/>
  <c r="O10" i="4"/>
  <c r="D24" i="4"/>
  <c r="D14" i="4"/>
  <c r="D19" i="4"/>
  <c r="L19" i="4"/>
  <c r="D11" i="4"/>
  <c r="D23" i="4"/>
  <c r="L23" i="4"/>
  <c r="D15" i="4"/>
  <c r="L15" i="4"/>
  <c r="D26" i="4"/>
  <c r="L26" i="4"/>
  <c r="D18" i="4"/>
  <c r="L18" i="4"/>
  <c r="D17" i="4"/>
  <c r="L17" i="4"/>
  <c r="D21" i="4"/>
  <c r="L21" i="4"/>
  <c r="D16" i="4"/>
  <c r="L16" i="4"/>
  <c r="D13" i="4"/>
  <c r="L13" i="4"/>
  <c r="D9" i="4"/>
  <c r="L9" i="4"/>
  <c r="D10" i="4"/>
  <c r="L10" i="4"/>
  <c r="D27" i="4"/>
  <c r="L27" i="4"/>
  <c r="D22" i="4"/>
  <c r="L22" i="4"/>
  <c r="D28" i="4"/>
  <c r="E28" i="4" s="1"/>
  <c r="L28" i="4"/>
  <c r="D12" i="4"/>
  <c r="L12" i="4"/>
  <c r="D20" i="4"/>
  <c r="L20" i="4"/>
  <c r="E25" i="4"/>
  <c r="AG25" i="4" s="1"/>
  <c r="AG28" i="4" l="1"/>
  <c r="AH27" i="4"/>
  <c r="R25" i="4"/>
  <c r="S26" i="4"/>
  <c r="Z26" i="4" s="1"/>
  <c r="E10" i="4"/>
  <c r="P10" i="4"/>
  <c r="AC10" i="4" s="1"/>
  <c r="O11" i="4"/>
  <c r="E24" i="4"/>
  <c r="E13" i="4"/>
  <c r="AG13" i="4" s="1"/>
  <c r="E14" i="4"/>
  <c r="E15" i="4"/>
  <c r="AG15" i="4" s="1"/>
  <c r="E22" i="4"/>
  <c r="E21" i="4"/>
  <c r="AG21" i="4" s="1"/>
  <c r="E23" i="4"/>
  <c r="D30" i="4"/>
  <c r="G28" i="4" s="1"/>
  <c r="E26" i="4"/>
  <c r="E18" i="4"/>
  <c r="AG18" i="4" s="1"/>
  <c r="E17" i="4"/>
  <c r="E27" i="4"/>
  <c r="AG27" i="4" s="1"/>
  <c r="E16" i="4"/>
  <c r="AG16" i="4" s="1"/>
  <c r="E12" i="4"/>
  <c r="AG12" i="4" s="1"/>
  <c r="E20" i="4"/>
  <c r="AG20" i="4" s="1"/>
  <c r="E19" i="4"/>
  <c r="D29" i="4"/>
  <c r="E11" i="4"/>
  <c r="M9" i="4"/>
  <c r="G15" i="4" l="1"/>
  <c r="U28" i="4"/>
  <c r="AH10" i="4"/>
  <c r="AH18" i="4"/>
  <c r="AH16" i="4"/>
  <c r="AH25" i="4"/>
  <c r="AH22" i="4"/>
  <c r="AH20" i="4"/>
  <c r="AH12" i="4"/>
  <c r="AH23" i="4"/>
  <c r="AH9" i="4"/>
  <c r="AG10" i="4"/>
  <c r="AG24" i="4"/>
  <c r="AH19" i="4"/>
  <c r="AH11" i="4"/>
  <c r="AG14" i="4"/>
  <c r="AH15" i="4"/>
  <c r="AG26" i="4"/>
  <c r="AH17" i="4"/>
  <c r="AH21" i="4"/>
  <c r="AH13" i="4"/>
  <c r="AG22" i="4"/>
  <c r="AH24" i="4"/>
  <c r="AG19" i="4"/>
  <c r="AG11" i="4"/>
  <c r="AH14" i="4"/>
  <c r="AG23" i="4"/>
  <c r="AH26" i="4"/>
  <c r="AG17" i="4"/>
  <c r="R24" i="4"/>
  <c r="S25" i="4"/>
  <c r="Z25" i="4" s="1"/>
  <c r="U23" i="4"/>
  <c r="V23" i="4" s="1"/>
  <c r="U17" i="4"/>
  <c r="V17" i="4" s="1"/>
  <c r="U9" i="4"/>
  <c r="V9" i="4" s="1"/>
  <c r="U19" i="4"/>
  <c r="V19" i="4" s="1"/>
  <c r="U25" i="4"/>
  <c r="U26" i="4"/>
  <c r="V26" i="4" s="1"/>
  <c r="U16" i="4"/>
  <c r="V16" i="4" s="1"/>
  <c r="U22" i="4"/>
  <c r="V22" i="4" s="1"/>
  <c r="V25" i="4"/>
  <c r="W28" i="4"/>
  <c r="V28" i="4"/>
  <c r="C30" i="4"/>
  <c r="AA10" i="4"/>
  <c r="AE30" i="4" s="1"/>
  <c r="U14" i="4"/>
  <c r="U15" i="4"/>
  <c r="U18" i="4"/>
  <c r="U21" i="4"/>
  <c r="U13" i="4"/>
  <c r="U10" i="4"/>
  <c r="U12" i="4"/>
  <c r="U24" i="4"/>
  <c r="U11" i="4"/>
  <c r="U27" i="4"/>
  <c r="U20" i="4"/>
  <c r="P11" i="4"/>
  <c r="AC11" i="4" s="1"/>
  <c r="O12" i="4"/>
  <c r="G13" i="4"/>
  <c r="G17" i="4"/>
  <c r="G10" i="4"/>
  <c r="N10" i="4" s="1"/>
  <c r="G9" i="4"/>
  <c r="N9" i="4" s="1"/>
  <c r="G19" i="4"/>
  <c r="G20" i="4"/>
  <c r="G12" i="4"/>
  <c r="G16" i="4"/>
  <c r="G14" i="4"/>
  <c r="G11" i="4"/>
  <c r="G18" i="4"/>
  <c r="M10" i="4"/>
  <c r="N11" i="4" l="1"/>
  <c r="AD11" i="4"/>
  <c r="AD20" i="4"/>
  <c r="AD18" i="4"/>
  <c r="AD15" i="4"/>
  <c r="AH29" i="4"/>
  <c r="AD36" i="4" s="1"/>
  <c r="W16" i="4"/>
  <c r="I16" i="4"/>
  <c r="AD16" i="4"/>
  <c r="I9" i="4"/>
  <c r="AD9" i="4"/>
  <c r="AE9" i="4" s="1"/>
  <c r="AD17" i="4"/>
  <c r="R23" i="4"/>
  <c r="S24" i="4"/>
  <c r="Z24" i="4" s="1"/>
  <c r="I15" i="4"/>
  <c r="AD14" i="4"/>
  <c r="I13" i="4"/>
  <c r="AD12" i="4"/>
  <c r="AD19" i="4"/>
  <c r="AD10" i="4"/>
  <c r="AE10" i="4" s="1"/>
  <c r="AD13" i="4"/>
  <c r="AE11" i="4"/>
  <c r="W22" i="4"/>
  <c r="W25" i="4"/>
  <c r="W27" i="4"/>
  <c r="V27" i="4"/>
  <c r="W24" i="4"/>
  <c r="V24" i="4"/>
  <c r="W10" i="4"/>
  <c r="V10" i="4"/>
  <c r="W21" i="4"/>
  <c r="V21" i="4"/>
  <c r="W15" i="4"/>
  <c r="V15" i="4"/>
  <c r="W20" i="4"/>
  <c r="V20" i="4"/>
  <c r="W11" i="4"/>
  <c r="V11" i="4"/>
  <c r="W12" i="4"/>
  <c r="V12" i="4"/>
  <c r="W13" i="4"/>
  <c r="V13" i="4"/>
  <c r="W18" i="4"/>
  <c r="V18" i="4"/>
  <c r="W14" i="4"/>
  <c r="V14" i="4"/>
  <c r="W19" i="4"/>
  <c r="W9" i="4"/>
  <c r="W17" i="4"/>
  <c r="W26" i="4"/>
  <c r="W23" i="4"/>
  <c r="I14" i="4"/>
  <c r="I17" i="4"/>
  <c r="P12" i="4"/>
  <c r="AC12" i="4" s="1"/>
  <c r="AE12" i="4" s="1"/>
  <c r="O13" i="4"/>
  <c r="I10" i="4"/>
  <c r="I19" i="4"/>
  <c r="I11" i="4"/>
  <c r="I20" i="4"/>
  <c r="I18" i="4"/>
  <c r="I12" i="4"/>
  <c r="M11" i="4"/>
  <c r="N12" i="4" l="1"/>
  <c r="R22" i="4"/>
  <c r="S23" i="4"/>
  <c r="Z23" i="4" s="1"/>
  <c r="P13" i="4"/>
  <c r="O14" i="4"/>
  <c r="M12" i="4"/>
  <c r="E9" i="4"/>
  <c r="AG9" i="4" s="1"/>
  <c r="AG29" i="4" s="1"/>
  <c r="AD35" i="4" s="1"/>
  <c r="AC13" i="4" l="1"/>
  <c r="AE13" i="4" s="1"/>
  <c r="N13" i="4"/>
  <c r="R21" i="4"/>
  <c r="S22" i="4"/>
  <c r="Z22" i="4" s="1"/>
  <c r="P14" i="4"/>
  <c r="O15" i="4"/>
  <c r="M13" i="4"/>
  <c r="E29" i="4"/>
  <c r="AD34" i="4" s="1"/>
  <c r="AD37" i="4" s="1"/>
  <c r="AD39" i="4" s="1"/>
  <c r="G27" i="4"/>
  <c r="G25" i="4"/>
  <c r="G23" i="4"/>
  <c r="G21" i="4"/>
  <c r="G26" i="4"/>
  <c r="G24" i="4"/>
  <c r="G22" i="4"/>
  <c r="AC14" i="4" l="1"/>
  <c r="AE14" i="4" s="1"/>
  <c r="N14" i="4"/>
  <c r="AD22" i="4"/>
  <c r="AD24" i="4"/>
  <c r="AD26" i="4"/>
  <c r="I21" i="4"/>
  <c r="AD21" i="4"/>
  <c r="AD25" i="4"/>
  <c r="R20" i="4"/>
  <c r="S21" i="4"/>
  <c r="Z21" i="4" s="1"/>
  <c r="AD23" i="4"/>
  <c r="AD27" i="4"/>
  <c r="AD28" i="4"/>
  <c r="F26" i="4"/>
  <c r="AI26" i="4" s="1"/>
  <c r="T28" i="4"/>
  <c r="T11" i="4"/>
  <c r="T20" i="4"/>
  <c r="T17" i="4"/>
  <c r="T23" i="4"/>
  <c r="T14" i="4"/>
  <c r="T25" i="4"/>
  <c r="T27" i="4"/>
  <c r="T21" i="4"/>
  <c r="T13" i="4"/>
  <c r="X13" i="4" s="1"/>
  <c r="Y13" i="4" s="1"/>
  <c r="T19" i="4"/>
  <c r="T16" i="4"/>
  <c r="X16" i="4" s="1"/>
  <c r="Y16" i="4" s="1"/>
  <c r="T26" i="4"/>
  <c r="T22" i="4"/>
  <c r="T24" i="4"/>
  <c r="T12" i="4"/>
  <c r="X12" i="4" s="1"/>
  <c r="Y12" i="4" s="1"/>
  <c r="T18" i="4"/>
  <c r="X18" i="4" s="1"/>
  <c r="Y18" i="4" s="1"/>
  <c r="T15" i="4"/>
  <c r="X15" i="4" s="1"/>
  <c r="Y15" i="4" s="1"/>
  <c r="T10" i="4"/>
  <c r="T9" i="4"/>
  <c r="P15" i="4"/>
  <c r="O16" i="4"/>
  <c r="M14" i="4"/>
  <c r="I22" i="4"/>
  <c r="I26" i="4"/>
  <c r="I27" i="4"/>
  <c r="I28" i="4"/>
  <c r="F11" i="4"/>
  <c r="AI11" i="4" s="1"/>
  <c r="I24" i="4"/>
  <c r="I25" i="4"/>
  <c r="F10" i="4"/>
  <c r="AI10" i="4" s="1"/>
  <c r="F9" i="4"/>
  <c r="AI9" i="4" s="1"/>
  <c r="F14" i="4"/>
  <c r="AI14" i="4" s="1"/>
  <c r="F13" i="4"/>
  <c r="AI13" i="4" s="1"/>
  <c r="F21" i="4"/>
  <c r="AI21" i="4" s="1"/>
  <c r="F25" i="4"/>
  <c r="H26" i="4" s="1"/>
  <c r="F12" i="4"/>
  <c r="AI12" i="4" s="1"/>
  <c r="F17" i="4"/>
  <c r="AI17" i="4" s="1"/>
  <c r="F20" i="4"/>
  <c r="F24" i="4"/>
  <c r="H25" i="4" s="1"/>
  <c r="J25" i="4" s="1"/>
  <c r="F28" i="4"/>
  <c r="AI28" i="4" s="1"/>
  <c r="I23" i="4"/>
  <c r="F16" i="4"/>
  <c r="AI16" i="4" s="1"/>
  <c r="F19" i="4"/>
  <c r="AI19" i="4" s="1"/>
  <c r="F23" i="4"/>
  <c r="AI23" i="4" s="1"/>
  <c r="F27" i="4"/>
  <c r="AI27" i="4" s="1"/>
  <c r="F15" i="4"/>
  <c r="F18" i="4"/>
  <c r="F22" i="4"/>
  <c r="H23" i="4" s="1"/>
  <c r="X19" i="4" l="1"/>
  <c r="Y19" i="4" s="1"/>
  <c r="X10" i="4"/>
  <c r="Y10" i="4" s="1"/>
  <c r="X26" i="4"/>
  <c r="Y26" i="4" s="1"/>
  <c r="AC15" i="4"/>
  <c r="AE15" i="4" s="1"/>
  <c r="N15" i="4"/>
  <c r="AI22" i="4"/>
  <c r="H19" i="4"/>
  <c r="J19" i="4" s="1"/>
  <c r="AI18" i="4"/>
  <c r="H16" i="4"/>
  <c r="J16" i="4" s="1"/>
  <c r="AI15" i="4"/>
  <c r="H21" i="4"/>
  <c r="J21" i="4" s="1"/>
  <c r="AI20" i="4"/>
  <c r="AI25" i="4"/>
  <c r="AI24" i="4"/>
  <c r="X28" i="4"/>
  <c r="Y28" i="4" s="1"/>
  <c r="R19" i="4"/>
  <c r="S20" i="4"/>
  <c r="Z20" i="4" s="1"/>
  <c r="X22" i="4"/>
  <c r="Y22" i="4" s="1"/>
  <c r="X27" i="4"/>
  <c r="Y27" i="4" s="1"/>
  <c r="X21" i="4"/>
  <c r="Y21" i="4" s="1"/>
  <c r="X25" i="4"/>
  <c r="Y25" i="4" s="1"/>
  <c r="X23" i="4"/>
  <c r="Y23" i="4" s="1"/>
  <c r="X20" i="4"/>
  <c r="Y20" i="4" s="1"/>
  <c r="X24" i="4"/>
  <c r="Y24" i="4" s="1"/>
  <c r="X9" i="4"/>
  <c r="Y9" i="4" s="1"/>
  <c r="X14" i="4"/>
  <c r="Y14" i="4" s="1"/>
  <c r="X17" i="4"/>
  <c r="Y17" i="4" s="1"/>
  <c r="X11" i="4"/>
  <c r="Y11" i="4" s="1"/>
  <c r="P16" i="4"/>
  <c r="O17" i="4"/>
  <c r="J26" i="4"/>
  <c r="M15" i="4"/>
  <c r="H20" i="4"/>
  <c r="J20" i="4" s="1"/>
  <c r="H14" i="4"/>
  <c r="J14" i="4" s="1"/>
  <c r="H28" i="4"/>
  <c r="J28" i="4" s="1"/>
  <c r="H12" i="4"/>
  <c r="J12" i="4" s="1"/>
  <c r="J23" i="4"/>
  <c r="H24" i="4"/>
  <c r="J24" i="4" s="1"/>
  <c r="H17" i="4"/>
  <c r="J17" i="4" s="1"/>
  <c r="H13" i="4"/>
  <c r="J13" i="4" s="1"/>
  <c r="H22" i="4"/>
  <c r="J22" i="4" s="1"/>
  <c r="H15" i="4"/>
  <c r="J15" i="4" s="1"/>
  <c r="H11" i="4"/>
  <c r="J11" i="4" s="1"/>
  <c r="H27" i="4"/>
  <c r="J27" i="4" s="1"/>
  <c r="H9" i="4"/>
  <c r="J9" i="4" s="1"/>
  <c r="H10" i="4"/>
  <c r="J10" i="4" s="1"/>
  <c r="H18" i="4"/>
  <c r="J18" i="4" s="1"/>
  <c r="G29" i="4" l="1"/>
  <c r="AC16" i="4"/>
  <c r="AE16" i="4" s="1"/>
  <c r="N16" i="4"/>
  <c r="R18" i="4"/>
  <c r="S19" i="4"/>
  <c r="Z19" i="4" s="1"/>
  <c r="Y29" i="4"/>
  <c r="Y30" i="4" s="1"/>
  <c r="P17" i="4"/>
  <c r="O18" i="4"/>
  <c r="M16" i="4"/>
  <c r="J29" i="4"/>
  <c r="AC17" i="4" l="1"/>
  <c r="AE17" i="4" s="1"/>
  <c r="N17" i="4"/>
  <c r="R17" i="4"/>
  <c r="S18" i="4"/>
  <c r="Z18" i="4" s="1"/>
  <c r="J30" i="4"/>
  <c r="B3" i="4" s="1"/>
  <c r="J31" i="4"/>
  <c r="P18" i="4"/>
  <c r="O19" i="4"/>
  <c r="M17" i="4"/>
  <c r="AC18" i="4" l="1"/>
  <c r="AE18" i="4" s="1"/>
  <c r="N18" i="4"/>
  <c r="R16" i="4"/>
  <c r="S17" i="4"/>
  <c r="Z17" i="4" s="1"/>
  <c r="P19" i="4"/>
  <c r="O20" i="4"/>
  <c r="M18" i="4"/>
  <c r="AC19" i="4" l="1"/>
  <c r="AE19" i="4" s="1"/>
  <c r="N19" i="4"/>
  <c r="R15" i="4"/>
  <c r="S16" i="4"/>
  <c r="Z16" i="4" s="1"/>
  <c r="P20" i="4"/>
  <c r="O21" i="4"/>
  <c r="M19" i="4"/>
  <c r="AC20" i="4" l="1"/>
  <c r="AE20" i="4" s="1"/>
  <c r="N20" i="4"/>
  <c r="R14" i="4"/>
  <c r="S15" i="4"/>
  <c r="Z15" i="4" s="1"/>
  <c r="P21" i="4"/>
  <c r="O22" i="4"/>
  <c r="M20" i="4"/>
  <c r="AC21" i="4" l="1"/>
  <c r="AE21" i="4" s="1"/>
  <c r="N21" i="4"/>
  <c r="R13" i="4"/>
  <c r="S14" i="4"/>
  <c r="Z14" i="4" s="1"/>
  <c r="P22" i="4"/>
  <c r="O23" i="4"/>
  <c r="M21" i="4"/>
  <c r="AC22" i="4" l="1"/>
  <c r="AE22" i="4" s="1"/>
  <c r="N22" i="4"/>
  <c r="R12" i="4"/>
  <c r="S13" i="4"/>
  <c r="Z13" i="4" s="1"/>
  <c r="P23" i="4"/>
  <c r="O24" i="4"/>
  <c r="M22" i="4"/>
  <c r="AC23" i="4" l="1"/>
  <c r="AE23" i="4" s="1"/>
  <c r="N23" i="4"/>
  <c r="R11" i="4"/>
  <c r="S12" i="4"/>
  <c r="Z12" i="4" s="1"/>
  <c r="P24" i="4"/>
  <c r="O25" i="4"/>
  <c r="M23" i="4"/>
  <c r="AC24" i="4" l="1"/>
  <c r="AE24" i="4" s="1"/>
  <c r="N24" i="4"/>
  <c r="R10" i="4"/>
  <c r="S11" i="4"/>
  <c r="Z11" i="4" s="1"/>
  <c r="P25" i="4"/>
  <c r="O26" i="4"/>
  <c r="M24" i="4"/>
  <c r="AC25" i="4" l="1"/>
  <c r="AE25" i="4" s="1"/>
  <c r="N25" i="4"/>
  <c r="R9" i="4"/>
  <c r="S9" i="4" s="1"/>
  <c r="Z9" i="4" s="1"/>
  <c r="S10" i="4"/>
  <c r="Z10" i="4" s="1"/>
  <c r="P26" i="4"/>
  <c r="O27" i="4"/>
  <c r="M25" i="4"/>
  <c r="AC26" i="4" l="1"/>
  <c r="AE26" i="4" s="1"/>
  <c r="N26" i="4"/>
  <c r="P27" i="4"/>
  <c r="O28" i="4"/>
  <c r="P28" i="4" s="1"/>
  <c r="N28" i="4" s="1"/>
  <c r="M26" i="4"/>
  <c r="AC27" i="4" l="1"/>
  <c r="AE27" i="4" s="1"/>
  <c r="N27" i="4"/>
  <c r="AC28" i="4"/>
  <c r="AE28" i="4" s="1"/>
  <c r="AE29" i="4" s="1"/>
  <c r="AE31" i="4" s="1"/>
  <c r="M27" i="4"/>
  <c r="M28" i="4" l="1"/>
</calcChain>
</file>

<file path=xl/sharedStrings.xml><?xml version="1.0" encoding="utf-8"?>
<sst xmlns="http://schemas.openxmlformats.org/spreadsheetml/2006/main" count="71" uniqueCount="63">
  <si>
    <t>Score bands</t>
  </si>
  <si>
    <t>a</t>
  </si>
  <si>
    <t>b</t>
  </si>
  <si>
    <t>Z</t>
  </si>
  <si>
    <t>Gini global</t>
  </si>
  <si>
    <t>Gini</t>
  </si>
  <si>
    <t>Number of cases</t>
  </si>
  <si>
    <t>Observed response rate</t>
  </si>
  <si>
    <t>Lift</t>
  </si>
  <si>
    <t>Global bad rate</t>
  </si>
  <si>
    <t>Observed bad rate</t>
  </si>
  <si>
    <t>Bads</t>
  </si>
  <si>
    <t>Gains</t>
  </si>
  <si>
    <t>TPrate</t>
  </si>
  <si>
    <t>Sensitivity</t>
  </si>
  <si>
    <t>Hit rate</t>
  </si>
  <si>
    <t>1-Specificity</t>
  </si>
  <si>
    <t>False alarm rate</t>
  </si>
  <si>
    <t>x</t>
  </si>
  <si>
    <t>y</t>
  </si>
  <si>
    <t>x-</t>
  </si>
  <si>
    <t>y+</t>
  </si>
  <si>
    <t>Z new</t>
  </si>
  <si>
    <t>AUC</t>
  </si>
  <si>
    <t>ROC</t>
  </si>
  <si>
    <t>Random model ROC</t>
  </si>
  <si>
    <t>Random model CAP</t>
  </si>
  <si>
    <t>CAP</t>
  </si>
  <si>
    <t>CAP x-</t>
  </si>
  <si>
    <t>CAP y+</t>
  </si>
  <si>
    <t>CAP Z</t>
  </si>
  <si>
    <t>Gini from CAP</t>
  </si>
  <si>
    <t>%Bad captured</t>
  </si>
  <si>
    <t>%Goods remain</t>
  </si>
  <si>
    <t>%Bads remain</t>
  </si>
  <si>
    <t>%Good captured</t>
  </si>
  <si>
    <t>Formal AUC</t>
  </si>
  <si>
    <t>KS</t>
  </si>
  <si>
    <t>Somers'  D</t>
  </si>
  <si>
    <t>Goods</t>
  </si>
  <si>
    <t>Cumgoods%</t>
  </si>
  <si>
    <t>Cum bads%</t>
  </si>
  <si>
    <t>Cumgoods+</t>
  </si>
  <si>
    <t>Cumbads-</t>
  </si>
  <si>
    <t>Cumbads</t>
  </si>
  <si>
    <t>Cum lift</t>
  </si>
  <si>
    <t>All cum</t>
  </si>
  <si>
    <t>Acc rate</t>
  </si>
  <si>
    <t>Reverse all cum</t>
  </si>
  <si>
    <t>Reverse acc rate</t>
  </si>
  <si>
    <t>Tied</t>
  </si>
  <si>
    <t>Concordant</t>
  </si>
  <si>
    <t>Sum Z</t>
  </si>
  <si>
    <t xml:space="preserve">Gini </t>
  </si>
  <si>
    <t>AR</t>
  </si>
  <si>
    <t>AP</t>
  </si>
  <si>
    <t>AR/AP</t>
  </si>
  <si>
    <t>Number of pairs</t>
  </si>
  <si>
    <t>Number of tied</t>
  </si>
  <si>
    <t>Number of concordant</t>
  </si>
  <si>
    <t>Number of discordant</t>
  </si>
  <si>
    <t>FPrate</t>
  </si>
  <si>
    <t>CAP crystal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</si>
</sst>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2" borderId="1" xfId="0" applyNumberFormat="1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2" borderId="1" xfId="0" applyNumberForma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2" fontId="0" fillId="3" borderId="0" xfId="0" applyNumberFormat="1" applyFill="1" applyBorder="1" applyAlignment="1">
      <alignment vertical="center" wrapText="1"/>
    </xf>
    <xf numFmtId="2" fontId="0" fillId="0" borderId="0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3" fontId="0" fillId="0" borderId="3" xfId="0" applyNumberFormat="1" applyFill="1" applyBorder="1" applyAlignment="1">
      <alignment vertical="center" wrapText="1"/>
    </xf>
    <xf numFmtId="10" fontId="2" fillId="4" borderId="3" xfId="1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10" fontId="0" fillId="6" borderId="3" xfId="1" applyNumberFormat="1" applyFont="1" applyFill="1" applyBorder="1" applyAlignment="1">
      <alignment vertical="center" wrapText="1"/>
    </xf>
    <xf numFmtId="10" fontId="0" fillId="0" borderId="3" xfId="1" applyNumberFormat="1" applyFont="1" applyBorder="1" applyAlignment="1">
      <alignment vertical="center" wrapText="1"/>
    </xf>
    <xf numFmtId="2" fontId="0" fillId="3" borderId="3" xfId="0" applyNumberFormat="1" applyFill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10" fontId="0" fillId="0" borderId="3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3" fontId="0" fillId="0" borderId="0" xfId="0" applyNumberFormat="1" applyFill="1" applyBorder="1" applyAlignment="1">
      <alignment vertical="center" wrapText="1"/>
    </xf>
    <xf numFmtId="10" fontId="2" fillId="4" borderId="0" xfId="1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10" fontId="0" fillId="6" borderId="0" xfId="1" applyNumberFormat="1" applyFont="1" applyFill="1" applyBorder="1" applyAlignment="1">
      <alignment vertical="center" wrapText="1"/>
    </xf>
    <xf numFmtId="10" fontId="0" fillId="0" borderId="0" xfId="1" applyNumberFormat="1" applyFont="1" applyBorder="1" applyAlignment="1">
      <alignment vertical="center" wrapText="1"/>
    </xf>
    <xf numFmtId="1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3" fontId="0" fillId="0" borderId="8" xfId="0" applyNumberFormat="1" applyFill="1" applyBorder="1" applyAlignment="1">
      <alignment vertical="center" wrapText="1"/>
    </xf>
    <xf numFmtId="10" fontId="2" fillId="4" borderId="8" xfId="1" applyNumberFormat="1" applyFont="1" applyFill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10" fontId="0" fillId="6" borderId="8" xfId="1" applyNumberFormat="1" applyFont="1" applyFill="1" applyBorder="1" applyAlignment="1">
      <alignment vertical="center" wrapText="1"/>
    </xf>
    <xf numFmtId="10" fontId="0" fillId="0" borderId="8" xfId="1" applyNumberFormat="1" applyFont="1" applyBorder="1" applyAlignment="1">
      <alignment vertical="center" wrapText="1"/>
    </xf>
    <xf numFmtId="2" fontId="0" fillId="3" borderId="8" xfId="0" applyNumberFormat="1" applyFill="1" applyBorder="1" applyAlignment="1">
      <alignment vertical="center" wrapText="1"/>
    </xf>
    <xf numFmtId="2" fontId="0" fillId="0" borderId="8" xfId="0" applyNumberFormat="1" applyBorder="1" applyAlignment="1">
      <alignment vertical="center" wrapText="1"/>
    </xf>
    <xf numFmtId="10" fontId="0" fillId="0" borderId="8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0" fontId="1" fillId="0" borderId="1" xfId="1" applyNumberFormat="1" applyFont="1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10" fontId="0" fillId="0" borderId="12" xfId="1" applyNumberFormat="1" applyFont="1" applyBorder="1" applyAlignment="1">
      <alignment vertical="center" wrapText="1"/>
    </xf>
    <xf numFmtId="3" fontId="0" fillId="0" borderId="12" xfId="0" applyNumberFormat="1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10" fontId="0" fillId="0" borderId="11" xfId="1" applyNumberFormat="1" applyFont="1" applyBorder="1" applyAlignment="1">
      <alignment vertical="center" wrapText="1"/>
    </xf>
    <xf numFmtId="10" fontId="0" fillId="0" borderId="11" xfId="0" applyNumberFormat="1" applyBorder="1" applyAlignment="1">
      <alignment vertical="center" wrapText="1"/>
    </xf>
    <xf numFmtId="2" fontId="0" fillId="7" borderId="12" xfId="1" applyNumberFormat="1" applyFont="1" applyFill="1" applyBorder="1" applyAlignment="1">
      <alignment vertical="center" wrapText="1"/>
    </xf>
    <xf numFmtId="10" fontId="1" fillId="0" borderId="12" xfId="1" applyNumberFormat="1" applyFont="1" applyBorder="1" applyAlignment="1">
      <alignment vertical="center" wrapText="1"/>
    </xf>
    <xf numFmtId="1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3" fontId="0" fillId="0" borderId="12" xfId="0" applyNumberFormat="1" applyFill="1" applyBorder="1" applyAlignment="1">
      <alignment vertical="center" wrapText="1"/>
    </xf>
    <xf numFmtId="10" fontId="0" fillId="0" borderId="4" xfId="0" applyNumberFormat="1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10" fontId="0" fillId="0" borderId="9" xfId="0" applyNumberFormat="1" applyBorder="1" applyAlignment="1">
      <alignment vertical="center" wrapText="1"/>
    </xf>
    <xf numFmtId="10" fontId="2" fillId="4" borderId="12" xfId="1" applyNumberFormat="1" applyFont="1" applyFill="1" applyBorder="1" applyAlignment="1">
      <alignment vertical="center" wrapText="1"/>
    </xf>
    <xf numFmtId="3" fontId="0" fillId="5" borderId="12" xfId="0" applyNumberFormat="1" applyFill="1" applyBorder="1" applyAlignment="1">
      <alignment vertical="center" wrapText="1"/>
    </xf>
    <xf numFmtId="0" fontId="0" fillId="7" borderId="12" xfId="0" applyFill="1" applyBorder="1" applyAlignment="1">
      <alignment horizontal="right" vertical="center" wrapText="1"/>
    </xf>
    <xf numFmtId="10" fontId="0" fillId="0" borderId="4" xfId="1" applyNumberFormat="1" applyFont="1" applyBorder="1" applyAlignment="1">
      <alignment vertical="center" wrapText="1"/>
    </xf>
    <xf numFmtId="10" fontId="0" fillId="0" borderId="6" xfId="1" applyNumberFormat="1" applyFont="1" applyBorder="1" applyAlignment="1">
      <alignment vertical="center" wrapText="1"/>
    </xf>
    <xf numFmtId="10" fontId="0" fillId="0" borderId="9" xfId="1" applyNumberFormat="1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9" fontId="0" fillId="0" borderId="11" xfId="0" applyNumberFormat="1" applyBorder="1" applyAlignment="1">
      <alignment vertical="center" wrapText="1"/>
    </xf>
    <xf numFmtId="10" fontId="0" fillId="6" borderId="11" xfId="1" applyNumberFormat="1" applyFont="1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Bad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Analysis!$C$9:$C$28</c:f>
              <c:numCache>
                <c:formatCode>0.00%</c:formatCode>
                <c:ptCount val="20"/>
                <c:pt idx="0">
                  <c:v>0.61862919611717515</c:v>
                </c:pt>
                <c:pt idx="1">
                  <c:v>0.52681799972438925</c:v>
                </c:pt>
                <c:pt idx="2">
                  <c:v>0.43132209764938523</c:v>
                </c:pt>
                <c:pt idx="3">
                  <c:v>0.33951090125659927</c:v>
                </c:pt>
                <c:pt idx="4">
                  <c:v>0.25768355965928841</c:v>
                </c:pt>
                <c:pt idx="5">
                  <c:v>0.18953554827858185</c:v>
                </c:pt>
                <c:pt idx="6">
                  <c:v>0.13591319313632697</c:v>
                </c:pt>
                <c:pt idx="7">
                  <c:v>9.5574943358216743E-2</c:v>
                </c:pt>
                <c:pt idx="8">
                  <c:v>6.6244292800043278E-2</c:v>
                </c:pt>
                <c:pt idx="9">
                  <c:v>4.5440630744390115E-2</c:v>
                </c:pt>
                <c:pt idx="10">
                  <c:v>3.0943579690904652E-2</c:v>
                </c:pt>
                <c:pt idx="11">
                  <c:v>2.096532306540598E-2</c:v>
                </c:pt>
                <c:pt idx="12">
                  <c:v>1.4155592165195874E-2</c:v>
                </c:pt>
                <c:pt idx="13">
                  <c:v>9.5352204098002134E-3</c:v>
                </c:pt>
                <c:pt idx="14">
                  <c:v>6.412688836302448E-3</c:v>
                </c:pt>
                <c:pt idx="15">
                  <c:v>4.3080596042432695E-3</c:v>
                </c:pt>
                <c:pt idx="16">
                  <c:v>2.8920657112707173E-3</c:v>
                </c:pt>
                <c:pt idx="17">
                  <c:v>1.9405406747773446E-3</c:v>
                </c:pt>
                <c:pt idx="18">
                  <c:v>1.3016524375882171E-3</c:v>
                </c:pt>
                <c:pt idx="19">
                  <c:v>8.7291468011552783E-4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7369216"/>
        <c:axId val="107371136"/>
      </c:lineChart>
      <c:catAx>
        <c:axId val="1073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07371136"/>
        <c:crosses val="autoZero"/>
        <c:auto val="1"/>
        <c:lblAlgn val="ctr"/>
        <c:lblOffset val="100"/>
        <c:noMultiLvlLbl val="0"/>
      </c:catAx>
      <c:valAx>
        <c:axId val="1073711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0736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Lift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Analysis!$P$9:$P$28</c:f>
              <c:numCache>
                <c:formatCode>0.00%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Analysis!$N$9:$N$28</c:f>
              <c:numCache>
                <c:formatCode>0.00</c:formatCode>
                <c:ptCount val="20"/>
                <c:pt idx="0">
                  <c:v>4.4187799722655363</c:v>
                </c:pt>
                <c:pt idx="1">
                  <c:v>4.0908828422913004</c:v>
                </c:pt>
                <c:pt idx="2">
                  <c:v>3.7542126035498802</c:v>
                </c:pt>
                <c:pt idx="3">
                  <c:v>3.4219289191920512</c:v>
                </c:pt>
                <c:pt idx="4">
                  <c:v>3.1056625062954817</c:v>
                </c:pt>
                <c:pt idx="5">
                  <c:v>2.8136896460540703</c:v>
                </c:pt>
                <c:pt idx="6">
                  <c:v>2.5504209141038223</c:v>
                </c:pt>
                <c:pt idx="7">
                  <c:v>2.3169530706963952</c:v>
                </c:pt>
                <c:pt idx="8">
                  <c:v>2.1120886761746078</c:v>
                </c:pt>
                <c:pt idx="9">
                  <c:v>1.933337401945997</c:v>
                </c:pt>
                <c:pt idx="10">
                  <c:v>1.7776726898800652</c:v>
                </c:pt>
                <c:pt idx="11">
                  <c:v>1.64201265802423</c:v>
                </c:pt>
                <c:pt idx="12">
                  <c:v>1.5234817899153308</c:v>
                </c:pt>
                <c:pt idx="13">
                  <c:v>1.4195265704365829</c:v>
                </c:pt>
                <c:pt idx="14">
                  <c:v>1.3279451270914309</c:v>
                </c:pt>
                <c:pt idx="15">
                  <c:v>1.246871797542968</c:v>
                </c:pt>
                <c:pt idx="16">
                  <c:v>1.1747415513476971</c:v>
                </c:pt>
                <c:pt idx="17">
                  <c:v>1.110248187651705</c:v>
                </c:pt>
                <c:pt idx="18">
                  <c:v>1.0523034155337911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7285120"/>
        <c:axId val="107406080"/>
      </c:lineChart>
      <c:catAx>
        <c:axId val="1072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07406080"/>
        <c:crosses val="autoZero"/>
        <c:auto val="1"/>
        <c:lblAlgn val="ctr"/>
        <c:lblOffset val="100"/>
        <c:noMultiLvlLbl val="0"/>
      </c:catAx>
      <c:valAx>
        <c:axId val="107406080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0728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ROC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Analysis!$U$9:$U$29</c:f>
              <c:numCache>
                <c:formatCode>0.00%</c:formatCode>
                <c:ptCount val="21"/>
                <c:pt idx="0">
                  <c:v>1</c:v>
                </c:pt>
                <c:pt idx="1">
                  <c:v>0.77906100138672341</c:v>
                </c:pt>
                <c:pt idx="2">
                  <c:v>0.59091171577087009</c:v>
                </c:pt>
                <c:pt idx="3">
                  <c:v>0.43686810946751825</c:v>
                </c:pt>
                <c:pt idx="4">
                  <c:v>0.31561421616158986</c:v>
                </c:pt>
                <c:pt idx="5">
                  <c:v>0.22358437342612972</c:v>
                </c:pt>
                <c:pt idx="6">
                  <c:v>0.15589310618377905</c:v>
                </c:pt>
                <c:pt idx="7">
                  <c:v>0.10735268006366226</c:v>
                </c:pt>
                <c:pt idx="8">
                  <c:v>7.3218771721442005E-2</c:v>
                </c:pt>
                <c:pt idx="9">
                  <c:v>4.9560095721426563E-2</c:v>
                </c:pt>
                <c:pt idx="10">
                  <c:v>3.3331299027001514E-2</c:v>
                </c:pt>
                <c:pt idx="11">
                  <c:v>2.2280020565964141E-2</c:v>
                </c:pt>
                <c:pt idx="12">
                  <c:v>1.4792405185462005E-2</c:v>
                </c:pt>
                <c:pt idx="13">
                  <c:v>9.7368365550349056E-3</c:v>
                </c:pt>
                <c:pt idx="14">
                  <c:v>6.3314006943919728E-3</c:v>
                </c:pt>
                <c:pt idx="15">
                  <c:v>4.0411546814268133E-3</c:v>
                </c:pt>
                <c:pt idx="16">
                  <c:v>2.5025619656256454E-3</c:v>
                </c:pt>
                <c:pt idx="17">
                  <c:v>1.4696813544575321E-3</c:v>
                </c:pt>
                <c:pt idx="18">
                  <c:v>7.7663111346562325E-4</c:v>
                </c:pt>
                <c:pt idx="19">
                  <c:v>3.1175524289840282E-4</c:v>
                </c:pt>
                <c:pt idx="20">
                  <c:v>0</c:v>
                </c:pt>
              </c:numCache>
            </c:numRef>
          </c:xVal>
          <c:yVal>
            <c:numRef>
              <c:f>Analysis!$T$9:$T$29</c:f>
              <c:numCache>
                <c:formatCode>0.00%</c:formatCode>
                <c:ptCount val="21"/>
                <c:pt idx="0">
                  <c:v>1</c:v>
                </c:pt>
                <c:pt idx="1">
                  <c:v>0.97782727884402176</c:v>
                </c:pt>
                <c:pt idx="2">
                  <c:v>0.9503166974326489</c:v>
                </c:pt>
                <c:pt idx="3">
                  <c:v>0.91725402869133432</c:v>
                </c:pt>
                <c:pt idx="4">
                  <c:v>0.8788534996946249</c:v>
                </c:pt>
                <c:pt idx="5">
                  <c:v>0.83569556711667647</c:v>
                </c:pt>
                <c:pt idx="6">
                  <c:v>0.78857554085380333</c:v>
                </c:pt>
                <c:pt idx="7">
                  <c:v>0.73833793580358986</c:v>
                </c:pt>
                <c:pt idx="8">
                  <c:v>0.68575508367325366</c:v>
                </c:pt>
                <c:pt idx="9">
                  <c:v>0.63146696116162815</c:v>
                </c:pt>
                <c:pt idx="10">
                  <c:v>0.57596932341420903</c:v>
                </c:pt>
                <c:pt idx="11">
                  <c:v>0.51962883386135472</c:v>
                </c:pt>
                <c:pt idx="12">
                  <c:v>0.4627082131093434</c:v>
                </c:pt>
                <c:pt idx="13">
                  <c:v>0.40539167777011065</c:v>
                </c:pt>
                <c:pt idx="14">
                  <c:v>0.34780651616602926</c:v>
                </c:pt>
                <c:pt idx="15">
                  <c:v>0.29003981202860496</c:v>
                </c:pt>
                <c:pt idx="16">
                  <c:v>0.23215074572652603</c:v>
                </c:pt>
                <c:pt idx="17">
                  <c:v>0.17417935419811156</c:v>
                </c:pt>
                <c:pt idx="18">
                  <c:v>0.11615264144664514</c:v>
                </c:pt>
                <c:pt idx="19">
                  <c:v>5.808878403022584E-2</c:v>
                </c:pt>
                <c:pt idx="20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Analysis!$Z$9:$Z$29</c:f>
              <c:numCache>
                <c:formatCode>0.00%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</c:numCache>
            </c:numRef>
          </c:xVal>
          <c:yVal>
            <c:numRef>
              <c:f>Analysis!$Z$9:$Z$29</c:f>
              <c:numCache>
                <c:formatCode>0.00%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3888"/>
        <c:axId val="107479808"/>
      </c:scatterChart>
      <c:valAx>
        <c:axId val="14725388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07479808"/>
        <c:crosses val="autoZero"/>
        <c:crossBetween val="midCat"/>
      </c:valAx>
      <c:valAx>
        <c:axId val="1074798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Hit</a:t>
                </a:r>
                <a:r>
                  <a:rPr lang="pl-PL" sz="2000" baseline="0"/>
                  <a:t> rate / sensitivity / %goods remain</a:t>
                </a:r>
                <a:endParaRPr lang="pl-PL" sz="20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4725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CAP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Analysis!$P$8:$P$28</c:f>
              <c:numCache>
                <c:formatCode>0.00%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Analysis!$G$8:$G$28</c:f>
              <c:numCache>
                <c:formatCode>0.00%</c:formatCode>
                <c:ptCount val="21"/>
                <c:pt idx="0">
                  <c:v>0</c:v>
                </c:pt>
                <c:pt idx="1">
                  <c:v>0.22093899861327684</c:v>
                </c:pt>
                <c:pt idx="2">
                  <c:v>0.40908828422913007</c:v>
                </c:pt>
                <c:pt idx="3">
                  <c:v>0.56313189053248203</c:v>
                </c:pt>
                <c:pt idx="4">
                  <c:v>0.68438578383841031</c:v>
                </c:pt>
                <c:pt idx="5">
                  <c:v>0.77641562657387042</c:v>
                </c:pt>
                <c:pt idx="6">
                  <c:v>0.84410689381622106</c:v>
                </c:pt>
                <c:pt idx="7">
                  <c:v>0.89264731993633772</c:v>
                </c:pt>
                <c:pt idx="8">
                  <c:v>0.92678122827855813</c:v>
                </c:pt>
                <c:pt idx="9">
                  <c:v>0.9504399042785735</c:v>
                </c:pt>
                <c:pt idx="10">
                  <c:v>0.96666870097299851</c:v>
                </c:pt>
                <c:pt idx="11">
                  <c:v>0.97771997943403599</c:v>
                </c:pt>
                <c:pt idx="12">
                  <c:v>0.98520759481453801</c:v>
                </c:pt>
                <c:pt idx="13">
                  <c:v>0.99026316344496501</c:v>
                </c:pt>
                <c:pt idx="14">
                  <c:v>0.99366859930560802</c:v>
                </c:pt>
                <c:pt idx="15">
                  <c:v>0.99595884531857315</c:v>
                </c:pt>
                <c:pt idx="16">
                  <c:v>0.99749743803437441</c:v>
                </c:pt>
                <c:pt idx="17">
                  <c:v>0.99853031864554254</c:v>
                </c:pt>
                <c:pt idx="18">
                  <c:v>0.9992233688865344</c:v>
                </c:pt>
                <c:pt idx="19">
                  <c:v>0.99968824475710161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Analysis!$S$9:$S$29</c:f>
              <c:numCache>
                <c:formatCode>0.00%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</c:numCache>
            </c:numRef>
          </c:xVal>
          <c:yVal>
            <c:numRef>
              <c:f>Analysis!$Z$9:$Z$29</c:f>
              <c:numCache>
                <c:formatCode>0.00%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crystal</c:v>
          </c:tx>
          <c:xVal>
            <c:numRef>
              <c:f>Analysis!$AA$9:$AA$11</c:f>
              <c:numCache>
                <c:formatCode>0.00%</c:formatCode>
                <c:ptCount val="3"/>
                <c:pt idx="0">
                  <c:v>0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xVal>
          <c:yVal>
            <c:numRef>
              <c:f>Analysis!$AB$9:$AB$11</c:f>
              <c:numCache>
                <c:formatCode>0.00%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4096"/>
        <c:axId val="107526016"/>
      </c:scatterChart>
      <c:valAx>
        <c:axId val="10752409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07526016"/>
        <c:crosses val="autoZero"/>
        <c:crossBetween val="midCat"/>
      </c:valAx>
      <c:valAx>
        <c:axId val="1075260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 baseline="0"/>
                  <a:t>Sensitivity / %bad captured</a:t>
                </a:r>
                <a:endParaRPr lang="pl-PL" sz="20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0752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Lorenz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Analysis!$G$8:$G$28</c:f>
              <c:numCache>
                <c:formatCode>0.00%</c:formatCode>
                <c:ptCount val="21"/>
                <c:pt idx="0">
                  <c:v>0</c:v>
                </c:pt>
                <c:pt idx="1">
                  <c:v>0.22093899861327684</c:v>
                </c:pt>
                <c:pt idx="2">
                  <c:v>0.40908828422913007</c:v>
                </c:pt>
                <c:pt idx="3">
                  <c:v>0.56313189053248203</c:v>
                </c:pt>
                <c:pt idx="4">
                  <c:v>0.68438578383841031</c:v>
                </c:pt>
                <c:pt idx="5">
                  <c:v>0.77641562657387042</c:v>
                </c:pt>
                <c:pt idx="6">
                  <c:v>0.84410689381622106</c:v>
                </c:pt>
                <c:pt idx="7">
                  <c:v>0.89264731993633772</c:v>
                </c:pt>
                <c:pt idx="8">
                  <c:v>0.92678122827855813</c:v>
                </c:pt>
                <c:pt idx="9">
                  <c:v>0.9504399042785735</c:v>
                </c:pt>
                <c:pt idx="10">
                  <c:v>0.96666870097299851</c:v>
                </c:pt>
                <c:pt idx="11">
                  <c:v>0.97771997943403599</c:v>
                </c:pt>
                <c:pt idx="12">
                  <c:v>0.98520759481453801</c:v>
                </c:pt>
                <c:pt idx="13">
                  <c:v>0.99026316344496501</c:v>
                </c:pt>
                <c:pt idx="14">
                  <c:v>0.99366859930560802</c:v>
                </c:pt>
                <c:pt idx="15">
                  <c:v>0.99595884531857315</c:v>
                </c:pt>
                <c:pt idx="16">
                  <c:v>0.99749743803437441</c:v>
                </c:pt>
                <c:pt idx="17">
                  <c:v>0.99853031864554254</c:v>
                </c:pt>
                <c:pt idx="18">
                  <c:v>0.9992233688865344</c:v>
                </c:pt>
                <c:pt idx="19">
                  <c:v>0.99968824475710161</c:v>
                </c:pt>
                <c:pt idx="20">
                  <c:v>1</c:v>
                </c:pt>
              </c:numCache>
            </c:numRef>
          </c:xVal>
          <c:yVal>
            <c:numRef>
              <c:f>Analysis!$F$8:$F$28</c:f>
              <c:numCache>
                <c:formatCode>0.00%</c:formatCode>
                <c:ptCount val="21"/>
                <c:pt idx="0">
                  <c:v>0</c:v>
                </c:pt>
                <c:pt idx="1">
                  <c:v>2.2172721155978188E-2</c:v>
                </c:pt>
                <c:pt idx="2">
                  <c:v>4.9683302567350908E-2</c:v>
                </c:pt>
                <c:pt idx="3">
                  <c:v>8.2745971308665719E-2</c:v>
                </c:pt>
                <c:pt idx="4">
                  <c:v>0.12114650030537505</c:v>
                </c:pt>
                <c:pt idx="5">
                  <c:v>0.16430443288332341</c:v>
                </c:pt>
                <c:pt idx="6">
                  <c:v>0.21142445914619656</c:v>
                </c:pt>
                <c:pt idx="7">
                  <c:v>0.26166206419641008</c:v>
                </c:pt>
                <c:pt idx="8">
                  <c:v>0.31424491632674634</c:v>
                </c:pt>
                <c:pt idx="9">
                  <c:v>0.36853303883837174</c:v>
                </c:pt>
                <c:pt idx="10">
                  <c:v>0.42403067658579097</c:v>
                </c:pt>
                <c:pt idx="11">
                  <c:v>0.48037116613864528</c:v>
                </c:pt>
                <c:pt idx="12">
                  <c:v>0.5372917868906566</c:v>
                </c:pt>
                <c:pt idx="13">
                  <c:v>0.59460832222988935</c:v>
                </c:pt>
                <c:pt idx="14">
                  <c:v>0.6521934838339708</c:v>
                </c:pt>
                <c:pt idx="15">
                  <c:v>0.70996018797139504</c:v>
                </c:pt>
                <c:pt idx="16">
                  <c:v>0.76784925427347384</c:v>
                </c:pt>
                <c:pt idx="17">
                  <c:v>0.82582064580188841</c:v>
                </c:pt>
                <c:pt idx="18">
                  <c:v>0.88384735855335483</c:v>
                </c:pt>
                <c:pt idx="19">
                  <c:v>0.94191121596977412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Analysis!$Z$9:$Z$29</c:f>
              <c:numCache>
                <c:formatCode>0.00%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</c:numCache>
            </c:numRef>
          </c:xVal>
          <c:yVal>
            <c:numRef>
              <c:f>Analysis!$Z$9:$Z$29</c:f>
              <c:numCache>
                <c:formatCode>0.00%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3936"/>
        <c:axId val="151393792"/>
      </c:scatterChart>
      <c:valAx>
        <c:axId val="10754393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%Bads</a:t>
                </a:r>
                <a:r>
                  <a:rPr lang="pl-PL" sz="2000" baseline="0"/>
                  <a:t> captured</a:t>
                </a:r>
                <a:endParaRPr lang="pl-PL" sz="20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51393792"/>
        <c:crosses val="autoZero"/>
        <c:crossBetween val="midCat"/>
      </c:valAx>
      <c:valAx>
        <c:axId val="1513937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%Goods</a:t>
                </a:r>
                <a:r>
                  <a:rPr lang="pl-PL" sz="2000" baseline="0"/>
                  <a:t> captured</a:t>
                </a:r>
                <a:endParaRPr lang="pl-PL" sz="20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0754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l-PL" sz="2000"/>
              <a:t>KS - fish eye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CDF Goods</c:v>
          </c:tx>
          <c:xVal>
            <c:numRef>
              <c:f>Analysis!$A$8:$A$28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Analysis!$F$8:$F$28</c:f>
              <c:numCache>
                <c:formatCode>0.00%</c:formatCode>
                <c:ptCount val="21"/>
                <c:pt idx="0">
                  <c:v>0</c:v>
                </c:pt>
                <c:pt idx="1">
                  <c:v>2.2172721155978188E-2</c:v>
                </c:pt>
                <c:pt idx="2">
                  <c:v>4.9683302567350908E-2</c:v>
                </c:pt>
                <c:pt idx="3">
                  <c:v>8.2745971308665719E-2</c:v>
                </c:pt>
                <c:pt idx="4">
                  <c:v>0.12114650030537505</c:v>
                </c:pt>
                <c:pt idx="5">
                  <c:v>0.16430443288332341</c:v>
                </c:pt>
                <c:pt idx="6">
                  <c:v>0.21142445914619656</c:v>
                </c:pt>
                <c:pt idx="7">
                  <c:v>0.26166206419641008</c:v>
                </c:pt>
                <c:pt idx="8">
                  <c:v>0.31424491632674634</c:v>
                </c:pt>
                <c:pt idx="9">
                  <c:v>0.36853303883837174</c:v>
                </c:pt>
                <c:pt idx="10">
                  <c:v>0.42403067658579097</c:v>
                </c:pt>
                <c:pt idx="11">
                  <c:v>0.48037116613864528</c:v>
                </c:pt>
                <c:pt idx="12">
                  <c:v>0.5372917868906566</c:v>
                </c:pt>
                <c:pt idx="13">
                  <c:v>0.59460832222988935</c:v>
                </c:pt>
                <c:pt idx="14">
                  <c:v>0.6521934838339708</c:v>
                </c:pt>
                <c:pt idx="15">
                  <c:v>0.70996018797139504</c:v>
                </c:pt>
                <c:pt idx="16">
                  <c:v>0.76784925427347384</c:v>
                </c:pt>
                <c:pt idx="17">
                  <c:v>0.82582064580188841</c:v>
                </c:pt>
                <c:pt idx="18">
                  <c:v>0.88384735855335483</c:v>
                </c:pt>
                <c:pt idx="19">
                  <c:v>0.94191121596977412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CDF Bads</c:v>
          </c:tx>
          <c:marker>
            <c:spPr>
              <a:ln>
                <a:round/>
              </a:ln>
            </c:spPr>
          </c:marker>
          <c:xVal>
            <c:numRef>
              <c:f>Analysis!$A$8:$A$28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Analysis!$G$8:$G$28</c:f>
              <c:numCache>
                <c:formatCode>0.00%</c:formatCode>
                <c:ptCount val="21"/>
                <c:pt idx="0">
                  <c:v>0</c:v>
                </c:pt>
                <c:pt idx="1">
                  <c:v>0.22093899861327684</c:v>
                </c:pt>
                <c:pt idx="2">
                  <c:v>0.40908828422913007</c:v>
                </c:pt>
                <c:pt idx="3">
                  <c:v>0.56313189053248203</c:v>
                </c:pt>
                <c:pt idx="4">
                  <c:v>0.68438578383841031</c:v>
                </c:pt>
                <c:pt idx="5">
                  <c:v>0.77641562657387042</c:v>
                </c:pt>
                <c:pt idx="6">
                  <c:v>0.84410689381622106</c:v>
                </c:pt>
                <c:pt idx="7">
                  <c:v>0.89264731993633772</c:v>
                </c:pt>
                <c:pt idx="8">
                  <c:v>0.92678122827855813</c:v>
                </c:pt>
                <c:pt idx="9">
                  <c:v>0.9504399042785735</c:v>
                </c:pt>
                <c:pt idx="10">
                  <c:v>0.96666870097299851</c:v>
                </c:pt>
                <c:pt idx="11">
                  <c:v>0.97771997943403599</c:v>
                </c:pt>
                <c:pt idx="12">
                  <c:v>0.98520759481453801</c:v>
                </c:pt>
                <c:pt idx="13">
                  <c:v>0.99026316344496501</c:v>
                </c:pt>
                <c:pt idx="14">
                  <c:v>0.99366859930560802</c:v>
                </c:pt>
                <c:pt idx="15">
                  <c:v>0.99595884531857315</c:v>
                </c:pt>
                <c:pt idx="16">
                  <c:v>0.99749743803437441</c:v>
                </c:pt>
                <c:pt idx="17">
                  <c:v>0.99853031864554254</c:v>
                </c:pt>
                <c:pt idx="18">
                  <c:v>0.9992233688865344</c:v>
                </c:pt>
                <c:pt idx="19">
                  <c:v>0.99968824475710161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26944"/>
        <c:axId val="151437696"/>
      </c:scatterChart>
      <c:valAx>
        <c:axId val="15142694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51437696"/>
        <c:crosses val="autoZero"/>
        <c:crossBetween val="midCat"/>
        <c:majorUnit val="1"/>
      </c:valAx>
      <c:valAx>
        <c:axId val="151437696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pl-PL"/>
          </a:p>
        </c:txPr>
        <c:crossAx val="15142694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35701</xdr:rowOff>
    </xdr:from>
    <xdr:to>
      <xdr:col>8</xdr:col>
      <xdr:colOff>789214</xdr:colOff>
      <xdr:row>68</xdr:row>
      <xdr:rowOff>122464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32656</xdr:colOff>
      <xdr:row>139</xdr:row>
      <xdr:rowOff>38101</xdr:rowOff>
    </xdr:from>
    <xdr:to>
      <xdr:col>8</xdr:col>
      <xdr:colOff>789213</xdr:colOff>
      <xdr:row>173</xdr:row>
      <xdr:rowOff>136071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104</xdr:row>
      <xdr:rowOff>56029</xdr:rowOff>
    </xdr:from>
    <xdr:to>
      <xdr:col>8</xdr:col>
      <xdr:colOff>762000</xdr:colOff>
      <xdr:row>138</xdr:row>
      <xdr:rowOff>122464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35698</xdr:colOff>
      <xdr:row>174</xdr:row>
      <xdr:rowOff>22253</xdr:rowOff>
    </xdr:from>
    <xdr:to>
      <xdr:col>8</xdr:col>
      <xdr:colOff>789213</xdr:colOff>
      <xdr:row>208</xdr:row>
      <xdr:rowOff>136071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69</xdr:row>
      <xdr:rowOff>40821</xdr:rowOff>
    </xdr:from>
    <xdr:to>
      <xdr:col>8</xdr:col>
      <xdr:colOff>789214</xdr:colOff>
      <xdr:row>103</xdr:row>
      <xdr:rowOff>122464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40822</xdr:colOff>
      <xdr:row>209</xdr:row>
      <xdr:rowOff>13607</xdr:rowOff>
    </xdr:from>
    <xdr:to>
      <xdr:col>8</xdr:col>
      <xdr:colOff>794337</xdr:colOff>
      <xdr:row>243</xdr:row>
      <xdr:rowOff>127425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abSelected="1" zoomScale="85" zoomScaleNormal="85" workbookViewId="0">
      <selection activeCell="B1" sqref="B1"/>
    </sheetView>
  </sheetViews>
  <sheetFormatPr defaultRowHeight="12.75" x14ac:dyDescent="0.2"/>
  <cols>
    <col min="1" max="2" width="16.42578125" style="1" bestFit="1" customWidth="1"/>
    <col min="3" max="3" width="13.42578125" style="1" bestFit="1" customWidth="1"/>
    <col min="4" max="4" width="6" style="1" bestFit="1" customWidth="1"/>
    <col min="5" max="5" width="7.140625" style="1" bestFit="1" customWidth="1"/>
    <col min="6" max="6" width="15.7109375" style="1" customWidth="1"/>
    <col min="7" max="7" width="14.42578125" style="1" bestFit="1" customWidth="1"/>
    <col min="8" max="8" width="11.140625" style="1" bestFit="1" customWidth="1"/>
    <col min="9" max="9" width="12" style="1" bestFit="1" customWidth="1"/>
    <col min="10" max="10" width="8.28515625" style="1" bestFit="1" customWidth="1"/>
    <col min="11" max="11" width="8.28515625" style="1" customWidth="1"/>
    <col min="12" max="12" width="5" style="1" bestFit="1" customWidth="1"/>
    <col min="13" max="13" width="9.140625" style="1" bestFit="1" customWidth="1"/>
    <col min="14" max="14" width="10.7109375" style="1" bestFit="1" customWidth="1"/>
    <col min="15" max="15" width="7.42578125" style="1" bestFit="1" customWidth="1"/>
    <col min="16" max="16" width="8.7109375" style="1" bestFit="1" customWidth="1"/>
    <col min="17" max="17" width="13" style="1" bestFit="1" customWidth="1"/>
    <col min="18" max="18" width="10.28515625" style="1" bestFit="1" customWidth="1"/>
    <col min="19" max="19" width="11.5703125" style="1" bestFit="1" customWidth="1"/>
    <col min="20" max="20" width="15" style="1" bestFit="1" customWidth="1"/>
    <col min="21" max="21" width="15.42578125" style="1" bestFit="1" customWidth="1"/>
    <col min="22" max="22" width="19.5703125" style="1" bestFit="1" customWidth="1"/>
    <col min="23" max="25" width="7.7109375" style="1" bestFit="1" customWidth="1"/>
    <col min="26" max="26" width="11" style="1" bestFit="1" customWidth="1"/>
    <col min="27" max="28" width="8.7109375" style="1" bestFit="1" customWidth="1"/>
    <col min="29" max="29" width="10.7109375" style="1" bestFit="1" customWidth="1"/>
    <col min="30" max="30" width="11.7109375" style="1" bestFit="1" customWidth="1"/>
    <col min="31" max="31" width="7.7109375" style="1" bestFit="1" customWidth="1"/>
    <col min="32" max="32" width="9.140625" style="1"/>
    <col min="33" max="33" width="9.7109375" style="1" bestFit="1" customWidth="1"/>
    <col min="34" max="34" width="10.7109375" style="1" bestFit="1" customWidth="1"/>
    <col min="35" max="16384" width="9.140625" style="1"/>
  </cols>
  <sheetData>
    <row r="1" spans="1:36" ht="18" customHeight="1" x14ac:dyDescent="0.2">
      <c r="A1" s="5" t="s">
        <v>6</v>
      </c>
      <c r="B1" s="6">
        <v>20000</v>
      </c>
    </row>
    <row r="2" spans="1:36" ht="18" customHeight="1" x14ac:dyDescent="0.2">
      <c r="T2" s="5" t="s">
        <v>33</v>
      </c>
      <c r="U2" s="5" t="s">
        <v>34</v>
      </c>
    </row>
    <row r="3" spans="1:36" ht="18" customHeight="1" x14ac:dyDescent="0.2">
      <c r="A3" s="5" t="s">
        <v>4</v>
      </c>
      <c r="B3" s="7">
        <f>J30</f>
        <v>0.77585606787338735</v>
      </c>
      <c r="G3" s="5" t="s">
        <v>27</v>
      </c>
      <c r="T3" s="78" t="s">
        <v>24</v>
      </c>
      <c r="U3" s="78"/>
    </row>
    <row r="4" spans="1:36" ht="18" customHeight="1" x14ac:dyDescent="0.2">
      <c r="G4" s="5" t="s">
        <v>19</v>
      </c>
      <c r="T4" s="5" t="s">
        <v>19</v>
      </c>
      <c r="U4" s="5" t="s">
        <v>18</v>
      </c>
    </row>
    <row r="5" spans="1:36" ht="18.75" customHeight="1" x14ac:dyDescent="0.2">
      <c r="A5" s="10" t="s">
        <v>9</v>
      </c>
      <c r="B5" s="9">
        <v>0.14000000000000001</v>
      </c>
      <c r="G5" s="5" t="s">
        <v>32</v>
      </c>
      <c r="P5" s="5" t="s">
        <v>27</v>
      </c>
      <c r="T5" s="5" t="s">
        <v>15</v>
      </c>
      <c r="U5" s="5" t="s">
        <v>17</v>
      </c>
    </row>
    <row r="6" spans="1:36" ht="17.25" customHeight="1" x14ac:dyDescent="0.2">
      <c r="F6" s="45" t="s">
        <v>35</v>
      </c>
      <c r="G6" s="46" t="s">
        <v>12</v>
      </c>
      <c r="P6" s="46" t="s">
        <v>18</v>
      </c>
      <c r="T6" s="46" t="s">
        <v>14</v>
      </c>
      <c r="U6" s="46" t="s">
        <v>16</v>
      </c>
      <c r="AA6" s="79" t="s">
        <v>62</v>
      </c>
      <c r="AB6" s="79"/>
      <c r="AC6" s="46" t="s">
        <v>28</v>
      </c>
      <c r="AD6" s="46" t="s">
        <v>29</v>
      </c>
      <c r="AE6" s="46" t="s">
        <v>30</v>
      </c>
    </row>
    <row r="7" spans="1:36" ht="25.5" x14ac:dyDescent="0.2">
      <c r="A7" s="5" t="s">
        <v>0</v>
      </c>
      <c r="B7" s="5" t="s">
        <v>6</v>
      </c>
      <c r="C7" s="5" t="s">
        <v>10</v>
      </c>
      <c r="D7" s="5" t="s">
        <v>11</v>
      </c>
      <c r="E7" s="10" t="s">
        <v>39</v>
      </c>
      <c r="F7" s="47" t="s">
        <v>40</v>
      </c>
      <c r="G7" s="47" t="s">
        <v>41</v>
      </c>
      <c r="H7" s="10" t="s">
        <v>42</v>
      </c>
      <c r="I7" s="10" t="s">
        <v>43</v>
      </c>
      <c r="J7" s="48" t="s">
        <v>3</v>
      </c>
      <c r="K7" s="5" t="s">
        <v>0</v>
      </c>
      <c r="L7" s="49" t="s">
        <v>8</v>
      </c>
      <c r="M7" s="10" t="s">
        <v>44</v>
      </c>
      <c r="N7" s="50" t="s">
        <v>45</v>
      </c>
      <c r="O7" s="10" t="s">
        <v>46</v>
      </c>
      <c r="P7" s="10" t="s">
        <v>47</v>
      </c>
      <c r="Q7" s="5" t="s">
        <v>7</v>
      </c>
      <c r="R7" s="10" t="s">
        <v>48</v>
      </c>
      <c r="S7" s="10" t="s">
        <v>49</v>
      </c>
      <c r="T7" s="5" t="s">
        <v>13</v>
      </c>
      <c r="U7" s="5" t="s">
        <v>61</v>
      </c>
      <c r="V7" s="5" t="s">
        <v>25</v>
      </c>
      <c r="W7" s="5" t="s">
        <v>20</v>
      </c>
      <c r="X7" s="5" t="s">
        <v>21</v>
      </c>
      <c r="Y7" s="5" t="s">
        <v>22</v>
      </c>
      <c r="Z7" s="5" t="s">
        <v>26</v>
      </c>
      <c r="AA7" s="5" t="s">
        <v>18</v>
      </c>
      <c r="AB7" s="5" t="s">
        <v>19</v>
      </c>
      <c r="AC7" s="5"/>
      <c r="AD7" s="5"/>
      <c r="AE7" s="5"/>
      <c r="AF7" s="5"/>
      <c r="AG7" s="10" t="s">
        <v>50</v>
      </c>
      <c r="AH7" s="10" t="s">
        <v>51</v>
      </c>
      <c r="AI7" s="5"/>
      <c r="AJ7" s="5"/>
    </row>
    <row r="8" spans="1:36" ht="14.25" customHeight="1" thickBot="1" x14ac:dyDescent="0.25">
      <c r="A8" s="46">
        <v>0</v>
      </c>
      <c r="C8" s="75">
        <v>1</v>
      </c>
      <c r="F8" s="76">
        <v>0</v>
      </c>
      <c r="G8" s="76">
        <v>0</v>
      </c>
      <c r="H8" s="11"/>
      <c r="I8" s="11"/>
      <c r="J8" s="2"/>
      <c r="L8" s="12"/>
      <c r="M8" s="13"/>
      <c r="N8" s="14"/>
      <c r="O8" s="2"/>
      <c r="P8" s="57">
        <v>0</v>
      </c>
      <c r="AI8" s="58">
        <f>G8-F8</f>
        <v>0</v>
      </c>
      <c r="AJ8" s="58">
        <f>H8-G8</f>
        <v>0</v>
      </c>
    </row>
    <row r="9" spans="1:36" ht="14.25" customHeight="1" x14ac:dyDescent="0.2">
      <c r="A9" s="17">
        <v>1</v>
      </c>
      <c r="B9" s="18">
        <f>$B$1/20</f>
        <v>1000</v>
      </c>
      <c r="C9" s="19">
        <f t="shared" ref="C9:C29" si="0">Q9*$B$5/$Q$29</f>
        <v>0.61862919611717515</v>
      </c>
      <c r="D9" s="20">
        <f t="shared" ref="D9:D28" si="1">B9*C9</f>
        <v>618.62919611717518</v>
      </c>
      <c r="E9" s="20">
        <f t="shared" ref="E9:E28" si="2">B9-D9</f>
        <v>381.37080388282482</v>
      </c>
      <c r="F9" s="21">
        <f>E9/E29</f>
        <v>2.2172721155978188E-2</v>
      </c>
      <c r="G9" s="21">
        <f>D9/D30</f>
        <v>0.22093899861327684</v>
      </c>
      <c r="H9" s="22">
        <f>F9</f>
        <v>2.2172721155978188E-2</v>
      </c>
      <c r="I9" s="22">
        <f>G9</f>
        <v>0.22093899861327684</v>
      </c>
      <c r="J9" s="71">
        <f>H9*I9</f>
        <v>4.8988188087332393E-3</v>
      </c>
      <c r="K9" s="26">
        <v>1</v>
      </c>
      <c r="L9" s="23">
        <f t="shared" ref="L9:L28" si="3">C9/$B$5</f>
        <v>4.4187799722655363</v>
      </c>
      <c r="M9" s="24">
        <f>D9</f>
        <v>618.62919611717518</v>
      </c>
      <c r="N9" s="23">
        <f t="shared" ref="N9:N28" si="4">G9/P9</f>
        <v>4.4187799722655363</v>
      </c>
      <c r="O9" s="20">
        <f>B9</f>
        <v>1000</v>
      </c>
      <c r="P9" s="22">
        <f>O9/$B$29</f>
        <v>0.05</v>
      </c>
      <c r="Q9" s="19">
        <f t="shared" ref="Q9:Q28" si="5">1/(1+EXP(-($D$31*A9+$D$32)))</f>
        <v>0.6456563062257954</v>
      </c>
      <c r="R9" s="20">
        <f t="shared" ref="R9:R27" si="6">R10+B9</f>
        <v>20000</v>
      </c>
      <c r="S9" s="22">
        <f t="shared" ref="S9:S27" si="7">R9/$B$29</f>
        <v>1</v>
      </c>
      <c r="T9" s="22">
        <f>SUM(E9:$E$28)/$E$29</f>
        <v>1</v>
      </c>
      <c r="U9" s="22">
        <f>SUM(D9:$D$28)/$D$29</f>
        <v>1</v>
      </c>
      <c r="V9" s="25">
        <f>U9</f>
        <v>1</v>
      </c>
      <c r="W9" s="25">
        <f>U9-U10</f>
        <v>0.22093899861327659</v>
      </c>
      <c r="X9" s="25">
        <f>(T9+T10)/2</f>
        <v>0.98891363942201083</v>
      </c>
      <c r="Y9" s="25">
        <f>W9*X9</f>
        <v>0.21848958920890996</v>
      </c>
      <c r="Z9" s="25">
        <f t="shared" ref="Z9:Z28" si="8">S9</f>
        <v>1</v>
      </c>
      <c r="AA9" s="25">
        <v>0</v>
      </c>
      <c r="AB9" s="25">
        <v>0</v>
      </c>
      <c r="AC9" s="25">
        <f>P9</f>
        <v>0.05</v>
      </c>
      <c r="AD9" s="25">
        <f>G9/2</f>
        <v>0.11046949930663842</v>
      </c>
      <c r="AE9" s="25">
        <f t="shared" ref="AE9:AE27" si="9">AC9*AD9</f>
        <v>5.5234749653319216E-3</v>
      </c>
      <c r="AF9" s="26"/>
      <c r="AG9" s="20">
        <f t="shared" ref="AG9:AG28" si="10">D9*E9</f>
        <v>235927.11382859279</v>
      </c>
      <c r="AH9" s="20">
        <f>D9*SUM(E10:$E$28)</f>
        <v>10404495.05938682</v>
      </c>
      <c r="AI9" s="25">
        <f t="shared" ref="AI9:AI28" si="11">G9-F9</f>
        <v>0.19876627745729866</v>
      </c>
      <c r="AJ9" s="65">
        <f>1-C9</f>
        <v>0.38137080388282485</v>
      </c>
    </row>
    <row r="10" spans="1:36" ht="14.25" customHeight="1" x14ac:dyDescent="0.2">
      <c r="A10" s="27">
        <v>2</v>
      </c>
      <c r="B10" s="28">
        <f t="shared" ref="B10:B28" si="12">$B$1/20</f>
        <v>1000</v>
      </c>
      <c r="C10" s="29">
        <f t="shared" si="0"/>
        <v>0.52681799972438925</v>
      </c>
      <c r="D10" s="30">
        <f t="shared" si="1"/>
        <v>526.81799972438921</v>
      </c>
      <c r="E10" s="30">
        <f t="shared" si="2"/>
        <v>473.18200027561079</v>
      </c>
      <c r="F10" s="31">
        <f>(E10+E9)/E29</f>
        <v>4.9683302567350908E-2</v>
      </c>
      <c r="G10" s="31">
        <f>SUM(D9:D10)/D30</f>
        <v>0.40908828422913007</v>
      </c>
      <c r="H10" s="32">
        <f t="shared" ref="H10:H28" si="13">F9+F10</f>
        <v>7.1856023723329096E-2</v>
      </c>
      <c r="I10" s="32">
        <f t="shared" ref="I10:I28" si="14">G10-G9</f>
        <v>0.18814928561585323</v>
      </c>
      <c r="J10" s="72">
        <f t="shared" ref="J10:J28" si="15">H10*I10</f>
        <v>1.3519659530740172E-2</v>
      </c>
      <c r="K10" s="34">
        <v>2</v>
      </c>
      <c r="L10" s="15">
        <f t="shared" si="3"/>
        <v>3.7629857123170658</v>
      </c>
      <c r="M10" s="16">
        <f t="shared" ref="M10:M28" si="16">M9+D10</f>
        <v>1145.4471958415643</v>
      </c>
      <c r="N10" s="15">
        <f t="shared" si="4"/>
        <v>4.0908828422913004</v>
      </c>
      <c r="O10" s="30">
        <f t="shared" ref="O10:O28" si="17">O9+B10</f>
        <v>2000</v>
      </c>
      <c r="P10" s="32">
        <f t="shared" ref="P10:P28" si="18">O10/$B$29</f>
        <v>0.1</v>
      </c>
      <c r="Q10" s="29">
        <f t="shared" si="5"/>
        <v>0.54983399731247784</v>
      </c>
      <c r="R10" s="30">
        <f t="shared" si="6"/>
        <v>19000</v>
      </c>
      <c r="S10" s="32">
        <f t="shared" si="7"/>
        <v>0.95</v>
      </c>
      <c r="T10" s="32">
        <f>SUM(E10:$E$28)/$E$29</f>
        <v>0.97782727884402176</v>
      </c>
      <c r="U10" s="32">
        <f>SUM(D10:$D$28)/$D$29</f>
        <v>0.77906100138672341</v>
      </c>
      <c r="V10" s="33">
        <f t="shared" ref="V10:V28" si="19">U10</f>
        <v>0.77906100138672341</v>
      </c>
      <c r="W10" s="33">
        <f t="shared" ref="W10:W28" si="20">U10-U11</f>
        <v>0.18814928561585331</v>
      </c>
      <c r="X10" s="33">
        <f t="shared" ref="X10:X27" si="21">(T10+T11)/2</f>
        <v>0.96407198813833528</v>
      </c>
      <c r="Y10" s="33">
        <f t="shared" ref="Y10:Y28" si="22">W10*X10</f>
        <v>0.18138945585048319</v>
      </c>
      <c r="Z10" s="33">
        <f t="shared" si="8"/>
        <v>0.95</v>
      </c>
      <c r="AA10" s="33">
        <f>D29/B29</f>
        <v>0.14000000000000001</v>
      </c>
      <c r="AB10" s="33">
        <v>1</v>
      </c>
      <c r="AC10" s="33">
        <f t="shared" ref="AC10:AC27" si="23">P10-P9</f>
        <v>0.05</v>
      </c>
      <c r="AD10" s="33">
        <f t="shared" ref="AD10:AD28" si="24">(G10+G9)/2</f>
        <v>0.31501364142120347</v>
      </c>
      <c r="AE10" s="33">
        <f t="shared" si="9"/>
        <v>1.5750682071060174E-2</v>
      </c>
      <c r="AF10" s="34"/>
      <c r="AG10" s="28">
        <f t="shared" si="10"/>
        <v>249280.79489078265</v>
      </c>
      <c r="AH10" s="28">
        <f>D10*SUM(E11:$E$28)</f>
        <v>8611075.7963138781</v>
      </c>
      <c r="AI10" s="33">
        <f t="shared" si="11"/>
        <v>0.35940498166177914</v>
      </c>
      <c r="AJ10" s="66">
        <f t="shared" ref="AJ10:AJ28" si="25">1-C10</f>
        <v>0.47318200027561075</v>
      </c>
    </row>
    <row r="11" spans="1:36" ht="14.25" customHeight="1" x14ac:dyDescent="0.2">
      <c r="A11" s="27">
        <v>3</v>
      </c>
      <c r="B11" s="28">
        <f t="shared" si="12"/>
        <v>1000</v>
      </c>
      <c r="C11" s="29">
        <f t="shared" si="0"/>
        <v>0.43132209764938523</v>
      </c>
      <c r="D11" s="30">
        <f t="shared" si="1"/>
        <v>431.32209764938523</v>
      </c>
      <c r="E11" s="30">
        <f t="shared" si="2"/>
        <v>568.67790235061477</v>
      </c>
      <c r="F11" s="31">
        <f>SUM(E9:E11)/E29</f>
        <v>8.2745971308665719E-2</v>
      </c>
      <c r="G11" s="31">
        <f>SUM(D9:D11)/D30</f>
        <v>0.56313189053248203</v>
      </c>
      <c r="H11" s="32">
        <f t="shared" si="13"/>
        <v>0.13242927387601663</v>
      </c>
      <c r="I11" s="32">
        <f t="shared" si="14"/>
        <v>0.15404360630335195</v>
      </c>
      <c r="J11" s="72">
        <f t="shared" si="15"/>
        <v>2.0399882927995879E-2</v>
      </c>
      <c r="K11" s="34">
        <v>3</v>
      </c>
      <c r="L11" s="15">
        <f t="shared" si="3"/>
        <v>3.0808721260670371</v>
      </c>
      <c r="M11" s="16">
        <f t="shared" si="16"/>
        <v>1576.7692934909496</v>
      </c>
      <c r="N11" s="15">
        <f t="shared" si="4"/>
        <v>3.7542126035498802</v>
      </c>
      <c r="O11" s="30">
        <f t="shared" si="17"/>
        <v>3000</v>
      </c>
      <c r="P11" s="32">
        <f t="shared" si="18"/>
        <v>0.15</v>
      </c>
      <c r="Q11" s="29">
        <f t="shared" si="5"/>
        <v>0.45016600268752205</v>
      </c>
      <c r="R11" s="30">
        <f t="shared" si="6"/>
        <v>18000</v>
      </c>
      <c r="S11" s="32">
        <f t="shared" si="7"/>
        <v>0.9</v>
      </c>
      <c r="T11" s="32">
        <f>SUM(E11:$E$28)/$E$29</f>
        <v>0.9503166974326489</v>
      </c>
      <c r="U11" s="32">
        <f>SUM(D11:$D$28)/$D$29</f>
        <v>0.59091171577087009</v>
      </c>
      <c r="V11" s="33">
        <f t="shared" si="19"/>
        <v>0.59091171577087009</v>
      </c>
      <c r="W11" s="33">
        <f t="shared" si="20"/>
        <v>0.15404360630335184</v>
      </c>
      <c r="X11" s="33">
        <f t="shared" si="21"/>
        <v>0.93378536306199167</v>
      </c>
      <c r="Y11" s="33">
        <f t="shared" si="22"/>
        <v>0.1438436648393539</v>
      </c>
      <c r="Z11" s="33">
        <f t="shared" si="8"/>
        <v>0.9</v>
      </c>
      <c r="AA11" s="33">
        <v>1</v>
      </c>
      <c r="AB11" s="33">
        <v>1</v>
      </c>
      <c r="AC11" s="33">
        <f t="shared" si="23"/>
        <v>4.9999999999999989E-2</v>
      </c>
      <c r="AD11" s="33">
        <f t="shared" si="24"/>
        <v>0.48611008738080608</v>
      </c>
      <c r="AE11" s="33">
        <f t="shared" si="9"/>
        <v>2.4305504369040297E-2</v>
      </c>
      <c r="AF11" s="34"/>
      <c r="AG11" s="28">
        <f t="shared" si="10"/>
        <v>245283.34572871943</v>
      </c>
      <c r="AH11" s="28">
        <f>D11*SUM(E12:$E$28)</f>
        <v>6804869.2257989263</v>
      </c>
      <c r="AI11" s="33">
        <f t="shared" si="11"/>
        <v>0.48038591922381629</v>
      </c>
      <c r="AJ11" s="66">
        <f t="shared" si="25"/>
        <v>0.56867790235061477</v>
      </c>
    </row>
    <row r="12" spans="1:36" ht="14.25" customHeight="1" x14ac:dyDescent="0.2">
      <c r="A12" s="27">
        <v>4</v>
      </c>
      <c r="B12" s="28">
        <f t="shared" si="12"/>
        <v>1000</v>
      </c>
      <c r="C12" s="29">
        <f t="shared" si="0"/>
        <v>0.33951090125659927</v>
      </c>
      <c r="D12" s="30">
        <f t="shared" si="1"/>
        <v>339.51090125659925</v>
      </c>
      <c r="E12" s="30">
        <f t="shared" si="2"/>
        <v>660.48909874340075</v>
      </c>
      <c r="F12" s="31">
        <f>SUM(E9:E12)/E29</f>
        <v>0.12114650030537505</v>
      </c>
      <c r="G12" s="31">
        <f>SUM(D9:D12)/D30</f>
        <v>0.68438578383841031</v>
      </c>
      <c r="H12" s="32">
        <f t="shared" si="13"/>
        <v>0.20389247161404078</v>
      </c>
      <c r="I12" s="32">
        <f t="shared" si="14"/>
        <v>0.12125389330592828</v>
      </c>
      <c r="J12" s="72">
        <f t="shared" si="15"/>
        <v>2.4722755998970912E-2</v>
      </c>
      <c r="K12" s="34">
        <v>4</v>
      </c>
      <c r="L12" s="15">
        <f t="shared" si="3"/>
        <v>2.4250778661185661</v>
      </c>
      <c r="M12" s="16">
        <f t="shared" si="16"/>
        <v>1916.2801947475489</v>
      </c>
      <c r="N12" s="15">
        <f t="shared" si="4"/>
        <v>3.4219289191920512</v>
      </c>
      <c r="O12" s="30">
        <f t="shared" si="17"/>
        <v>4000</v>
      </c>
      <c r="P12" s="32">
        <f t="shared" si="18"/>
        <v>0.2</v>
      </c>
      <c r="Q12" s="29">
        <f t="shared" si="5"/>
        <v>0.35434369377420455</v>
      </c>
      <c r="R12" s="30">
        <f t="shared" si="6"/>
        <v>17000</v>
      </c>
      <c r="S12" s="32">
        <f t="shared" si="7"/>
        <v>0.85</v>
      </c>
      <c r="T12" s="32">
        <f>SUM(E12:$E$28)/$E$29</f>
        <v>0.91725402869133432</v>
      </c>
      <c r="U12" s="32">
        <f>SUM(D12:$D$28)/$D$29</f>
        <v>0.43686810946751825</v>
      </c>
      <c r="V12" s="33">
        <f t="shared" si="19"/>
        <v>0.43686810946751825</v>
      </c>
      <c r="W12" s="33">
        <f t="shared" si="20"/>
        <v>0.1212538933059284</v>
      </c>
      <c r="X12" s="33">
        <f t="shared" si="21"/>
        <v>0.89805376419297955</v>
      </c>
      <c r="Y12" s="33">
        <f t="shared" si="22"/>
        <v>0.10889251530644292</v>
      </c>
      <c r="Z12" s="33">
        <f t="shared" si="8"/>
        <v>0.85</v>
      </c>
      <c r="AA12" s="34"/>
      <c r="AB12" s="34"/>
      <c r="AC12" s="33">
        <f t="shared" si="23"/>
        <v>5.0000000000000017E-2</v>
      </c>
      <c r="AD12" s="33">
        <f t="shared" si="24"/>
        <v>0.62375883718544611</v>
      </c>
      <c r="AE12" s="33">
        <f t="shared" si="9"/>
        <v>3.1187941859272317E-2</v>
      </c>
      <c r="AF12" s="34"/>
      <c r="AG12" s="28">
        <f t="shared" si="10"/>
        <v>224243.24918453096</v>
      </c>
      <c r="AH12" s="28">
        <f>D12*SUM(E13:$E$28)</f>
        <v>5132141.9125660211</v>
      </c>
      <c r="AI12" s="33">
        <f t="shared" si="11"/>
        <v>0.56323928353303532</v>
      </c>
      <c r="AJ12" s="66">
        <f t="shared" si="25"/>
        <v>0.66048909874340067</v>
      </c>
    </row>
    <row r="13" spans="1:36" ht="14.25" customHeight="1" x14ac:dyDescent="0.2">
      <c r="A13" s="27">
        <v>5</v>
      </c>
      <c r="B13" s="28">
        <f t="shared" si="12"/>
        <v>1000</v>
      </c>
      <c r="C13" s="29">
        <f t="shared" si="0"/>
        <v>0.25768355965928841</v>
      </c>
      <c r="D13" s="30">
        <f t="shared" si="1"/>
        <v>257.68355965928839</v>
      </c>
      <c r="E13" s="30">
        <f t="shared" si="2"/>
        <v>742.31644034071155</v>
      </c>
      <c r="F13" s="31">
        <f>SUM(E9:E13)/E29</f>
        <v>0.16430443288332341</v>
      </c>
      <c r="G13" s="31">
        <f>SUM(D9:D13)/D30</f>
        <v>0.77641562657387042</v>
      </c>
      <c r="H13" s="32">
        <f t="shared" si="13"/>
        <v>0.28545093318869846</v>
      </c>
      <c r="I13" s="32">
        <f t="shared" si="14"/>
        <v>9.202984273546011E-2</v>
      </c>
      <c r="J13" s="72">
        <f t="shared" si="15"/>
        <v>2.627000449004625E-2</v>
      </c>
      <c r="K13" s="34">
        <v>5</v>
      </c>
      <c r="L13" s="15">
        <f t="shared" si="3"/>
        <v>1.8405968547092026</v>
      </c>
      <c r="M13" s="16">
        <f t="shared" si="16"/>
        <v>2173.9637544068373</v>
      </c>
      <c r="N13" s="15">
        <f t="shared" si="4"/>
        <v>3.1056625062954817</v>
      </c>
      <c r="O13" s="30">
        <f t="shared" si="17"/>
        <v>5000</v>
      </c>
      <c r="P13" s="32">
        <f t="shared" si="18"/>
        <v>0.25</v>
      </c>
      <c r="Q13" s="29">
        <f t="shared" si="5"/>
        <v>0.2689414213699951</v>
      </c>
      <c r="R13" s="30">
        <f t="shared" si="6"/>
        <v>16000</v>
      </c>
      <c r="S13" s="32">
        <f t="shared" si="7"/>
        <v>0.8</v>
      </c>
      <c r="T13" s="32">
        <f>SUM(E13:$E$28)/$E$29</f>
        <v>0.8788534996946249</v>
      </c>
      <c r="U13" s="32">
        <f>SUM(D13:$D$28)/$D$29</f>
        <v>0.31561421616158986</v>
      </c>
      <c r="V13" s="33">
        <f t="shared" si="19"/>
        <v>0.31561421616158986</v>
      </c>
      <c r="W13" s="33">
        <f t="shared" si="20"/>
        <v>9.2029842735460138E-2</v>
      </c>
      <c r="X13" s="33">
        <f t="shared" si="21"/>
        <v>0.85727453340565063</v>
      </c>
      <c r="Y13" s="33">
        <f t="shared" si="22"/>
        <v>7.889484049043699E-2</v>
      </c>
      <c r="Z13" s="33">
        <f t="shared" si="8"/>
        <v>0.8</v>
      </c>
      <c r="AA13" s="34"/>
      <c r="AB13" s="34"/>
      <c r="AC13" s="33">
        <f t="shared" si="23"/>
        <v>4.9999999999999989E-2</v>
      </c>
      <c r="AD13" s="33">
        <f t="shared" si="24"/>
        <v>0.73040070520614031</v>
      </c>
      <c r="AE13" s="33">
        <f t="shared" si="9"/>
        <v>3.6520035260307004E-2</v>
      </c>
      <c r="AF13" s="34"/>
      <c r="AG13" s="28">
        <f t="shared" si="10"/>
        <v>191282.74274060634</v>
      </c>
      <c r="AH13" s="28">
        <f>D13*SUM(E14:$E$28)</f>
        <v>3703934.1466491427</v>
      </c>
      <c r="AI13" s="33">
        <f t="shared" si="11"/>
        <v>0.61211119369054701</v>
      </c>
      <c r="AJ13" s="66">
        <f t="shared" si="25"/>
        <v>0.74231644034071165</v>
      </c>
    </row>
    <row r="14" spans="1:36" ht="14.25" customHeight="1" x14ac:dyDescent="0.2">
      <c r="A14" s="27">
        <v>6</v>
      </c>
      <c r="B14" s="28">
        <f t="shared" si="12"/>
        <v>1000</v>
      </c>
      <c r="C14" s="29">
        <f t="shared" si="0"/>
        <v>0.18953554827858185</v>
      </c>
      <c r="D14" s="30">
        <f t="shared" si="1"/>
        <v>189.53554827858184</v>
      </c>
      <c r="E14" s="30">
        <f t="shared" si="2"/>
        <v>810.46445172141819</v>
      </c>
      <c r="F14" s="31">
        <f>SUM(E9:E14)/E29</f>
        <v>0.21142445914619656</v>
      </c>
      <c r="G14" s="31">
        <f>SUM(D9:D14)/D30</f>
        <v>0.84410689381622106</v>
      </c>
      <c r="H14" s="32">
        <f t="shared" si="13"/>
        <v>0.37572889202951998</v>
      </c>
      <c r="I14" s="32">
        <f t="shared" si="14"/>
        <v>6.7691267242350639E-2</v>
      </c>
      <c r="J14" s="72">
        <f t="shared" si="15"/>
        <v>2.5433564841042547E-2</v>
      </c>
      <c r="K14" s="34">
        <v>6</v>
      </c>
      <c r="L14" s="15">
        <f t="shared" si="3"/>
        <v>1.353825344847013</v>
      </c>
      <c r="M14" s="16">
        <f t="shared" si="16"/>
        <v>2363.499302685419</v>
      </c>
      <c r="N14" s="15">
        <f t="shared" si="4"/>
        <v>2.8136896460540703</v>
      </c>
      <c r="O14" s="30">
        <f t="shared" si="17"/>
        <v>6000</v>
      </c>
      <c r="P14" s="32">
        <f t="shared" si="18"/>
        <v>0.3</v>
      </c>
      <c r="Q14" s="29">
        <f t="shared" si="5"/>
        <v>0.1978161114414182</v>
      </c>
      <c r="R14" s="30">
        <f t="shared" si="6"/>
        <v>15000</v>
      </c>
      <c r="S14" s="32">
        <f t="shared" si="7"/>
        <v>0.75</v>
      </c>
      <c r="T14" s="32">
        <f>SUM(E14:$E$28)/$E$29</f>
        <v>0.83569556711667647</v>
      </c>
      <c r="U14" s="32">
        <f>SUM(D14:$D$28)/$D$29</f>
        <v>0.22358437342612972</v>
      </c>
      <c r="V14" s="33">
        <f t="shared" si="19"/>
        <v>0.22358437342612972</v>
      </c>
      <c r="W14" s="33">
        <f t="shared" si="20"/>
        <v>6.7691267242350667E-2</v>
      </c>
      <c r="X14" s="33">
        <f t="shared" si="21"/>
        <v>0.81213555398523996</v>
      </c>
      <c r="Y14" s="33">
        <f t="shared" si="22"/>
        <v>5.4974484821829386E-2</v>
      </c>
      <c r="Z14" s="33">
        <f t="shared" si="8"/>
        <v>0.75</v>
      </c>
      <c r="AA14" s="34"/>
      <c r="AB14" s="34"/>
      <c r="AC14" s="33">
        <f t="shared" si="23"/>
        <v>4.9999999999999989E-2</v>
      </c>
      <c r="AD14" s="33">
        <f t="shared" si="24"/>
        <v>0.81026126019504574</v>
      </c>
      <c r="AE14" s="33">
        <f t="shared" si="9"/>
        <v>4.0513063009752277E-2</v>
      </c>
      <c r="AF14" s="34"/>
      <c r="AG14" s="28">
        <f t="shared" si="10"/>
        <v>153611.82421731923</v>
      </c>
      <c r="AH14" s="28">
        <f>D14*SUM(E15:$E$28)</f>
        <v>2570765.2769106431</v>
      </c>
      <c r="AI14" s="33">
        <f t="shared" si="11"/>
        <v>0.6326824346700245</v>
      </c>
      <c r="AJ14" s="66">
        <f t="shared" si="25"/>
        <v>0.81046445172141812</v>
      </c>
    </row>
    <row r="15" spans="1:36" ht="14.25" customHeight="1" x14ac:dyDescent="0.2">
      <c r="A15" s="27">
        <v>7</v>
      </c>
      <c r="B15" s="28">
        <f t="shared" si="12"/>
        <v>1000</v>
      </c>
      <c r="C15" s="29">
        <f t="shared" si="0"/>
        <v>0.13591319313632697</v>
      </c>
      <c r="D15" s="30">
        <f t="shared" si="1"/>
        <v>135.91319313632695</v>
      </c>
      <c r="E15" s="30">
        <f t="shared" si="2"/>
        <v>864.08680686367302</v>
      </c>
      <c r="F15" s="31">
        <f>SUM(E9:E15)/E29</f>
        <v>0.26166206419641008</v>
      </c>
      <c r="G15" s="31">
        <f>SUM(D9:D15)/D30</f>
        <v>0.89264731993633772</v>
      </c>
      <c r="H15" s="32">
        <f t="shared" si="13"/>
        <v>0.47308652334260665</v>
      </c>
      <c r="I15" s="32">
        <f t="shared" si="14"/>
        <v>4.8540426120116664E-2</v>
      </c>
      <c r="J15" s="72">
        <f t="shared" si="15"/>
        <v>2.2963821434734646E-2</v>
      </c>
      <c r="K15" s="34">
        <v>7</v>
      </c>
      <c r="L15" s="15">
        <f t="shared" si="3"/>
        <v>0.97080852240233539</v>
      </c>
      <c r="M15" s="16">
        <f t="shared" si="16"/>
        <v>2499.4124958217458</v>
      </c>
      <c r="N15" s="15">
        <f t="shared" si="4"/>
        <v>2.5504209141038223</v>
      </c>
      <c r="O15" s="30">
        <f t="shared" si="17"/>
        <v>7000</v>
      </c>
      <c r="P15" s="32">
        <f t="shared" si="18"/>
        <v>0.35</v>
      </c>
      <c r="Q15" s="29">
        <f t="shared" si="5"/>
        <v>0.14185106490048777</v>
      </c>
      <c r="R15" s="30">
        <f t="shared" si="6"/>
        <v>14000</v>
      </c>
      <c r="S15" s="32">
        <f t="shared" si="7"/>
        <v>0.7</v>
      </c>
      <c r="T15" s="32">
        <f>SUM(E15:$E$28)/$E$29</f>
        <v>0.78857554085380333</v>
      </c>
      <c r="U15" s="32">
        <f>SUM(D15:$D$28)/$D$29</f>
        <v>0.15589310618377905</v>
      </c>
      <c r="V15" s="33">
        <f t="shared" si="19"/>
        <v>0.15589310618377905</v>
      </c>
      <c r="W15" s="33">
        <f t="shared" si="20"/>
        <v>4.8540426120116789E-2</v>
      </c>
      <c r="X15" s="33">
        <f t="shared" si="21"/>
        <v>0.76345673832869654</v>
      </c>
      <c r="Y15" s="33">
        <f t="shared" si="22"/>
        <v>3.7058515402749431E-2</v>
      </c>
      <c r="Z15" s="33">
        <f t="shared" si="8"/>
        <v>0.7</v>
      </c>
      <c r="AA15" s="34"/>
      <c r="AB15" s="34"/>
      <c r="AC15" s="33">
        <f t="shared" si="23"/>
        <v>4.9999999999999989E-2</v>
      </c>
      <c r="AD15" s="33">
        <f t="shared" si="24"/>
        <v>0.86837710687627934</v>
      </c>
      <c r="AE15" s="33">
        <f t="shared" si="9"/>
        <v>4.3418855343813956E-2</v>
      </c>
      <c r="AF15" s="34"/>
      <c r="AG15" s="28">
        <f t="shared" si="10"/>
        <v>117440.79706781443</v>
      </c>
      <c r="AH15" s="28">
        <f>D15*SUM(E16:$E$28)</f>
        <v>1726017.7032625049</v>
      </c>
      <c r="AI15" s="33">
        <f t="shared" si="11"/>
        <v>0.63098525573992759</v>
      </c>
      <c r="AJ15" s="66">
        <f t="shared" si="25"/>
        <v>0.86408680686367301</v>
      </c>
    </row>
    <row r="16" spans="1:36" ht="14.25" customHeight="1" x14ac:dyDescent="0.2">
      <c r="A16" s="27">
        <v>8</v>
      </c>
      <c r="B16" s="28">
        <f t="shared" si="12"/>
        <v>1000</v>
      </c>
      <c r="C16" s="29">
        <f t="shared" si="0"/>
        <v>9.5574943358216743E-2</v>
      </c>
      <c r="D16" s="30">
        <f t="shared" si="1"/>
        <v>95.574943358216743</v>
      </c>
      <c r="E16" s="30">
        <f t="shared" si="2"/>
        <v>904.42505664178327</v>
      </c>
      <c r="F16" s="31">
        <f>SUM(E9:E16)/E29</f>
        <v>0.31424491632674634</v>
      </c>
      <c r="G16" s="31">
        <f>SUM(D9:D16)/D30</f>
        <v>0.92678122827855813</v>
      </c>
      <c r="H16" s="32">
        <f t="shared" si="13"/>
        <v>0.57590698052315648</v>
      </c>
      <c r="I16" s="32">
        <f t="shared" si="14"/>
        <v>3.4133908342220409E-2</v>
      </c>
      <c r="J16" s="72">
        <f t="shared" si="15"/>
        <v>1.9657956086822338E-2</v>
      </c>
      <c r="K16" s="34">
        <v>8</v>
      </c>
      <c r="L16" s="15">
        <f t="shared" si="3"/>
        <v>0.6826781668444053</v>
      </c>
      <c r="M16" s="16">
        <f t="shared" si="16"/>
        <v>2594.9874391799626</v>
      </c>
      <c r="N16" s="15">
        <f t="shared" si="4"/>
        <v>2.3169530706963952</v>
      </c>
      <c r="O16" s="30">
        <f t="shared" si="17"/>
        <v>8000</v>
      </c>
      <c r="P16" s="32">
        <f t="shared" si="18"/>
        <v>0.4</v>
      </c>
      <c r="Q16" s="29">
        <f t="shared" si="5"/>
        <v>9.9750489119685135E-2</v>
      </c>
      <c r="R16" s="30">
        <f t="shared" si="6"/>
        <v>13000</v>
      </c>
      <c r="S16" s="32">
        <f t="shared" si="7"/>
        <v>0.65</v>
      </c>
      <c r="T16" s="32">
        <f>SUM(E16:$E$28)/$E$29</f>
        <v>0.73833793580358986</v>
      </c>
      <c r="U16" s="32">
        <f>SUM(D16:$D$28)/$D$29</f>
        <v>0.10735268006366226</v>
      </c>
      <c r="V16" s="33">
        <f t="shared" si="19"/>
        <v>0.10735268006366226</v>
      </c>
      <c r="W16" s="33">
        <f t="shared" si="20"/>
        <v>3.4133908342220257E-2</v>
      </c>
      <c r="X16" s="33">
        <f t="shared" si="21"/>
        <v>0.71204650973842176</v>
      </c>
      <c r="Y16" s="33">
        <f t="shared" si="22"/>
        <v>2.4304930298809133E-2</v>
      </c>
      <c r="Z16" s="33">
        <f t="shared" si="8"/>
        <v>0.65</v>
      </c>
      <c r="AA16" s="34"/>
      <c r="AB16" s="34"/>
      <c r="AC16" s="33">
        <f t="shared" si="23"/>
        <v>5.0000000000000044E-2</v>
      </c>
      <c r="AD16" s="33">
        <f t="shared" si="24"/>
        <v>0.90971427410744798</v>
      </c>
      <c r="AE16" s="33">
        <f t="shared" si="9"/>
        <v>4.5485713705372438E-2</v>
      </c>
      <c r="AF16" s="34"/>
      <c r="AG16" s="28">
        <f t="shared" si="10"/>
        <v>86440.373560290405</v>
      </c>
      <c r="AH16" s="28">
        <f>D16*SUM(E17:$E$28)</f>
        <v>1127305.2564105028</v>
      </c>
      <c r="AI16" s="33">
        <f t="shared" si="11"/>
        <v>0.6125363119518118</v>
      </c>
      <c r="AJ16" s="66">
        <f t="shared" si="25"/>
        <v>0.9044250566417833</v>
      </c>
    </row>
    <row r="17" spans="1:36" ht="14.25" customHeight="1" x14ac:dyDescent="0.2">
      <c r="A17" s="27">
        <v>9</v>
      </c>
      <c r="B17" s="28">
        <f t="shared" si="12"/>
        <v>1000</v>
      </c>
      <c r="C17" s="29">
        <f t="shared" si="0"/>
        <v>6.6244292800043278E-2</v>
      </c>
      <c r="D17" s="30">
        <f t="shared" si="1"/>
        <v>66.244292800043283</v>
      </c>
      <c r="E17" s="30">
        <f t="shared" si="2"/>
        <v>933.75570719995676</v>
      </c>
      <c r="F17" s="31">
        <f>SUM(E9:E17)/E29</f>
        <v>0.36853303883837174</v>
      </c>
      <c r="G17" s="31">
        <f>SUM(D9:D17)/D30</f>
        <v>0.9504399042785735</v>
      </c>
      <c r="H17" s="32">
        <f t="shared" si="13"/>
        <v>0.68277795516511808</v>
      </c>
      <c r="I17" s="32">
        <f t="shared" si="14"/>
        <v>2.3658676000015366E-2</v>
      </c>
      <c r="J17" s="72">
        <f t="shared" si="15"/>
        <v>1.6153622421204546E-2</v>
      </c>
      <c r="K17" s="34">
        <v>9</v>
      </c>
      <c r="L17" s="15">
        <f t="shared" si="3"/>
        <v>0.4731735200003091</v>
      </c>
      <c r="M17" s="16">
        <f t="shared" si="16"/>
        <v>2661.2317319800059</v>
      </c>
      <c r="N17" s="15">
        <f t="shared" si="4"/>
        <v>2.1120886761746078</v>
      </c>
      <c r="O17" s="30">
        <f t="shared" si="17"/>
        <v>9000</v>
      </c>
      <c r="P17" s="32">
        <f t="shared" si="18"/>
        <v>0.45</v>
      </c>
      <c r="Q17" s="29">
        <f t="shared" si="5"/>
        <v>6.9138420343346815E-2</v>
      </c>
      <c r="R17" s="30">
        <f t="shared" si="6"/>
        <v>12000</v>
      </c>
      <c r="S17" s="32">
        <f t="shared" si="7"/>
        <v>0.6</v>
      </c>
      <c r="T17" s="32">
        <f>SUM(E17:$E$28)/$E$29</f>
        <v>0.68575508367325366</v>
      </c>
      <c r="U17" s="32">
        <f>SUM(D17:$D$28)/$D$29</f>
        <v>7.3218771721442005E-2</v>
      </c>
      <c r="V17" s="33">
        <f t="shared" si="19"/>
        <v>7.3218771721442005E-2</v>
      </c>
      <c r="W17" s="33">
        <f t="shared" si="20"/>
        <v>2.3658676000015443E-2</v>
      </c>
      <c r="X17" s="33">
        <f t="shared" si="21"/>
        <v>0.65861102241744085</v>
      </c>
      <c r="Y17" s="33">
        <f t="shared" si="22"/>
        <v>1.558186478941314E-2</v>
      </c>
      <c r="Z17" s="33">
        <f t="shared" si="8"/>
        <v>0.6</v>
      </c>
      <c r="AA17" s="34"/>
      <c r="AB17" s="34"/>
      <c r="AC17" s="33">
        <f t="shared" si="23"/>
        <v>4.9999999999999989E-2</v>
      </c>
      <c r="AD17" s="33">
        <f t="shared" si="24"/>
        <v>0.93861056627856576</v>
      </c>
      <c r="AE17" s="33">
        <f t="shared" si="9"/>
        <v>4.6930528313928278E-2</v>
      </c>
      <c r="AF17" s="34"/>
      <c r="AG17" s="28">
        <f t="shared" si="10"/>
        <v>61855.986471465418</v>
      </c>
      <c r="AH17" s="28">
        <f>D17*SUM(E18:$E$28)</f>
        <v>719494.61502240459</v>
      </c>
      <c r="AI17" s="33">
        <f t="shared" si="11"/>
        <v>0.58190686544020176</v>
      </c>
      <c r="AJ17" s="66">
        <f t="shared" si="25"/>
        <v>0.93375570719995671</v>
      </c>
    </row>
    <row r="18" spans="1:36" ht="14.25" customHeight="1" x14ac:dyDescent="0.2">
      <c r="A18" s="27">
        <v>10</v>
      </c>
      <c r="B18" s="28">
        <f t="shared" si="12"/>
        <v>1000</v>
      </c>
      <c r="C18" s="29">
        <f t="shared" si="0"/>
        <v>4.5440630744390115E-2</v>
      </c>
      <c r="D18" s="30">
        <f t="shared" si="1"/>
        <v>45.440630744390113</v>
      </c>
      <c r="E18" s="30">
        <f t="shared" si="2"/>
        <v>954.55936925560991</v>
      </c>
      <c r="F18" s="31">
        <f>SUM(E9:E18)/E29</f>
        <v>0.42403067658579097</v>
      </c>
      <c r="G18" s="31">
        <f>SUM(D9:D18)/D30</f>
        <v>0.96666870097299851</v>
      </c>
      <c r="H18" s="32">
        <f t="shared" si="13"/>
        <v>0.79256371542416271</v>
      </c>
      <c r="I18" s="32">
        <f t="shared" si="14"/>
        <v>1.6228796694425007E-2</v>
      </c>
      <c r="J18" s="72">
        <f t="shared" si="15"/>
        <v>1.2862355404996854E-2</v>
      </c>
      <c r="K18" s="34">
        <v>10</v>
      </c>
      <c r="L18" s="15">
        <f t="shared" si="3"/>
        <v>0.32457593388850081</v>
      </c>
      <c r="M18" s="16">
        <f t="shared" si="16"/>
        <v>2706.672362724396</v>
      </c>
      <c r="N18" s="15">
        <f t="shared" si="4"/>
        <v>1.933337401945997</v>
      </c>
      <c r="O18" s="30">
        <f t="shared" si="17"/>
        <v>10000</v>
      </c>
      <c r="P18" s="32">
        <f t="shared" si="18"/>
        <v>0.5</v>
      </c>
      <c r="Q18" s="29">
        <f t="shared" si="5"/>
        <v>4.7425873177566781E-2</v>
      </c>
      <c r="R18" s="30">
        <f t="shared" si="6"/>
        <v>11000</v>
      </c>
      <c r="S18" s="32">
        <f t="shared" si="7"/>
        <v>0.55000000000000004</v>
      </c>
      <c r="T18" s="32">
        <f>SUM(E18:$E$28)/$E$29</f>
        <v>0.63146696116162815</v>
      </c>
      <c r="U18" s="32">
        <f>SUM(D18:$D$28)/$D$29</f>
        <v>4.9560095721426563E-2</v>
      </c>
      <c r="V18" s="33">
        <f t="shared" si="19"/>
        <v>4.9560095721426563E-2</v>
      </c>
      <c r="W18" s="33">
        <f t="shared" si="20"/>
        <v>1.6228796694425049E-2</v>
      </c>
      <c r="X18" s="33">
        <f t="shared" si="21"/>
        <v>0.60371814228791854</v>
      </c>
      <c r="Y18" s="33">
        <f t="shared" si="22"/>
        <v>9.7976189919266043E-3</v>
      </c>
      <c r="Z18" s="33">
        <f t="shared" si="8"/>
        <v>0.55000000000000004</v>
      </c>
      <c r="AA18" s="34"/>
      <c r="AB18" s="34"/>
      <c r="AC18" s="33">
        <f t="shared" si="23"/>
        <v>4.9999999999999989E-2</v>
      </c>
      <c r="AD18" s="33">
        <f t="shared" si="24"/>
        <v>0.958554302625786</v>
      </c>
      <c r="AE18" s="33">
        <f t="shared" si="9"/>
        <v>4.7927715131289288E-2</v>
      </c>
      <c r="AF18" s="34"/>
      <c r="AG18" s="28">
        <f t="shared" si="10"/>
        <v>43375.779821942102</v>
      </c>
      <c r="AH18" s="28">
        <f>D18*SUM(E19:$E$28)</f>
        <v>450165.44074021402</v>
      </c>
      <c r="AI18" s="33">
        <f t="shared" si="11"/>
        <v>0.54263802438720754</v>
      </c>
      <c r="AJ18" s="66">
        <f t="shared" si="25"/>
        <v>0.95455936925560991</v>
      </c>
    </row>
    <row r="19" spans="1:36" ht="14.25" customHeight="1" x14ac:dyDescent="0.2">
      <c r="A19" s="27">
        <v>11</v>
      </c>
      <c r="B19" s="28">
        <f t="shared" si="12"/>
        <v>1000</v>
      </c>
      <c r="C19" s="29">
        <f t="shared" si="0"/>
        <v>3.0943579690904652E-2</v>
      </c>
      <c r="D19" s="30">
        <f t="shared" si="1"/>
        <v>30.943579690904652</v>
      </c>
      <c r="E19" s="30">
        <f t="shared" si="2"/>
        <v>969.0564203090953</v>
      </c>
      <c r="F19" s="31">
        <f>SUM(E9:E19)/E29</f>
        <v>0.48037116613864528</v>
      </c>
      <c r="G19" s="31">
        <f>SUM(D9:D19)/D30</f>
        <v>0.97771997943403599</v>
      </c>
      <c r="H19" s="32">
        <f t="shared" si="13"/>
        <v>0.90440184272443624</v>
      </c>
      <c r="I19" s="32">
        <f t="shared" si="14"/>
        <v>1.1051278461037484E-2</v>
      </c>
      <c r="J19" s="72">
        <f t="shared" si="15"/>
        <v>9.9947966046231729E-3</v>
      </c>
      <c r="K19" s="34">
        <v>11</v>
      </c>
      <c r="L19" s="15">
        <f t="shared" si="3"/>
        <v>0.22102556922074748</v>
      </c>
      <c r="M19" s="16">
        <f t="shared" si="16"/>
        <v>2737.6159424153007</v>
      </c>
      <c r="N19" s="15">
        <f t="shared" si="4"/>
        <v>1.7776726898800652</v>
      </c>
      <c r="O19" s="30">
        <f t="shared" si="17"/>
        <v>11000</v>
      </c>
      <c r="P19" s="32">
        <f t="shared" si="18"/>
        <v>0.55000000000000004</v>
      </c>
      <c r="Q19" s="29">
        <f t="shared" si="5"/>
        <v>3.2295464698450495E-2</v>
      </c>
      <c r="R19" s="30">
        <f t="shared" si="6"/>
        <v>10000</v>
      </c>
      <c r="S19" s="32">
        <f t="shared" si="7"/>
        <v>0.5</v>
      </c>
      <c r="T19" s="32">
        <f>SUM(E19:$E$28)/$E$29</f>
        <v>0.57596932341420903</v>
      </c>
      <c r="U19" s="32">
        <f>SUM(D19:$D$28)/$D$29</f>
        <v>3.3331299027001514E-2</v>
      </c>
      <c r="V19" s="33">
        <f t="shared" si="19"/>
        <v>3.3331299027001514E-2</v>
      </c>
      <c r="W19" s="33">
        <f t="shared" si="20"/>
        <v>1.1051278461037373E-2</v>
      </c>
      <c r="X19" s="33">
        <f t="shared" si="21"/>
        <v>0.54779907863778188</v>
      </c>
      <c r="Y19" s="33">
        <f t="shared" si="22"/>
        <v>6.0538801587258365E-3</v>
      </c>
      <c r="Z19" s="33">
        <f t="shared" si="8"/>
        <v>0.5</v>
      </c>
      <c r="AA19" s="34"/>
      <c r="AB19" s="34"/>
      <c r="AC19" s="33">
        <f t="shared" si="23"/>
        <v>5.0000000000000044E-2</v>
      </c>
      <c r="AD19" s="33">
        <f t="shared" si="24"/>
        <v>0.97219434020351725</v>
      </c>
      <c r="AE19" s="33">
        <f t="shared" si="9"/>
        <v>4.8609717010175905E-2</v>
      </c>
      <c r="AF19" s="34"/>
      <c r="AG19" s="28">
        <f t="shared" si="10"/>
        <v>29986.074566817286</v>
      </c>
      <c r="AH19" s="28">
        <f>D19*SUM(E20:$E$28)</f>
        <v>276561.83116082777</v>
      </c>
      <c r="AI19" s="33">
        <f t="shared" si="11"/>
        <v>0.49734881329539071</v>
      </c>
      <c r="AJ19" s="66">
        <f t="shared" si="25"/>
        <v>0.96905642030909533</v>
      </c>
    </row>
    <row r="20" spans="1:36" ht="14.25" customHeight="1" x14ac:dyDescent="0.2">
      <c r="A20" s="27">
        <v>12</v>
      </c>
      <c r="B20" s="28">
        <f t="shared" si="12"/>
        <v>1000</v>
      </c>
      <c r="C20" s="29">
        <f t="shared" si="0"/>
        <v>2.096532306540598E-2</v>
      </c>
      <c r="D20" s="30">
        <f t="shared" si="1"/>
        <v>20.965323065405979</v>
      </c>
      <c r="E20" s="30">
        <f t="shared" si="2"/>
        <v>979.03467693459402</v>
      </c>
      <c r="F20" s="31">
        <f>SUM(E9:E20)/E29</f>
        <v>0.5372917868906566</v>
      </c>
      <c r="G20" s="31">
        <f>SUM(D9:D20)/D30</f>
        <v>0.98520759481453801</v>
      </c>
      <c r="H20" s="32">
        <f t="shared" si="13"/>
        <v>1.0176629530293018</v>
      </c>
      <c r="I20" s="32">
        <f t="shared" si="14"/>
        <v>7.4876153805020218E-3</v>
      </c>
      <c r="J20" s="72">
        <f t="shared" si="15"/>
        <v>7.6198687792693063E-3</v>
      </c>
      <c r="K20" s="34">
        <v>12</v>
      </c>
      <c r="L20" s="15">
        <f t="shared" si="3"/>
        <v>0.14975230761004271</v>
      </c>
      <c r="M20" s="16">
        <f t="shared" si="16"/>
        <v>2758.5812654807064</v>
      </c>
      <c r="N20" s="15">
        <f t="shared" si="4"/>
        <v>1.64201265802423</v>
      </c>
      <c r="O20" s="30">
        <f t="shared" si="17"/>
        <v>12000</v>
      </c>
      <c r="P20" s="32">
        <f t="shared" si="18"/>
        <v>0.6</v>
      </c>
      <c r="Q20" s="29">
        <f t="shared" si="5"/>
        <v>2.1881270936130459E-2</v>
      </c>
      <c r="R20" s="30">
        <f t="shared" si="6"/>
        <v>9000</v>
      </c>
      <c r="S20" s="32">
        <f t="shared" si="7"/>
        <v>0.45</v>
      </c>
      <c r="T20" s="32">
        <f>SUM(E20:$E$28)/$E$29</f>
        <v>0.51962883386135472</v>
      </c>
      <c r="U20" s="32">
        <f>SUM(D20:$D$28)/$D$29</f>
        <v>2.2280020565964141E-2</v>
      </c>
      <c r="V20" s="33">
        <f t="shared" si="19"/>
        <v>2.2280020565964141E-2</v>
      </c>
      <c r="W20" s="33">
        <f t="shared" si="20"/>
        <v>7.4876153805021363E-3</v>
      </c>
      <c r="X20" s="33">
        <f t="shared" si="21"/>
        <v>0.49116852348534906</v>
      </c>
      <c r="Y20" s="33">
        <f t="shared" si="22"/>
        <v>3.6776809908674246E-3</v>
      </c>
      <c r="Z20" s="33">
        <f t="shared" si="8"/>
        <v>0.45</v>
      </c>
      <c r="AA20" s="34"/>
      <c r="AB20" s="34"/>
      <c r="AC20" s="33">
        <f t="shared" si="23"/>
        <v>4.9999999999999933E-2</v>
      </c>
      <c r="AD20" s="33">
        <f t="shared" si="24"/>
        <v>0.98146378712428706</v>
      </c>
      <c r="AE20" s="33">
        <f t="shared" si="9"/>
        <v>4.907318935621429E-2</v>
      </c>
      <c r="AF20" s="34"/>
      <c r="AG20" s="28">
        <f t="shared" si="10"/>
        <v>20525.778294169137</v>
      </c>
      <c r="AH20" s="28">
        <f>D20*SUM(E21:$E$28)</f>
        <v>166854.22737309057</v>
      </c>
      <c r="AI20" s="33">
        <f t="shared" si="11"/>
        <v>0.44791580792388141</v>
      </c>
      <c r="AJ20" s="66">
        <f t="shared" si="25"/>
        <v>0.97903467693459401</v>
      </c>
    </row>
    <row r="21" spans="1:36" ht="14.25" customHeight="1" x14ac:dyDescent="0.2">
      <c r="A21" s="27">
        <v>13</v>
      </c>
      <c r="B21" s="28">
        <f t="shared" si="12"/>
        <v>1000</v>
      </c>
      <c r="C21" s="29">
        <f t="shared" si="0"/>
        <v>1.4155592165195874E-2</v>
      </c>
      <c r="D21" s="30">
        <f t="shared" si="1"/>
        <v>14.155592165195873</v>
      </c>
      <c r="E21" s="30">
        <f t="shared" si="2"/>
        <v>985.84440783480409</v>
      </c>
      <c r="F21" s="31">
        <f>SUM(E9:E21)/E29</f>
        <v>0.59460832222988935</v>
      </c>
      <c r="G21" s="31">
        <f>SUM(D9:D21)/D30</f>
        <v>0.99026316344496501</v>
      </c>
      <c r="H21" s="32">
        <f t="shared" si="13"/>
        <v>1.1319001091205458</v>
      </c>
      <c r="I21" s="32">
        <f t="shared" si="14"/>
        <v>5.0555686304269987E-3</v>
      </c>
      <c r="J21" s="72">
        <f t="shared" si="15"/>
        <v>5.7223986844467285E-3</v>
      </c>
      <c r="K21" s="34">
        <v>13</v>
      </c>
      <c r="L21" s="15">
        <f t="shared" si="3"/>
        <v>0.10111137260854194</v>
      </c>
      <c r="M21" s="16">
        <f t="shared" si="16"/>
        <v>2772.7368576459021</v>
      </c>
      <c r="N21" s="15">
        <f t="shared" si="4"/>
        <v>1.5234817899153308</v>
      </c>
      <c r="O21" s="30">
        <f t="shared" si="17"/>
        <v>13000</v>
      </c>
      <c r="P21" s="32">
        <f t="shared" si="18"/>
        <v>0.65</v>
      </c>
      <c r="Q21" s="29">
        <f t="shared" si="5"/>
        <v>1.4774031693273055E-2</v>
      </c>
      <c r="R21" s="30">
        <f t="shared" si="6"/>
        <v>8000</v>
      </c>
      <c r="S21" s="32">
        <f t="shared" si="7"/>
        <v>0.4</v>
      </c>
      <c r="T21" s="32">
        <f>SUM(E21:$E$28)/$E$29</f>
        <v>0.4627082131093434</v>
      </c>
      <c r="U21" s="32">
        <f>SUM(D21:$D$28)/$D$29</f>
        <v>1.4792405185462005E-2</v>
      </c>
      <c r="V21" s="33">
        <f t="shared" si="19"/>
        <v>1.4792405185462005E-2</v>
      </c>
      <c r="W21" s="33">
        <f t="shared" si="20"/>
        <v>5.0555686304270993E-3</v>
      </c>
      <c r="X21" s="33">
        <f t="shared" si="21"/>
        <v>0.43404994543972703</v>
      </c>
      <c r="Y21" s="33">
        <f t="shared" si="22"/>
        <v>2.1943692882036778E-3</v>
      </c>
      <c r="Z21" s="33">
        <f t="shared" si="8"/>
        <v>0.4</v>
      </c>
      <c r="AA21" s="34"/>
      <c r="AB21" s="34"/>
      <c r="AC21" s="33">
        <f t="shared" si="23"/>
        <v>5.0000000000000044E-2</v>
      </c>
      <c r="AD21" s="33">
        <f t="shared" si="24"/>
        <v>0.98773537912975151</v>
      </c>
      <c r="AE21" s="33">
        <f t="shared" si="9"/>
        <v>4.9386768956487623E-2</v>
      </c>
      <c r="AF21" s="34"/>
      <c r="AG21" s="28">
        <f t="shared" si="10"/>
        <v>13955.211375648518</v>
      </c>
      <c r="AH21" s="28">
        <f>D21*SUM(E22:$E$28)</f>
        <v>98703.219232064832</v>
      </c>
      <c r="AI21" s="33">
        <f t="shared" si="11"/>
        <v>0.39565484121507566</v>
      </c>
      <c r="AJ21" s="66">
        <f t="shared" si="25"/>
        <v>0.98584440783480409</v>
      </c>
    </row>
    <row r="22" spans="1:36" ht="14.25" customHeight="1" x14ac:dyDescent="0.2">
      <c r="A22" s="27">
        <v>14</v>
      </c>
      <c r="B22" s="28">
        <f t="shared" si="12"/>
        <v>1000</v>
      </c>
      <c r="C22" s="29">
        <f t="shared" si="0"/>
        <v>9.5352204098002134E-3</v>
      </c>
      <c r="D22" s="30">
        <f t="shared" si="1"/>
        <v>9.535220409800214</v>
      </c>
      <c r="E22" s="30">
        <f t="shared" si="2"/>
        <v>990.46477959019978</v>
      </c>
      <c r="F22" s="31">
        <f>SUM(E9:E22)/E29</f>
        <v>0.6521934838339708</v>
      </c>
      <c r="G22" s="31">
        <f>SUM(D9:D22)/D30</f>
        <v>0.99366859930560802</v>
      </c>
      <c r="H22" s="32">
        <f t="shared" si="13"/>
        <v>1.2468018060638602</v>
      </c>
      <c r="I22" s="32">
        <f t="shared" si="14"/>
        <v>3.4054358606430135E-3</v>
      </c>
      <c r="J22" s="72">
        <f t="shared" si="15"/>
        <v>4.2459035814843456E-3</v>
      </c>
      <c r="K22" s="34">
        <v>14</v>
      </c>
      <c r="L22" s="15">
        <f t="shared" si="3"/>
        <v>6.810871721285866E-2</v>
      </c>
      <c r="M22" s="16">
        <f t="shared" si="16"/>
        <v>2782.2720780557024</v>
      </c>
      <c r="N22" s="15">
        <f t="shared" si="4"/>
        <v>1.4195265704365829</v>
      </c>
      <c r="O22" s="30">
        <f t="shared" si="17"/>
        <v>14000</v>
      </c>
      <c r="P22" s="32">
        <f t="shared" si="18"/>
        <v>0.7</v>
      </c>
      <c r="Q22" s="29">
        <f t="shared" si="5"/>
        <v>9.9518018669043171E-3</v>
      </c>
      <c r="R22" s="30">
        <f t="shared" si="6"/>
        <v>7000</v>
      </c>
      <c r="S22" s="32">
        <f t="shared" si="7"/>
        <v>0.35</v>
      </c>
      <c r="T22" s="32">
        <f>SUM(E22:$E$28)/$E$29</f>
        <v>0.40539167777011065</v>
      </c>
      <c r="U22" s="32">
        <f>SUM(D22:$D$28)/$D$29</f>
        <v>9.7368365550349056E-3</v>
      </c>
      <c r="V22" s="33">
        <f t="shared" si="19"/>
        <v>9.7368365550349056E-3</v>
      </c>
      <c r="W22" s="33">
        <f t="shared" si="20"/>
        <v>3.4054358606429328E-3</v>
      </c>
      <c r="X22" s="33">
        <f t="shared" si="21"/>
        <v>0.37659909696806992</v>
      </c>
      <c r="Y22" s="33">
        <f t="shared" si="22"/>
        <v>1.2824840699008106E-3</v>
      </c>
      <c r="Z22" s="33">
        <f t="shared" si="8"/>
        <v>0.35</v>
      </c>
      <c r="AA22" s="34"/>
      <c r="AB22" s="34"/>
      <c r="AC22" s="33">
        <f t="shared" si="23"/>
        <v>4.9999999999999933E-2</v>
      </c>
      <c r="AD22" s="33">
        <f t="shared" si="24"/>
        <v>0.99196588137528652</v>
      </c>
      <c r="AE22" s="33">
        <f t="shared" si="9"/>
        <v>4.9598294068764259E-2</v>
      </c>
      <c r="AF22" s="34"/>
      <c r="AG22" s="28">
        <f t="shared" si="10"/>
        <v>9444.2999815367439</v>
      </c>
      <c r="AH22" s="28">
        <f>D22*SUM(E23:$E$28)</f>
        <v>57042.282815654675</v>
      </c>
      <c r="AI22" s="33">
        <f t="shared" si="11"/>
        <v>0.34147511547163723</v>
      </c>
      <c r="AJ22" s="66">
        <f t="shared" si="25"/>
        <v>0.99046477959019974</v>
      </c>
    </row>
    <row r="23" spans="1:36" ht="14.25" customHeight="1" x14ac:dyDescent="0.2">
      <c r="A23" s="27">
        <v>15</v>
      </c>
      <c r="B23" s="28">
        <f t="shared" si="12"/>
        <v>1000</v>
      </c>
      <c r="C23" s="29">
        <f t="shared" si="0"/>
        <v>6.412688836302448E-3</v>
      </c>
      <c r="D23" s="30">
        <f t="shared" si="1"/>
        <v>6.4126888363024479</v>
      </c>
      <c r="E23" s="30">
        <f t="shared" si="2"/>
        <v>993.58731116369756</v>
      </c>
      <c r="F23" s="31">
        <f>SUM(E9:E23)/E29</f>
        <v>0.70996018797139504</v>
      </c>
      <c r="G23" s="31">
        <f>SUM(D9:D23)/D30</f>
        <v>0.99595884531857315</v>
      </c>
      <c r="H23" s="32">
        <f t="shared" si="13"/>
        <v>1.3621536718053657</v>
      </c>
      <c r="I23" s="32">
        <f t="shared" si="14"/>
        <v>2.2902460129651248E-3</v>
      </c>
      <c r="J23" s="72">
        <f t="shared" si="15"/>
        <v>3.1196670158980437E-3</v>
      </c>
      <c r="K23" s="34">
        <v>15</v>
      </c>
      <c r="L23" s="15">
        <f t="shared" si="3"/>
        <v>4.5804920259303196E-2</v>
      </c>
      <c r="M23" s="16">
        <f t="shared" si="16"/>
        <v>2788.684766892005</v>
      </c>
      <c r="N23" s="15">
        <f t="shared" si="4"/>
        <v>1.3279451270914309</v>
      </c>
      <c r="O23" s="30">
        <f t="shared" si="17"/>
        <v>15000</v>
      </c>
      <c r="P23" s="32">
        <f t="shared" si="18"/>
        <v>0.75</v>
      </c>
      <c r="Q23" s="29">
        <f t="shared" si="5"/>
        <v>6.6928509242848554E-3</v>
      </c>
      <c r="R23" s="30">
        <f t="shared" si="6"/>
        <v>6000</v>
      </c>
      <c r="S23" s="32">
        <f t="shared" si="7"/>
        <v>0.3</v>
      </c>
      <c r="T23" s="32">
        <f>SUM(E23:$E$28)/$E$29</f>
        <v>0.34780651616602926</v>
      </c>
      <c r="U23" s="32">
        <f>SUM(D23:$D$28)/$D$29</f>
        <v>6.3314006943919728E-3</v>
      </c>
      <c r="V23" s="33">
        <f t="shared" si="19"/>
        <v>6.3314006943919728E-3</v>
      </c>
      <c r="W23" s="33">
        <f t="shared" si="20"/>
        <v>2.2902460129651595E-3</v>
      </c>
      <c r="X23" s="33">
        <f t="shared" si="21"/>
        <v>0.31892316409731714</v>
      </c>
      <c r="Y23" s="33">
        <f t="shared" si="22"/>
        <v>7.3041250501611383E-4</v>
      </c>
      <c r="Z23" s="33">
        <f t="shared" si="8"/>
        <v>0.3</v>
      </c>
      <c r="AA23" s="34"/>
      <c r="AB23" s="34"/>
      <c r="AC23" s="33">
        <f t="shared" si="23"/>
        <v>5.0000000000000044E-2</v>
      </c>
      <c r="AD23" s="33">
        <f t="shared" si="24"/>
        <v>0.99481372231209053</v>
      </c>
      <c r="AE23" s="33">
        <f t="shared" si="9"/>
        <v>4.9740686115604574E-2</v>
      </c>
      <c r="AF23" s="34"/>
      <c r="AG23" s="28">
        <f t="shared" si="10"/>
        <v>6371.5662581912102</v>
      </c>
      <c r="AH23" s="28">
        <f>D23*SUM(E24:$E$28)</f>
        <v>31990.883112480442</v>
      </c>
      <c r="AI23" s="33">
        <f t="shared" si="11"/>
        <v>0.28599865734717811</v>
      </c>
      <c r="AJ23" s="66">
        <f t="shared" si="25"/>
        <v>0.99358731116369758</v>
      </c>
    </row>
    <row r="24" spans="1:36" ht="14.25" customHeight="1" x14ac:dyDescent="0.2">
      <c r="A24" s="27">
        <v>16</v>
      </c>
      <c r="B24" s="28">
        <f t="shared" si="12"/>
        <v>1000</v>
      </c>
      <c r="C24" s="29">
        <f t="shared" si="0"/>
        <v>4.3080596042432695E-3</v>
      </c>
      <c r="D24" s="30">
        <f t="shared" si="1"/>
        <v>4.3080596042432697</v>
      </c>
      <c r="E24" s="30">
        <f t="shared" si="2"/>
        <v>995.69194039575677</v>
      </c>
      <c r="F24" s="31">
        <f>SUM(E9:E24)/E29</f>
        <v>0.76784925427347384</v>
      </c>
      <c r="G24" s="31">
        <f>SUM(D9:D24)/D30</f>
        <v>0.99749743803437441</v>
      </c>
      <c r="H24" s="32">
        <f t="shared" si="13"/>
        <v>1.4778094422448689</v>
      </c>
      <c r="I24" s="32">
        <f t="shared" si="14"/>
        <v>1.5385927158012569E-3</v>
      </c>
      <c r="J24" s="72">
        <f t="shared" si="15"/>
        <v>2.2737468431802735E-3</v>
      </c>
      <c r="K24" s="34">
        <v>16</v>
      </c>
      <c r="L24" s="15">
        <f t="shared" si="3"/>
        <v>3.0771854316023351E-2</v>
      </c>
      <c r="M24" s="16">
        <f t="shared" si="16"/>
        <v>2792.9928264962482</v>
      </c>
      <c r="N24" s="15">
        <f t="shared" si="4"/>
        <v>1.246871797542968</v>
      </c>
      <c r="O24" s="30">
        <f t="shared" si="17"/>
        <v>16000</v>
      </c>
      <c r="P24" s="32">
        <f t="shared" si="18"/>
        <v>0.8</v>
      </c>
      <c r="Q24" s="29">
        <f t="shared" si="5"/>
        <v>4.4962731609411782E-3</v>
      </c>
      <c r="R24" s="30">
        <f t="shared" si="6"/>
        <v>5000</v>
      </c>
      <c r="S24" s="32">
        <f t="shared" si="7"/>
        <v>0.25</v>
      </c>
      <c r="T24" s="32">
        <f>SUM(E24:$E$28)/$E$29</f>
        <v>0.29003981202860496</v>
      </c>
      <c r="U24" s="32">
        <f>SUM(D24:$D$28)/$D$29</f>
        <v>4.0411546814268133E-3</v>
      </c>
      <c r="V24" s="33">
        <f t="shared" si="19"/>
        <v>4.0411546814268133E-3</v>
      </c>
      <c r="W24" s="33">
        <f t="shared" si="20"/>
        <v>1.538592715801168E-3</v>
      </c>
      <c r="X24" s="33">
        <f t="shared" si="21"/>
        <v>0.26109527887756551</v>
      </c>
      <c r="Y24" s="33">
        <f t="shared" si="22"/>
        <v>4.0171929421109687E-4</v>
      </c>
      <c r="Z24" s="33">
        <f t="shared" si="8"/>
        <v>0.25</v>
      </c>
      <c r="AA24" s="34"/>
      <c r="AB24" s="34"/>
      <c r="AC24" s="33">
        <f t="shared" si="23"/>
        <v>5.0000000000000044E-2</v>
      </c>
      <c r="AD24" s="33">
        <f t="shared" si="24"/>
        <v>0.99672814167647372</v>
      </c>
      <c r="AE24" s="33">
        <f t="shared" si="9"/>
        <v>4.9836407083823732E-2</v>
      </c>
      <c r="AF24" s="34"/>
      <c r="AG24" s="28">
        <f t="shared" si="10"/>
        <v>4289.5002266895572</v>
      </c>
      <c r="AH24" s="28">
        <f>D24*SUM(E25:$E$28)</f>
        <v>17202.05109586164</v>
      </c>
      <c r="AI24" s="33">
        <f t="shared" si="11"/>
        <v>0.22964818376090057</v>
      </c>
      <c r="AJ24" s="66">
        <f t="shared" si="25"/>
        <v>0.9956919403957567</v>
      </c>
    </row>
    <row r="25" spans="1:36" ht="14.25" customHeight="1" x14ac:dyDescent="0.2">
      <c r="A25" s="27">
        <v>17</v>
      </c>
      <c r="B25" s="28">
        <f t="shared" si="12"/>
        <v>1000</v>
      </c>
      <c r="C25" s="29">
        <f t="shared" si="0"/>
        <v>2.8920657112707173E-3</v>
      </c>
      <c r="D25" s="30">
        <f t="shared" si="1"/>
        <v>2.8920657112707175</v>
      </c>
      <c r="E25" s="30">
        <f t="shared" si="2"/>
        <v>997.10793428872933</v>
      </c>
      <c r="F25" s="31">
        <f>SUM(E9:E25)/E29</f>
        <v>0.82582064580188841</v>
      </c>
      <c r="G25" s="31">
        <f>SUM(D9:D25)/D30</f>
        <v>0.99853031864554254</v>
      </c>
      <c r="H25" s="32">
        <f t="shared" si="13"/>
        <v>1.5936699000753622</v>
      </c>
      <c r="I25" s="32">
        <f t="shared" si="14"/>
        <v>1.0328806111681299E-3</v>
      </c>
      <c r="J25" s="72">
        <f t="shared" si="15"/>
        <v>1.6460707403900927E-3</v>
      </c>
      <c r="K25" s="34">
        <v>17</v>
      </c>
      <c r="L25" s="15">
        <f t="shared" si="3"/>
        <v>2.0657612223362265E-2</v>
      </c>
      <c r="M25" s="16">
        <f t="shared" si="16"/>
        <v>2795.884892207519</v>
      </c>
      <c r="N25" s="15">
        <f t="shared" si="4"/>
        <v>1.1747415513476971</v>
      </c>
      <c r="O25" s="30">
        <f t="shared" si="17"/>
        <v>17000</v>
      </c>
      <c r="P25" s="32">
        <f t="shared" si="18"/>
        <v>0.85</v>
      </c>
      <c r="Q25" s="29">
        <f t="shared" si="5"/>
        <v>3.0184163247084215E-3</v>
      </c>
      <c r="R25" s="30">
        <f t="shared" si="6"/>
        <v>4000</v>
      </c>
      <c r="S25" s="32">
        <f t="shared" si="7"/>
        <v>0.2</v>
      </c>
      <c r="T25" s="32">
        <f>SUM(E25:$E$28)/$E$29</f>
        <v>0.23215074572652603</v>
      </c>
      <c r="U25" s="32">
        <f>SUM(D25:$D$28)/$D$29</f>
        <v>2.5025619656256454E-3</v>
      </c>
      <c r="V25" s="33">
        <f t="shared" si="19"/>
        <v>2.5025619656256454E-3</v>
      </c>
      <c r="W25" s="33">
        <f t="shared" si="20"/>
        <v>1.0328806111681132E-3</v>
      </c>
      <c r="X25" s="33">
        <f t="shared" si="21"/>
        <v>0.20316504996231879</v>
      </c>
      <c r="Y25" s="33">
        <f t="shared" si="22"/>
        <v>2.0984524097308009E-4</v>
      </c>
      <c r="Z25" s="33">
        <f t="shared" si="8"/>
        <v>0.2</v>
      </c>
      <c r="AA25" s="34"/>
      <c r="AB25" s="34"/>
      <c r="AC25" s="33">
        <f t="shared" si="23"/>
        <v>4.9999999999999933E-2</v>
      </c>
      <c r="AD25" s="33">
        <f t="shared" si="24"/>
        <v>0.99801387833995847</v>
      </c>
      <c r="AE25" s="33">
        <f t="shared" si="9"/>
        <v>4.9900693916997856E-2</v>
      </c>
      <c r="AF25" s="34"/>
      <c r="AG25" s="28">
        <f t="shared" si="10"/>
        <v>2883.7016671924098</v>
      </c>
      <c r="AH25" s="28">
        <f>D25*SUM(E26:$E$28)</f>
        <v>8664.2959716673358</v>
      </c>
      <c r="AI25" s="33">
        <f t="shared" si="11"/>
        <v>0.17270967284365413</v>
      </c>
      <c r="AJ25" s="66">
        <f t="shared" si="25"/>
        <v>0.99710793428872924</v>
      </c>
    </row>
    <row r="26" spans="1:36" ht="14.25" customHeight="1" x14ac:dyDescent="0.2">
      <c r="A26" s="27">
        <v>18</v>
      </c>
      <c r="B26" s="28">
        <f t="shared" si="12"/>
        <v>1000</v>
      </c>
      <c r="C26" s="29">
        <f t="shared" si="0"/>
        <v>1.9405406747773446E-3</v>
      </c>
      <c r="D26" s="30">
        <f t="shared" si="1"/>
        <v>1.9405406747773446</v>
      </c>
      <c r="E26" s="30">
        <f t="shared" si="2"/>
        <v>998.05945932522263</v>
      </c>
      <c r="F26" s="31">
        <f>SUM(E9:E26)/E29</f>
        <v>0.88384735855335483</v>
      </c>
      <c r="G26" s="31">
        <f>SUM(D9:D26)/D30</f>
        <v>0.9992233688865344</v>
      </c>
      <c r="H26" s="32">
        <f t="shared" si="13"/>
        <v>1.7096680043552432</v>
      </c>
      <c r="I26" s="32">
        <f t="shared" si="14"/>
        <v>6.9305024099186596E-4</v>
      </c>
      <c r="J26" s="72">
        <f t="shared" si="15"/>
        <v>1.1848858224344839E-3</v>
      </c>
      <c r="K26" s="34">
        <v>18</v>
      </c>
      <c r="L26" s="15">
        <f t="shared" si="3"/>
        <v>1.3861004819838174E-2</v>
      </c>
      <c r="M26" s="16">
        <f t="shared" si="16"/>
        <v>2797.8254328822964</v>
      </c>
      <c r="N26" s="15">
        <f t="shared" si="4"/>
        <v>1.110248187651705</v>
      </c>
      <c r="O26" s="30">
        <f t="shared" si="17"/>
        <v>18000</v>
      </c>
      <c r="P26" s="32">
        <f t="shared" si="18"/>
        <v>0.9</v>
      </c>
      <c r="Q26" s="29">
        <f t="shared" si="5"/>
        <v>2.0253203890498819E-3</v>
      </c>
      <c r="R26" s="30">
        <f t="shared" si="6"/>
        <v>3000</v>
      </c>
      <c r="S26" s="32">
        <f t="shared" si="7"/>
        <v>0.15</v>
      </c>
      <c r="T26" s="32">
        <f>SUM(E26:$E$28)/$E$29</f>
        <v>0.17417935419811156</v>
      </c>
      <c r="U26" s="32">
        <f>SUM(D26:$D$28)/$D$29</f>
        <v>1.4696813544575321E-3</v>
      </c>
      <c r="V26" s="33">
        <f t="shared" si="19"/>
        <v>1.4696813544575321E-3</v>
      </c>
      <c r="W26" s="33">
        <f t="shared" si="20"/>
        <v>6.930502409919089E-4</v>
      </c>
      <c r="X26" s="33">
        <f t="shared" si="21"/>
        <v>0.14516599782237835</v>
      </c>
      <c r="Y26" s="33">
        <f t="shared" si="22"/>
        <v>1.0060732977463023E-4</v>
      </c>
      <c r="Z26" s="33">
        <f t="shared" si="8"/>
        <v>0.15</v>
      </c>
      <c r="AA26" s="34"/>
      <c r="AB26" s="34"/>
      <c r="AC26" s="33">
        <f t="shared" si="23"/>
        <v>5.0000000000000044E-2</v>
      </c>
      <c r="AD26" s="33">
        <f t="shared" si="24"/>
        <v>0.99887684376603847</v>
      </c>
      <c r="AE26" s="33">
        <f t="shared" si="9"/>
        <v>4.9943842188301966E-2</v>
      </c>
      <c r="AF26" s="34"/>
      <c r="AG26" s="28">
        <f t="shared" si="10"/>
        <v>1936.7749766668792</v>
      </c>
      <c r="AH26" s="28">
        <f>D26*SUM(E27:$E$28)</f>
        <v>3876.8615136127519</v>
      </c>
      <c r="AI26" s="33">
        <f t="shared" si="11"/>
        <v>0.11537601033317957</v>
      </c>
      <c r="AJ26" s="66">
        <f t="shared" si="25"/>
        <v>0.99805945932522266</v>
      </c>
    </row>
    <row r="27" spans="1:36" ht="14.25" customHeight="1" x14ac:dyDescent="0.2">
      <c r="A27" s="27">
        <v>19</v>
      </c>
      <c r="B27" s="28">
        <f t="shared" si="12"/>
        <v>1000</v>
      </c>
      <c r="C27" s="29">
        <f t="shared" si="0"/>
        <v>1.3016524375882171E-3</v>
      </c>
      <c r="D27" s="30">
        <f t="shared" si="1"/>
        <v>1.301652437588217</v>
      </c>
      <c r="E27" s="30">
        <f t="shared" si="2"/>
        <v>998.69834756241175</v>
      </c>
      <c r="F27" s="31">
        <f>SUM(E9:E27)/E29</f>
        <v>0.94191121596977412</v>
      </c>
      <c r="G27" s="31">
        <f>SUM(D9:D27)/D30</f>
        <v>0.99968824475710161</v>
      </c>
      <c r="H27" s="32">
        <f t="shared" si="13"/>
        <v>1.8257585745231291</v>
      </c>
      <c r="I27" s="32">
        <f t="shared" si="14"/>
        <v>4.6487587056720514E-4</v>
      </c>
      <c r="J27" s="72">
        <f t="shared" si="15"/>
        <v>8.487511067769791E-4</v>
      </c>
      <c r="K27" s="34">
        <v>19</v>
      </c>
      <c r="L27" s="15">
        <f t="shared" si="3"/>
        <v>9.2975174113444064E-3</v>
      </c>
      <c r="M27" s="16">
        <f t="shared" si="16"/>
        <v>2799.1270853198844</v>
      </c>
      <c r="N27" s="15">
        <f t="shared" si="4"/>
        <v>1.0523034155337911</v>
      </c>
      <c r="O27" s="30">
        <f t="shared" si="17"/>
        <v>19000</v>
      </c>
      <c r="P27" s="32">
        <f t="shared" si="18"/>
        <v>0.95</v>
      </c>
      <c r="Q27" s="29">
        <f t="shared" si="5"/>
        <v>1.3585199504289581E-3</v>
      </c>
      <c r="R27" s="30">
        <f t="shared" si="6"/>
        <v>2000</v>
      </c>
      <c r="S27" s="32">
        <f t="shared" si="7"/>
        <v>0.1</v>
      </c>
      <c r="T27" s="32">
        <f>SUM(E27:$E$28)/$E$29</f>
        <v>0.11615264144664514</v>
      </c>
      <c r="U27" s="32">
        <f>SUM(D27:$D$28)/$D$29</f>
        <v>7.7663111346562325E-4</v>
      </c>
      <c r="V27" s="33">
        <f t="shared" si="19"/>
        <v>7.7663111346562325E-4</v>
      </c>
      <c r="W27" s="33">
        <f t="shared" si="20"/>
        <v>4.6487587056722043E-4</v>
      </c>
      <c r="X27" s="33">
        <f t="shared" si="21"/>
        <v>8.7120712738435496E-2</v>
      </c>
      <c r="Y27" s="33">
        <f t="shared" si="22"/>
        <v>4.0500317178716934E-5</v>
      </c>
      <c r="Z27" s="33">
        <f t="shared" si="8"/>
        <v>0.1</v>
      </c>
      <c r="AA27" s="34"/>
      <c r="AB27" s="34"/>
      <c r="AC27" s="33">
        <f t="shared" si="23"/>
        <v>4.9999999999999933E-2</v>
      </c>
      <c r="AD27" s="33">
        <f t="shared" si="24"/>
        <v>0.999455806821818</v>
      </c>
      <c r="AE27" s="33">
        <f t="shared" si="9"/>
        <v>4.9972790341090832E-2</v>
      </c>
      <c r="AF27" s="34"/>
      <c r="AG27" s="28">
        <f t="shared" si="10"/>
        <v>1299.9581385199376</v>
      </c>
      <c r="AH27" s="28">
        <f>D27*SUM(E28:$E$28)</f>
        <v>1300.5162060670382</v>
      </c>
      <c r="AI27" s="33">
        <f t="shared" si="11"/>
        <v>5.7777028787327489E-2</v>
      </c>
      <c r="AJ27" s="66">
        <f t="shared" si="25"/>
        <v>0.99869834756241183</v>
      </c>
    </row>
    <row r="28" spans="1:36" ht="14.25" customHeight="1" thickBot="1" x14ac:dyDescent="0.25">
      <c r="A28" s="35">
        <v>20</v>
      </c>
      <c r="B28" s="36">
        <f t="shared" si="12"/>
        <v>1000</v>
      </c>
      <c r="C28" s="37">
        <f t="shared" si="0"/>
        <v>8.7291468011552783E-4</v>
      </c>
      <c r="D28" s="38">
        <f t="shared" si="1"/>
        <v>0.87291468011552786</v>
      </c>
      <c r="E28" s="38">
        <f t="shared" si="2"/>
        <v>999.12708531988449</v>
      </c>
      <c r="F28" s="39">
        <f>SUM(E9:E28)/E29</f>
        <v>1</v>
      </c>
      <c r="G28" s="39">
        <f>SUM(D9:D28)/D30</f>
        <v>1</v>
      </c>
      <c r="H28" s="40">
        <f t="shared" si="13"/>
        <v>1.9419112159697742</v>
      </c>
      <c r="I28" s="40">
        <f t="shared" si="14"/>
        <v>3.1175524289839274E-4</v>
      </c>
      <c r="J28" s="73">
        <f t="shared" si="15"/>
        <v>6.0540100282177015E-4</v>
      </c>
      <c r="K28" s="44">
        <v>20</v>
      </c>
      <c r="L28" s="41">
        <f t="shared" si="3"/>
        <v>6.2351048579680551E-3</v>
      </c>
      <c r="M28" s="42">
        <f t="shared" si="16"/>
        <v>2800</v>
      </c>
      <c r="N28" s="41">
        <f t="shared" si="4"/>
        <v>1</v>
      </c>
      <c r="O28" s="38">
        <f t="shared" si="17"/>
        <v>20000</v>
      </c>
      <c r="P28" s="40">
        <f t="shared" si="18"/>
        <v>1</v>
      </c>
      <c r="Q28" s="37">
        <f t="shared" si="5"/>
        <v>9.1105119440064539E-4</v>
      </c>
      <c r="R28" s="38">
        <f>B28</f>
        <v>1000</v>
      </c>
      <c r="S28" s="40">
        <f>R28/$B$29</f>
        <v>0.05</v>
      </c>
      <c r="T28" s="40">
        <f>SUM(E28:$E$28)/$E$29</f>
        <v>5.808878403022584E-2</v>
      </c>
      <c r="U28" s="40">
        <f>SUM(D28:$D$28)/$D$29</f>
        <v>3.1175524289840282E-4</v>
      </c>
      <c r="V28" s="43">
        <f t="shared" si="19"/>
        <v>3.1175524289840282E-4</v>
      </c>
      <c r="W28" s="43">
        <f t="shared" si="20"/>
        <v>3.1175524289840282E-4</v>
      </c>
      <c r="X28" s="43">
        <f>(T28)/2</f>
        <v>2.904439201511292E-2</v>
      </c>
      <c r="Y28" s="43">
        <f t="shared" si="22"/>
        <v>9.0547414875079599E-6</v>
      </c>
      <c r="Z28" s="43">
        <f t="shared" si="8"/>
        <v>0.05</v>
      </c>
      <c r="AA28" s="44"/>
      <c r="AB28" s="44"/>
      <c r="AC28" s="43">
        <f>P28-P27</f>
        <v>5.0000000000000044E-2</v>
      </c>
      <c r="AD28" s="43">
        <f t="shared" si="24"/>
        <v>0.9998441223785508</v>
      </c>
      <c r="AE28" s="43">
        <f>AC28*AD28</f>
        <v>4.9992206118927587E-2</v>
      </c>
      <c r="AF28" s="44"/>
      <c r="AG28" s="38">
        <f t="shared" si="10"/>
        <v>872.15270007676668</v>
      </c>
      <c r="AH28" s="38">
        <v>0</v>
      </c>
      <c r="AI28" s="43">
        <f t="shared" si="11"/>
        <v>0</v>
      </c>
      <c r="AJ28" s="67">
        <f t="shared" si="25"/>
        <v>0.99912708531988448</v>
      </c>
    </row>
    <row r="29" spans="1:36" ht="14.25" customHeight="1" x14ac:dyDescent="0.2">
      <c r="B29" s="62">
        <f>SUM(B9:B28)</f>
        <v>20000</v>
      </c>
      <c r="C29" s="68">
        <f t="shared" si="0"/>
        <v>0.14000000000000001</v>
      </c>
      <c r="D29" s="69">
        <f>SUM(D9:D28)</f>
        <v>2800</v>
      </c>
      <c r="E29" s="69">
        <f>SUM(E9:E28)</f>
        <v>17200</v>
      </c>
      <c r="F29" s="70" t="s">
        <v>37</v>
      </c>
      <c r="G29" s="59">
        <f>MAX(AI8:AI28)</f>
        <v>0.6326824346700245</v>
      </c>
      <c r="H29" s="3"/>
      <c r="I29" s="60" t="s">
        <v>52</v>
      </c>
      <c r="J29" s="54">
        <f>SUM(J9:J28)</f>
        <v>0.22414393212661263</v>
      </c>
      <c r="K29" s="3"/>
      <c r="M29" s="8"/>
      <c r="Q29" s="61">
        <f>AVERAGE(Q9:Q28)</f>
        <v>0.14611641907455358</v>
      </c>
      <c r="S29" s="61">
        <v>0</v>
      </c>
      <c r="T29" s="61">
        <v>0</v>
      </c>
      <c r="U29" s="61">
        <v>0</v>
      </c>
      <c r="X29" s="62" t="s">
        <v>23</v>
      </c>
      <c r="Y29" s="61">
        <f>SUM(Y9:Y28)</f>
        <v>0.88792803393669384</v>
      </c>
      <c r="Z29" s="61">
        <v>0</v>
      </c>
      <c r="AD29" s="63" t="s">
        <v>54</v>
      </c>
      <c r="AE29" s="61">
        <f>SUM(AE9:AE28)-0.5</f>
        <v>0.33361810918555657</v>
      </c>
      <c r="AG29" s="64">
        <f>SUM(AG9:AG28)</f>
        <v>1700307.0256975722</v>
      </c>
      <c r="AH29" s="64">
        <f>SUM(AH9:AH28)</f>
        <v>41912460.601542391</v>
      </c>
    </row>
    <row r="30" spans="1:36" ht="14.25" customHeight="1" x14ac:dyDescent="0.2">
      <c r="C30" s="54">
        <f>D29/B29</f>
        <v>0.14000000000000001</v>
      </c>
      <c r="D30" s="55">
        <f>SUM(D9:D28)</f>
        <v>2800</v>
      </c>
      <c r="E30" s="4"/>
      <c r="F30" s="4"/>
      <c r="G30" s="3"/>
      <c r="H30" s="3"/>
      <c r="I30" s="51" t="s">
        <v>53</v>
      </c>
      <c r="J30" s="77">
        <f>1-J29</f>
        <v>0.77585606787338735</v>
      </c>
      <c r="M30" s="8"/>
      <c r="X30" s="5" t="s">
        <v>5</v>
      </c>
      <c r="Y30" s="56">
        <f>2*Y29-1</f>
        <v>0.77585606787338768</v>
      </c>
      <c r="AD30" s="10" t="s">
        <v>55</v>
      </c>
      <c r="AE30" s="56">
        <f>AA10/2+(1-AA10)-0.5</f>
        <v>0.42999999999999994</v>
      </c>
    </row>
    <row r="31" spans="1:36" ht="25.5" x14ac:dyDescent="0.2">
      <c r="C31" s="5" t="s">
        <v>1</v>
      </c>
      <c r="D31" s="74">
        <v>-0.4</v>
      </c>
      <c r="I31" s="5" t="s">
        <v>36</v>
      </c>
      <c r="J31" s="52">
        <f>2*J29/2-1</f>
        <v>-0.77585606787338735</v>
      </c>
      <c r="K31" s="3"/>
      <c r="AC31" s="5" t="s">
        <v>31</v>
      </c>
      <c r="AD31" s="10" t="s">
        <v>56</v>
      </c>
      <c r="AE31" s="56">
        <f>AE29/AE30</f>
        <v>0.77585606787338746</v>
      </c>
    </row>
    <row r="32" spans="1:36" x14ac:dyDescent="0.2">
      <c r="C32" s="5" t="s">
        <v>2</v>
      </c>
      <c r="D32" s="74">
        <v>1</v>
      </c>
    </row>
    <row r="34" spans="28:30" ht="25.5" x14ac:dyDescent="0.2">
      <c r="AC34" s="10" t="s">
        <v>57</v>
      </c>
      <c r="AD34" s="5">
        <f>D29*E29</f>
        <v>48160000</v>
      </c>
    </row>
    <row r="35" spans="28:30" ht="25.5" x14ac:dyDescent="0.2">
      <c r="AC35" s="10" t="s">
        <v>58</v>
      </c>
      <c r="AD35" s="53">
        <f>AG29</f>
        <v>1700307.0256975722</v>
      </c>
    </row>
    <row r="36" spans="28:30" ht="25.5" x14ac:dyDescent="0.2">
      <c r="AC36" s="10" t="s">
        <v>59</v>
      </c>
      <c r="AD36" s="53">
        <f>AH29</f>
        <v>41912460.601542391</v>
      </c>
    </row>
    <row r="37" spans="28:30" ht="25.5" x14ac:dyDescent="0.2">
      <c r="AC37" s="10" t="s">
        <v>60</v>
      </c>
      <c r="AD37" s="53">
        <f>AD34-AD35-AD36</f>
        <v>4547232.3727600351</v>
      </c>
    </row>
    <row r="39" spans="28:30" x14ac:dyDescent="0.2">
      <c r="AB39" s="5" t="s">
        <v>5</v>
      </c>
      <c r="AC39" s="5" t="s">
        <v>38</v>
      </c>
      <c r="AD39" s="56">
        <f>(AD36-AD37)/AD34</f>
        <v>0.77585606787338779</v>
      </c>
    </row>
  </sheetData>
  <mergeCells count="2">
    <mergeCell ref="T3:U3"/>
    <mergeCell ref="AA6:AB6"/>
  </mergeCells>
  <pageMargins left="0" right="0" top="0" bottom="0" header="0" footer="0"/>
  <pageSetup paperSize="9" scale="133" orientation="landscape" horizontalDpi="4294967294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IloscPobran xmlns="15eff680-7205-4d96-b943-900c91f8b861">84</IloscPobran>
    <IloscPobranLast xmlns="15eff680-7205-4d96-b943-900c91f8b861">84</IloscPobranLas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6169E91E682348829F391E18E24ADC" ma:contentTypeVersion="3" ma:contentTypeDescription="Utwórz nowy dokument." ma:contentTypeScope="" ma:versionID="8d987f166263a89b8f9d9a4d00248ac5">
  <xsd:schema xmlns:xsd="http://www.w3.org/2001/XMLSchema" xmlns:xs="http://www.w3.org/2001/XMLSchema" xmlns:p="http://schemas.microsoft.com/office/2006/metadata/properties" xmlns:ns1="http://schemas.microsoft.com/sharepoint/v3" xmlns:ns2="15eff680-7205-4d96-b943-900c91f8b861" targetNamespace="http://schemas.microsoft.com/office/2006/metadata/properties" ma:root="true" ma:fieldsID="01d90da5a6219a11e736808c48a3d393" ns1:_="" ns2:_="">
    <xsd:import namespace="http://schemas.microsoft.com/sharepoint/v3"/>
    <xsd:import namespace="15eff680-7205-4d96-b943-900c91f8b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loscPobran" minOccurs="0"/>
                <xsd:element ref="ns2:IloscPobranLa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owana data rozpoczęcia" ma:internalName="PublishingStartDate">
      <xsd:simpleType>
        <xsd:restriction base="dms:Unknown"/>
      </xsd:simpleType>
    </xsd:element>
    <xsd:element name="PublishingExpirationDate" ma:index="9" nillable="true" ma:displayName="Planowana data zakończenia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f680-7205-4d96-b943-900c91f8b861" elementFormDefault="qualified">
    <xsd:import namespace="http://schemas.microsoft.com/office/2006/documentManagement/types"/>
    <xsd:import namespace="http://schemas.microsoft.com/office/infopath/2007/PartnerControls"/>
    <xsd:element name="IloscPobran" ma:index="10" nillable="true" ma:displayName="IloscPobran" ma:decimals="0" ma:internalName="IloscPobran">
      <xsd:simpleType>
        <xsd:restriction base="dms:Number"/>
      </xsd:simpleType>
    </xsd:element>
    <xsd:element name="IloscPobranLast" ma:index="11" nillable="true" ma:displayName="IloscPobranLast" ma:decimals="0" ma:internalName="IloscPobranLast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FD22EB-66FB-4206-B961-F8D60FCE656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5eff680-7205-4d96-b943-900c91f8b861"/>
  </ds:schemaRefs>
</ds:datastoreItem>
</file>

<file path=customXml/itemProps2.xml><?xml version="1.0" encoding="utf-8"?>
<ds:datastoreItem xmlns:ds="http://schemas.openxmlformats.org/officeDocument/2006/customXml" ds:itemID="{BAE7B4EB-C833-4FF6-B0E5-366F6E79E9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294D91-8DD6-472E-A8C2-2B01EFCB4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eff680-7205-4d96-b943-900c91f8b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Karol Przanowski</cp:lastModifiedBy>
  <cp:lastPrinted>2016-02-21T13:15:06Z</cp:lastPrinted>
  <dcterms:created xsi:type="dcterms:W3CDTF">2008-06-27T13:02:34Z</dcterms:created>
  <dcterms:modified xsi:type="dcterms:W3CDTF">2018-02-19T22:21:29Z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0x010100256169E91E682348829F391E18E24ADC</vt:lpwstr>
  </property>
</Properties>
</file>