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65" yWindow="120" windowWidth="11325" windowHeight="8385"/>
  </bookViews>
  <sheets>
    <sheet name="standard populations" sheetId="3" r:id="rId1"/>
    <sheet name="DIRECT examples" sheetId="2" r:id="rId2"/>
    <sheet name=" INDIRECT examples" sheetId="4" r:id="rId3"/>
    <sheet name="checker" sheetId="5" r:id="rId4"/>
    <sheet name="age vs age-sex standardising" sheetId="6" r:id="rId5"/>
  </sheets>
  <definedNames>
    <definedName name="_xlnm.Print_Area" localSheetId="4">'age vs age-sex standardising'!$A$1:$R$49</definedName>
  </definedNames>
  <calcPr calcId="125725"/>
</workbook>
</file>

<file path=xl/calcChain.xml><?xml version="1.0" encoding="utf-8"?>
<calcChain xmlns="http://schemas.openxmlformats.org/spreadsheetml/2006/main">
  <c r="N38" i="6"/>
  <c r="F38"/>
  <c r="D37"/>
  <c r="C37"/>
  <c r="E37" s="1"/>
  <c r="G37" s="1"/>
  <c r="D36"/>
  <c r="C36"/>
  <c r="E36" s="1"/>
  <c r="G36" s="1"/>
  <c r="D35"/>
  <c r="C35"/>
  <c r="C41" s="1"/>
  <c r="D34"/>
  <c r="C34"/>
  <c r="E34" s="1"/>
  <c r="G34" s="1"/>
  <c r="D33"/>
  <c r="C33"/>
  <c r="E33" s="1"/>
  <c r="G33" s="1"/>
  <c r="D32"/>
  <c r="D38" s="1"/>
  <c r="C32"/>
  <c r="C38" s="1"/>
  <c r="N23"/>
  <c r="L23"/>
  <c r="F23"/>
  <c r="D23"/>
  <c r="C23"/>
  <c r="E23" s="1"/>
  <c r="N22"/>
  <c r="N24" s="1"/>
  <c r="L22"/>
  <c r="L24" s="1"/>
  <c r="F22"/>
  <c r="F24" s="1"/>
  <c r="D22"/>
  <c r="D24" s="1"/>
  <c r="C22"/>
  <c r="L21"/>
  <c r="K21"/>
  <c r="M21" s="1"/>
  <c r="O21" s="1"/>
  <c r="E21"/>
  <c r="G21" s="1"/>
  <c r="L20"/>
  <c r="K20"/>
  <c r="M20" s="1"/>
  <c r="O20" s="1"/>
  <c r="E20"/>
  <c r="G20" s="1"/>
  <c r="L19"/>
  <c r="K19"/>
  <c r="M19" s="1"/>
  <c r="O19" s="1"/>
  <c r="E19"/>
  <c r="G19" s="1"/>
  <c r="L18"/>
  <c r="K18"/>
  <c r="M18" s="1"/>
  <c r="O18" s="1"/>
  <c r="E18"/>
  <c r="G18" s="1"/>
  <c r="L17"/>
  <c r="K17"/>
  <c r="M17" s="1"/>
  <c r="O17" s="1"/>
  <c r="E17"/>
  <c r="G17" s="1"/>
  <c r="L16"/>
  <c r="K16"/>
  <c r="M16" s="1"/>
  <c r="O16" s="1"/>
  <c r="O23" s="1"/>
  <c r="O28" s="1"/>
  <c r="E16"/>
  <c r="G16" s="1"/>
  <c r="G23" s="1"/>
  <c r="G28" s="1"/>
  <c r="L15"/>
  <c r="L37" s="1"/>
  <c r="M37" s="1"/>
  <c r="O37" s="1"/>
  <c r="K15"/>
  <c r="K37" s="1"/>
  <c r="E15"/>
  <c r="G15" s="1"/>
  <c r="L14"/>
  <c r="L36" s="1"/>
  <c r="K14"/>
  <c r="K36" s="1"/>
  <c r="E14"/>
  <c r="G14" s="1"/>
  <c r="L13"/>
  <c r="L35" s="1"/>
  <c r="K13"/>
  <c r="K35" s="1"/>
  <c r="E13"/>
  <c r="G13" s="1"/>
  <c r="L12"/>
  <c r="L34" s="1"/>
  <c r="M34" s="1"/>
  <c r="O34" s="1"/>
  <c r="K12"/>
  <c r="K34" s="1"/>
  <c r="E12"/>
  <c r="G12" s="1"/>
  <c r="L11"/>
  <c r="L33" s="1"/>
  <c r="K11"/>
  <c r="K33" s="1"/>
  <c r="E11"/>
  <c r="G11" s="1"/>
  <c r="L10"/>
  <c r="L32" s="1"/>
  <c r="K10"/>
  <c r="K32" s="1"/>
  <c r="K38" s="1"/>
  <c r="E10"/>
  <c r="G10" s="1"/>
  <c r="G22" s="1"/>
  <c r="F25" i="5"/>
  <c r="E25"/>
  <c r="D25"/>
  <c r="C25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  <c r="E11"/>
  <c r="G11" s="1"/>
  <c r="E10"/>
  <c r="G10" s="1"/>
  <c r="E9"/>
  <c r="G9" s="1"/>
  <c r="E8"/>
  <c r="G8" s="1"/>
  <c r="A8"/>
  <c r="G7"/>
  <c r="E7"/>
  <c r="A7"/>
  <c r="E6"/>
  <c r="G6" s="1"/>
  <c r="G25" s="1"/>
  <c r="G27" s="1"/>
  <c r="L29" i="4"/>
  <c r="J29"/>
  <c r="H29"/>
  <c r="F29"/>
  <c r="C29"/>
  <c r="D32" s="1"/>
  <c r="B29"/>
  <c r="D29" s="1"/>
  <c r="G27"/>
  <c r="D27"/>
  <c r="K27" s="1"/>
  <c r="D26"/>
  <c r="K26" s="1"/>
  <c r="G25"/>
  <c r="D25"/>
  <c r="K25" s="1"/>
  <c r="D24"/>
  <c r="K24" s="1"/>
  <c r="G23"/>
  <c r="D23"/>
  <c r="K23" s="1"/>
  <c r="D22"/>
  <c r="K22" s="1"/>
  <c r="G21"/>
  <c r="D21"/>
  <c r="K21" s="1"/>
  <c r="D20"/>
  <c r="K20" s="1"/>
  <c r="G19"/>
  <c r="D19"/>
  <c r="K19" s="1"/>
  <c r="D18"/>
  <c r="K18" s="1"/>
  <c r="G17"/>
  <c r="D17"/>
  <c r="K17" s="1"/>
  <c r="D16"/>
  <c r="K16" s="1"/>
  <c r="G15"/>
  <c r="D15"/>
  <c r="K15" s="1"/>
  <c r="D14"/>
  <c r="K14" s="1"/>
  <c r="G13"/>
  <c r="D13"/>
  <c r="K13" s="1"/>
  <c r="D12"/>
  <c r="K12" s="1"/>
  <c r="G11"/>
  <c r="D11"/>
  <c r="K11" s="1"/>
  <c r="A11"/>
  <c r="G10"/>
  <c r="D10"/>
  <c r="K10" s="1"/>
  <c r="A10"/>
  <c r="G9"/>
  <c r="D9"/>
  <c r="K9" s="1"/>
  <c r="K29" s="1"/>
  <c r="J190" i="2"/>
  <c r="G190"/>
  <c r="L190" s="1"/>
  <c r="G189"/>
  <c r="L189" s="1"/>
  <c r="J188"/>
  <c r="G188"/>
  <c r="L188" s="1"/>
  <c r="G187"/>
  <c r="L187" s="1"/>
  <c r="J186"/>
  <c r="G186"/>
  <c r="L186" s="1"/>
  <c r="G185"/>
  <c r="L185" s="1"/>
  <c r="J184"/>
  <c r="G184"/>
  <c r="L184" s="1"/>
  <c r="G183"/>
  <c r="L183" s="1"/>
  <c r="L182"/>
  <c r="J182"/>
  <c r="H182"/>
  <c r="G182"/>
  <c r="E182"/>
  <c r="C182"/>
  <c r="L181"/>
  <c r="J181"/>
  <c r="H181"/>
  <c r="G181"/>
  <c r="E181"/>
  <c r="C181"/>
  <c r="L180"/>
  <c r="J180"/>
  <c r="H180"/>
  <c r="G180"/>
  <c r="E180"/>
  <c r="C180"/>
  <c r="L179"/>
  <c r="J179"/>
  <c r="H179"/>
  <c r="G179"/>
  <c r="E179"/>
  <c r="C179"/>
  <c r="L178"/>
  <c r="J178"/>
  <c r="H178"/>
  <c r="G178"/>
  <c r="E178"/>
  <c r="C178"/>
  <c r="L177"/>
  <c r="J177"/>
  <c r="H177"/>
  <c r="G177"/>
  <c r="E177"/>
  <c r="C177"/>
  <c r="L176"/>
  <c r="J176"/>
  <c r="H176"/>
  <c r="G176"/>
  <c r="E176"/>
  <c r="C176"/>
  <c r="L175"/>
  <c r="J175"/>
  <c r="H175"/>
  <c r="G175"/>
  <c r="E175"/>
  <c r="C175"/>
  <c r="L174"/>
  <c r="J174"/>
  <c r="H174"/>
  <c r="G174"/>
  <c r="E174"/>
  <c r="C174"/>
  <c r="A174"/>
  <c r="L173"/>
  <c r="J173"/>
  <c r="H173"/>
  <c r="G173"/>
  <c r="E173"/>
  <c r="C173"/>
  <c r="A173"/>
  <c r="L172"/>
  <c r="J172"/>
  <c r="H172"/>
  <c r="H192" s="1"/>
  <c r="G172"/>
  <c r="E172"/>
  <c r="E192" s="1"/>
  <c r="C172"/>
  <c r="C192" s="1"/>
  <c r="L192" s="1"/>
  <c r="L194" s="1"/>
  <c r="H144"/>
  <c r="G144"/>
  <c r="F147" s="1"/>
  <c r="E144"/>
  <c r="C144"/>
  <c r="J142"/>
  <c r="G142"/>
  <c r="L142" s="1"/>
  <c r="G141"/>
  <c r="L141" s="1"/>
  <c r="J140"/>
  <c r="G140"/>
  <c r="L140" s="1"/>
  <c r="G139"/>
  <c r="L139" s="1"/>
  <c r="J138"/>
  <c r="G138"/>
  <c r="L138" s="1"/>
  <c r="G137"/>
  <c r="L137" s="1"/>
  <c r="J136"/>
  <c r="G136"/>
  <c r="L136" s="1"/>
  <c r="G135"/>
  <c r="L135" s="1"/>
  <c r="J134"/>
  <c r="G134"/>
  <c r="L134" s="1"/>
  <c r="G133"/>
  <c r="L133" s="1"/>
  <c r="J132"/>
  <c r="G132"/>
  <c r="L132" s="1"/>
  <c r="G131"/>
  <c r="L131" s="1"/>
  <c r="J130"/>
  <c r="G130"/>
  <c r="L130" s="1"/>
  <c r="G129"/>
  <c r="L129" s="1"/>
  <c r="J128"/>
  <c r="G128"/>
  <c r="L128" s="1"/>
  <c r="G127"/>
  <c r="L127" s="1"/>
  <c r="J126"/>
  <c r="G126"/>
  <c r="L126" s="1"/>
  <c r="A126"/>
  <c r="J125"/>
  <c r="G125"/>
  <c r="L125" s="1"/>
  <c r="A125"/>
  <c r="J124"/>
  <c r="G124"/>
  <c r="L124" s="1"/>
  <c r="H109"/>
  <c r="G109"/>
  <c r="F112" s="1"/>
  <c r="E109"/>
  <c r="C109"/>
  <c r="J107"/>
  <c r="G107"/>
  <c r="L107" s="1"/>
  <c r="G106"/>
  <c r="L106" s="1"/>
  <c r="J105"/>
  <c r="G105"/>
  <c r="L105" s="1"/>
  <c r="G104"/>
  <c r="L104" s="1"/>
  <c r="J103"/>
  <c r="G103"/>
  <c r="L103" s="1"/>
  <c r="G102"/>
  <c r="L102" s="1"/>
  <c r="J101"/>
  <c r="G101"/>
  <c r="L101" s="1"/>
  <c r="G100"/>
  <c r="L100" s="1"/>
  <c r="J99"/>
  <c r="G99"/>
  <c r="L99" s="1"/>
  <c r="G98"/>
  <c r="L98" s="1"/>
  <c r="J97"/>
  <c r="G97"/>
  <c r="L97" s="1"/>
  <c r="G96"/>
  <c r="L96" s="1"/>
  <c r="J95"/>
  <c r="G95"/>
  <c r="L95" s="1"/>
  <c r="G94"/>
  <c r="L94" s="1"/>
  <c r="J93"/>
  <c r="G93"/>
  <c r="L93" s="1"/>
  <c r="G92"/>
  <c r="L92" s="1"/>
  <c r="J91"/>
  <c r="G91"/>
  <c r="L91" s="1"/>
  <c r="A91"/>
  <c r="J90"/>
  <c r="G90"/>
  <c r="L90" s="1"/>
  <c r="A90"/>
  <c r="J89"/>
  <c r="G89"/>
  <c r="L89" s="1"/>
  <c r="H71"/>
  <c r="G71" s="1"/>
  <c r="F74" s="1"/>
  <c r="E71"/>
  <c r="C71"/>
  <c r="G69"/>
  <c r="J69" s="1"/>
  <c r="J68"/>
  <c r="G68"/>
  <c r="L68" s="1"/>
  <c r="G67"/>
  <c r="L67" s="1"/>
  <c r="J66"/>
  <c r="G66"/>
  <c r="L66" s="1"/>
  <c r="G65"/>
  <c r="J65" s="1"/>
  <c r="J64"/>
  <c r="G64"/>
  <c r="L64" s="1"/>
  <c r="G63"/>
  <c r="L63" s="1"/>
  <c r="J62"/>
  <c r="G62"/>
  <c r="L62" s="1"/>
  <c r="G61"/>
  <c r="L61" s="1"/>
  <c r="J60"/>
  <c r="G60"/>
  <c r="L60" s="1"/>
  <c r="G59"/>
  <c r="J59" s="1"/>
  <c r="J58"/>
  <c r="G58"/>
  <c r="L58" s="1"/>
  <c r="G57"/>
  <c r="J57" s="1"/>
  <c r="J56"/>
  <c r="G56"/>
  <c r="L56" s="1"/>
  <c r="G55"/>
  <c r="L55" s="1"/>
  <c r="J54"/>
  <c r="G54"/>
  <c r="L54" s="1"/>
  <c r="G53"/>
  <c r="J53" s="1"/>
  <c r="A53"/>
  <c r="G52"/>
  <c r="J52" s="1"/>
  <c r="A52"/>
  <c r="G51"/>
  <c r="L51" s="1"/>
  <c r="E36"/>
  <c r="C36"/>
  <c r="C39" s="1"/>
  <c r="G34"/>
  <c r="G33"/>
  <c r="G32"/>
  <c r="G31"/>
  <c r="G30"/>
  <c r="G29"/>
  <c r="G28"/>
  <c r="G27"/>
  <c r="G26"/>
  <c r="G25"/>
  <c r="G24"/>
  <c r="G23"/>
  <c r="G22"/>
  <c r="G21"/>
  <c r="G20"/>
  <c r="G19"/>
  <c r="G18"/>
  <c r="A18"/>
  <c r="G17"/>
  <c r="A17"/>
  <c r="G16"/>
  <c r="G7" i="3"/>
  <c r="D7"/>
  <c r="A7"/>
  <c r="G6"/>
  <c r="D6"/>
  <c r="A6"/>
  <c r="G192" i="2" l="1"/>
  <c r="F195"/>
  <c r="K155"/>
  <c r="K158" s="1"/>
  <c r="N71"/>
  <c r="L144"/>
  <c r="L146" s="1"/>
  <c r="L32" i="4"/>
  <c r="M33" i="6"/>
  <c r="O33" s="1"/>
  <c r="M35"/>
  <c r="O35" s="1"/>
  <c r="E38"/>
  <c r="G27"/>
  <c r="G30" s="1"/>
  <c r="G24"/>
  <c r="G29" s="1"/>
  <c r="L38"/>
  <c r="M38" s="1"/>
  <c r="M32"/>
  <c r="O32" s="1"/>
  <c r="K41"/>
  <c r="M36"/>
  <c r="O36" s="1"/>
  <c r="G36" i="2"/>
  <c r="L52"/>
  <c r="L71" s="1"/>
  <c r="L73" s="1"/>
  <c r="L53"/>
  <c r="L57"/>
  <c r="L59"/>
  <c r="L65"/>
  <c r="L69"/>
  <c r="J51"/>
  <c r="J55"/>
  <c r="J61"/>
  <c r="J63"/>
  <c r="J67"/>
  <c r="J92"/>
  <c r="J109" s="1"/>
  <c r="F115" s="1"/>
  <c r="J94"/>
  <c r="J96"/>
  <c r="J98"/>
  <c r="J100"/>
  <c r="J102"/>
  <c r="J104"/>
  <c r="J106"/>
  <c r="L109"/>
  <c r="J127"/>
  <c r="J144" s="1"/>
  <c r="J129"/>
  <c r="J131"/>
  <c r="J133"/>
  <c r="J135"/>
  <c r="J137"/>
  <c r="J139"/>
  <c r="J141"/>
  <c r="J183"/>
  <c r="J192" s="1"/>
  <c r="F198" s="1"/>
  <c r="J185"/>
  <c r="J187"/>
  <c r="J189"/>
  <c r="G12" i="4"/>
  <c r="G29" s="1"/>
  <c r="H32" s="1"/>
  <c r="G14"/>
  <c r="G16"/>
  <c r="G18"/>
  <c r="G20"/>
  <c r="G22"/>
  <c r="G24"/>
  <c r="G26"/>
  <c r="K22" i="6"/>
  <c r="M22" s="1"/>
  <c r="K23"/>
  <c r="M23" s="1"/>
  <c r="M10"/>
  <c r="O10" s="1"/>
  <c r="M11"/>
  <c r="O11" s="1"/>
  <c r="M12"/>
  <c r="O12" s="1"/>
  <c r="M13"/>
  <c r="O13" s="1"/>
  <c r="M14"/>
  <c r="O14" s="1"/>
  <c r="M15"/>
  <c r="O15" s="1"/>
  <c r="E22"/>
  <c r="C24"/>
  <c r="E24" s="1"/>
  <c r="E32"/>
  <c r="G32" s="1"/>
  <c r="E35"/>
  <c r="G35" s="1"/>
  <c r="H36" i="4" l="1"/>
  <c r="H35"/>
  <c r="K198" i="2"/>
  <c r="K197"/>
  <c r="F157"/>
  <c r="F150"/>
  <c r="F155"/>
  <c r="L111"/>
  <c r="K114" s="1"/>
  <c r="L155"/>
  <c r="G38" i="6"/>
  <c r="G39" s="1"/>
  <c r="O22"/>
  <c r="C25"/>
  <c r="O38"/>
  <c r="O39" s="1"/>
  <c r="K24"/>
  <c r="M24" s="1"/>
  <c r="L36" i="4"/>
  <c r="L35"/>
  <c r="J71" i="2"/>
  <c r="F78" s="1"/>
  <c r="O27" i="6" l="1"/>
  <c r="O30" s="1"/>
  <c r="O24"/>
  <c r="O29" s="1"/>
  <c r="K161" i="2"/>
  <c r="K162"/>
  <c r="K115"/>
  <c r="K77"/>
  <c r="K78"/>
  <c r="F156"/>
  <c r="F158" s="1"/>
  <c r="K150"/>
  <c r="K149"/>
  <c r="K25" i="6"/>
</calcChain>
</file>

<file path=xl/sharedStrings.xml><?xml version="1.0" encoding="utf-8"?>
<sst xmlns="http://schemas.openxmlformats.org/spreadsheetml/2006/main" count="482" uniqueCount="152">
  <si>
    <t>Age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</si>
  <si>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</si>
  <si>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</si>
  <si>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</si>
  <si>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</si>
  <si>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</si>
  <si>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</si>
  <si>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</si>
  <si>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</si>
  <si>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</si>
  <si>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</si>
  <si>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</si>
  <si>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</si>
  <si>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</si>
  <si>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</si>
  <si>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</si>
  <si>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All ages</t>
  </si>
  <si>
    <t>No. of</t>
  </si>
  <si>
    <t>Population</t>
  </si>
  <si>
    <t>cases</t>
  </si>
  <si>
    <t>European Standard</t>
  </si>
  <si>
    <t>95% C.I.</t>
  </si>
  <si>
    <t>Age spec rate (asr)</t>
  </si>
  <si>
    <t>Cases</t>
  </si>
  <si>
    <t>asr*Std Popn.</t>
  </si>
  <si>
    <r>
      <t>(asr*Std Popn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*100,000)/n</t>
    </r>
  </si>
  <si>
    <t>(ei)</t>
  </si>
  <si>
    <t>(ni)</t>
  </si>
  <si>
    <t>(ai)</t>
  </si>
  <si>
    <t>(ri)</t>
  </si>
  <si>
    <t>Total 55+</t>
  </si>
  <si>
    <t>VAR(EASR)=</t>
  </si>
  <si>
    <t>Std error(EASR)=</t>
  </si>
  <si>
    <t>lower limit</t>
  </si>
  <si>
    <t>upper limit</t>
  </si>
  <si>
    <t>95% C.I. for EASR (Poisson approximation)</t>
  </si>
  <si>
    <t>Crude rate =</t>
  </si>
  <si>
    <t>(same as Example 1)</t>
  </si>
  <si>
    <t>lower limit =</t>
  </si>
  <si>
    <t>upper limit =</t>
  </si>
  <si>
    <t>Example 1: crude rate and age-specific rates</t>
  </si>
  <si>
    <t>Example 1 - Calculation of age-specific rates and the crude rate</t>
  </si>
  <si>
    <t>per 100,000 population</t>
  </si>
  <si>
    <t>Age-specific rate</t>
  </si>
  <si>
    <t>85-89</t>
  </si>
  <si>
    <t>90+</t>
  </si>
  <si>
    <t>ESP2013</t>
  </si>
  <si>
    <t>Crude rate = (5,683 / 5,313,600) x 100,000</t>
  </si>
  <si>
    <t>Drug-related Hospital Discharges - Scotland, all persons, 2012/13</t>
  </si>
  <si>
    <t>Example 4 - Calculation of a truncated European age standardised rate</t>
  </si>
  <si>
    <t>Example 2: a directly age standardised rate (using European Standard Population 2013)</t>
  </si>
  <si>
    <t>Example 3: a directly age-sex standardised rate (using European Standard Population 2013)</t>
  </si>
  <si>
    <t>Example 4: a truncated directly age standardised rate (using European Standard Population 2013)</t>
  </si>
  <si>
    <t>Male Crude rate = (3,861 / 2,577,140) x 100,000</t>
  </si>
  <si>
    <t>Male European Age Standardised Rate (EASR) = 14,758,911.68 / 100,000</t>
  </si>
  <si>
    <t>Male European Age Standardised Rate (EASR) =</t>
  </si>
  <si>
    <t>Drug-related Hospital Discharges - Scotland, males, 2012/13</t>
  </si>
  <si>
    <t>Drug-related Hospital Discharges - Scotland, females, 2012/13</t>
  </si>
  <si>
    <t>Female European Age Standardised Rate (EASR) =</t>
  </si>
  <si>
    <t>Example 3 - Calculation of a European age-sex standardised rate (directly standardised rate using European Standard Population 2013)</t>
  </si>
  <si>
    <t>Calculation of male European age standardised rate (directly standardised rate using European Standard Population 2013)</t>
  </si>
  <si>
    <t>Calculation of female European age standardised rate (directly standardised rate using European Standard Population 2013)</t>
  </si>
  <si>
    <t>Female Crude rate = (1,822 / 2,736,460) x 100,000</t>
  </si>
  <si>
    <t>Female European Age Standardised Rate (EASR) = 6,684,402.07 / 100,000</t>
  </si>
  <si>
    <t>Examples 1- 4 below use data for all persons in Scotland with Drug-related Hospital Discharges in 2012/13 to illustrate calculation of crude, age specific and directly age standardised rates</t>
  </si>
  <si>
    <t>Calculation of persons European age-sex standardised rate (directly standardised rate using European Standard Population 2013)</t>
  </si>
  <si>
    <t>Arithmetic average of male and female EASRs =</t>
  </si>
  <si>
    <t>Example 2 - Calculation of a European age standardised rate (directly standardised rate using European Standard Population 2013)</t>
  </si>
  <si>
    <t xml:space="preserve">Crude rate (55+) = </t>
  </si>
  <si>
    <t>Crude rate (55+) = (27,870/5,518,497) x 100,000</t>
  </si>
  <si>
    <t xml:space="preserve">EASR (55+) = </t>
  </si>
  <si>
    <t>468,228 / 32,000</t>
  </si>
  <si>
    <t>Population 2013</t>
  </si>
  <si>
    <t>85+</t>
  </si>
  <si>
    <t>ESP1976</t>
  </si>
  <si>
    <t>World Standard Population</t>
  </si>
  <si>
    <t>Persons European Age-Sex Standardised Rate (EASR) =</t>
  </si>
  <si>
    <t>Lung cancer diagnoses in males in Greater Glasgow and Lothian Health Boards, 1986-1995</t>
  </si>
  <si>
    <t>Standard population - Scotland, males, 1986-1995</t>
  </si>
  <si>
    <t>SCOTLAND - 1986-95</t>
  </si>
  <si>
    <t>1 - GREATER GLASGOW HB - 1986-95</t>
  </si>
  <si>
    <t>2 - LOTHIAN HB - 1986-95</t>
  </si>
  <si>
    <t>Age specific rate per 100,000 population</t>
  </si>
  <si>
    <t>Expected cases</t>
  </si>
  <si>
    <t>Observed cases</t>
  </si>
  <si>
    <t>SIR =</t>
  </si>
  <si>
    <t>(4,613 / 4,494.58) x 100</t>
  </si>
  <si>
    <t>95% C.I. For SIR (Normal approximation)</t>
  </si>
  <si>
    <t>lower =</t>
  </si>
  <si>
    <t>upper =</t>
  </si>
  <si>
    <t>European Standard Population</t>
  </si>
  <si>
    <t>Calculation of European Age Standardised Rate (directly standardised rate using 2013 European Standard Population)</t>
  </si>
  <si>
    <t>Age Group</t>
  </si>
  <si>
    <t>Pop</t>
  </si>
  <si>
    <t>Age Specific Rate (ASR)</t>
  </si>
  <si>
    <t>ASR * ESP2013</t>
  </si>
  <si>
    <t xml:space="preserve">EASR = </t>
  </si>
  <si>
    <t>Direct standardisation model, ages 65+ only</t>
  </si>
  <si>
    <t>Used to compare age standardised and age-sex standardised rates per 100,000 population aged 65+</t>
  </si>
  <si>
    <t xml:space="preserve">Population A </t>
  </si>
  <si>
    <t xml:space="preserve">Population B (same age-sex-specific crude rates as Population A, ie discharges from the </t>
  </si>
  <si>
    <t>(figures are real Scottish Drug-related Hospital Discharges data for 2012/13</t>
  </si>
  <si>
    <t>disease among an age-sex group is unchanged, but you can change the balance of the sexes</t>
  </si>
  <si>
    <t xml:space="preserve"> and static in this model)</t>
  </si>
  <si>
    <t>or age groups within the population by changing the male or age adjustment factors in red box)</t>
  </si>
  <si>
    <t>sex</t>
  </si>
  <si>
    <t>age</t>
  </si>
  <si>
    <t>pop</t>
  </si>
  <si>
    <t>discharges</t>
  </si>
  <si>
    <t>crude rate</t>
  </si>
  <si>
    <t>crude rate * ESP2013</t>
  </si>
  <si>
    <t>males</t>
  </si>
  <si>
    <t>females</t>
  </si>
  <si>
    <t xml:space="preserve"> total male</t>
  </si>
  <si>
    <t>total female</t>
  </si>
  <si>
    <t>total persons</t>
  </si>
  <si>
    <t>% male</t>
  </si>
  <si>
    <t>male age standardised rate</t>
  </si>
  <si>
    <t>female age standardised rate</t>
  </si>
  <si>
    <r>
      <t>persons age-</t>
    </r>
    <r>
      <rPr>
        <b/>
        <u/>
        <sz val="10"/>
        <rFont val="Arial"/>
        <family val="2"/>
      </rPr>
      <t>sex</t>
    </r>
    <r>
      <rPr>
        <b/>
        <sz val="10"/>
        <rFont val="Arial"/>
        <family val="2"/>
      </rPr>
      <t xml:space="preserve"> standardised rate</t>
    </r>
  </si>
  <si>
    <t>arithmetic average of m and f age standardised rate</t>
  </si>
  <si>
    <t>persons</t>
  </si>
  <si>
    <t>Total</t>
  </si>
  <si>
    <t>persons age standardised rate</t>
  </si>
  <si>
    <t>Adjustment factors applied to POP AND DEATHS:</t>
  </si>
  <si>
    <t>% aged 80+</t>
  </si>
  <si>
    <t>male adjustment factor</t>
  </si>
  <si>
    <t>Conclusions</t>
  </si>
  <si>
    <t>age adjustment factor</t>
  </si>
  <si>
    <r>
      <t>1.  The arithmetic average of m and f age standardised rates = the persons age-</t>
    </r>
    <r>
      <rPr>
        <b/>
        <u/>
        <sz val="10"/>
        <rFont val="Arial"/>
        <family val="2"/>
      </rPr>
      <t>sex</t>
    </r>
    <r>
      <rPr>
        <b/>
        <sz val="10"/>
        <rFont val="Arial"/>
        <family val="2"/>
      </rPr>
      <t xml:space="preserve"> standardised rate.</t>
    </r>
  </si>
  <si>
    <t xml:space="preserve">Try altering these!  </t>
  </si>
  <si>
    <t>2.  For persons, the age-sex standardised rate should be used.  It differs from the age standardised rate (except in the</t>
  </si>
  <si>
    <t xml:space="preserve">     unlikely case of identical male and female population profiles, in which case the two rates for persons would be the same).</t>
  </si>
  <si>
    <r>
      <t xml:space="preserve">3.  Altering the </t>
    </r>
    <r>
      <rPr>
        <b/>
        <u/>
        <sz val="10"/>
        <rFont val="Arial"/>
        <family val="2"/>
      </rPr>
      <t>male adjustment factor</t>
    </r>
    <r>
      <rPr>
        <b/>
        <sz val="10"/>
        <rFont val="Arial"/>
        <family val="2"/>
      </rPr>
      <t xml:space="preserve"> in population B changes the % males in population, the persons crude rates and the persons </t>
    </r>
  </si>
  <si>
    <t xml:space="preserve">     age standardised rate compared to Population A.  However, the persons age-sex standardised rate remains constant and is robust.</t>
  </si>
  <si>
    <r>
      <t xml:space="preserve">4.  Altering the </t>
    </r>
    <r>
      <rPr>
        <b/>
        <u/>
        <sz val="10"/>
        <rFont val="Arial"/>
        <family val="2"/>
      </rPr>
      <t>age adjustment factor</t>
    </r>
    <r>
      <rPr>
        <b/>
        <sz val="10"/>
        <rFont val="Arial"/>
        <family val="2"/>
      </rPr>
      <t xml:space="preserve"> in population B makes the population younger or older than population A (as seen by % aged 80+), </t>
    </r>
  </si>
  <si>
    <t xml:space="preserve">     and the persons crude rate changes, but the persons age-sex standardised rate again remains constant so is robust. </t>
  </si>
  <si>
    <t>Agegroup</t>
  </si>
  <si>
    <t>WSP</t>
  </si>
  <si>
    <t>Paste relevant populations below</t>
  </si>
  <si>
    <t>Paste number of events below</t>
  </si>
  <si>
    <t>Example 5 - Calculation of an indirectly age standardised incidence ratio (SIR)</t>
  </si>
  <si>
    <t>(7,363 / 5,410.84) x 100</t>
  </si>
  <si>
    <t>10,632,983.28 / 100,000</t>
  </si>
  <si>
    <t xml:space="preserve">Crude rate = </t>
  </si>
  <si>
    <t>(5,683 / 5,313,600) x 100,000</t>
  </si>
  <si>
    <t xml:space="preserve">European age standardised rate  (EASR) = </t>
  </si>
  <si>
    <t xml:space="preserve">Female crude rate = </t>
  </si>
  <si>
    <t xml:space="preserve">Male crude rate = </t>
  </si>
  <si>
    <t xml:space="preserve"> per 100,000 population</t>
  </si>
  <si>
    <t>Crude rate = (30,126 / 24,493,964) x 100,000</t>
  </si>
  <si>
    <t>Note - this is equal to 1/4 of the sum of the variance of the male and female European-age standardised rates</t>
  </si>
</sst>
</file>

<file path=xl/styles.xml><?xml version="1.0" encoding="utf-8"?>
<styleSheet xmlns="http://schemas.openxmlformats.org/spreadsheetml/2006/main">
  <numFmts count="15">
    <numFmt numFmtId="43" formatCode="_-* #,##0.00_-;\-* #,##0.00_-;_-* &quot;-&quot;??_-;_-@_-"/>
    <numFmt numFmtId="164" formatCode="0.0"/>
    <numFmt numFmtId="165" formatCode="??,??0"/>
    <numFmt numFmtId="166" formatCode="??,???,??0"/>
    <numFmt numFmtId="167" formatCode="??0.00"/>
    <numFmt numFmtId="168" formatCode="???,??0"/>
    <numFmt numFmtId="169" formatCode="??,???,??0.00"/>
    <numFmt numFmtId="170" formatCode="?,???,??0"/>
    <numFmt numFmtId="171" formatCode="???,???,??0"/>
    <numFmt numFmtId="172" formatCode="?,??0.00"/>
    <numFmt numFmtId="173" formatCode="_-* #,##0_-;\-* #,##0_-;_-* &quot;-&quot;??_-;_-@_-"/>
    <numFmt numFmtId="174" formatCode="?,??0"/>
    <numFmt numFmtId="175" formatCode="General_)"/>
    <numFmt numFmtId="176" formatCode="#,##0.00_ ;\-#,##0.00\ "/>
    <numFmt numFmtId="177" formatCode="0.0000"/>
  </numFmts>
  <fonts count="28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name val="MS Sans Serif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10"/>
      <name val="Arial"/>
    </font>
    <font>
      <b/>
      <u/>
      <sz val="12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0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38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 applyProtection="1">
      <alignment horizontal="center"/>
      <protection locked="0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8" fontId="1" fillId="0" borderId="0" xfId="0" applyNumberFormat="1" applyFont="1" applyAlignment="1" applyProtection="1">
      <alignment horizontal="center"/>
      <protection locked="0"/>
    </xf>
    <xf numFmtId="168" fontId="1" fillId="0" borderId="1" xfId="0" applyNumberFormat="1" applyFont="1" applyBorder="1" applyAlignment="1" applyProtection="1">
      <alignment horizontal="center"/>
      <protection locked="0"/>
    </xf>
    <xf numFmtId="169" fontId="1" fillId="0" borderId="0" xfId="0" applyNumberFormat="1" applyFont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3" fillId="0" borderId="0" xfId="0" applyFont="1" applyBorder="1"/>
    <xf numFmtId="3" fontId="1" fillId="0" borderId="0" xfId="0" applyNumberFormat="1" applyFont="1"/>
    <xf numFmtId="3" fontId="1" fillId="0" borderId="0" xfId="0" applyNumberFormat="1" applyFont="1" applyAlignment="1" applyProtection="1">
      <alignment horizontal="center"/>
      <protection locked="0"/>
    </xf>
    <xf numFmtId="0" fontId="7" fillId="0" borderId="1" xfId="0" applyFont="1" applyBorder="1"/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 applyProtection="1">
      <alignment horizontal="center"/>
      <protection locked="0"/>
    </xf>
    <xf numFmtId="3" fontId="1" fillId="0" borderId="1" xfId="0" applyNumberFormat="1" applyFont="1" applyBorder="1"/>
    <xf numFmtId="169" fontId="1" fillId="0" borderId="0" xfId="0" applyNumberFormat="1" applyFont="1" applyAlignment="1">
      <alignment horizontal="right"/>
    </xf>
    <xf numFmtId="169" fontId="1" fillId="0" borderId="1" xfId="0" applyNumberFormat="1" applyFont="1" applyBorder="1" applyAlignment="1">
      <alignment horizontal="right"/>
    </xf>
    <xf numFmtId="0" fontId="1" fillId="0" borderId="0" xfId="0" applyFont="1" applyFill="1"/>
    <xf numFmtId="166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43" fontId="1" fillId="0" borderId="0" xfId="1" applyFont="1"/>
    <xf numFmtId="164" fontId="2" fillId="0" borderId="0" xfId="0" applyNumberFormat="1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2" fontId="1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6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166" fontId="2" fillId="0" borderId="0" xfId="0" applyNumberFormat="1" applyFont="1" applyFill="1"/>
    <xf numFmtId="165" fontId="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1" fillId="0" borderId="0" xfId="0" applyFont="1" applyFill="1"/>
    <xf numFmtId="0" fontId="10" fillId="0" borderId="0" xfId="0" applyFont="1" applyFill="1" applyBorder="1"/>
    <xf numFmtId="0" fontId="11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Fill="1"/>
    <xf numFmtId="0" fontId="15" fillId="0" borderId="0" xfId="0" applyFont="1" applyFill="1" applyAlignment="1">
      <alignment horizontal="left"/>
    </xf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2" fontId="10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Fill="1" applyAlignment="1">
      <alignment horizontal="right"/>
    </xf>
    <xf numFmtId="166" fontId="1" fillId="0" borderId="1" xfId="0" applyNumberFormat="1" applyFont="1" applyFill="1" applyBorder="1" applyAlignment="1">
      <alignment horizontal="right"/>
    </xf>
    <xf numFmtId="170" fontId="1" fillId="0" borderId="0" xfId="0" applyNumberFormat="1" applyFont="1" applyAlignment="1" applyProtection="1">
      <alignment horizontal="center"/>
      <protection locked="0"/>
    </xf>
    <xf numFmtId="43" fontId="1" fillId="0" borderId="0" xfId="1" applyFont="1" applyFill="1" applyAlignment="1">
      <alignment horizontal="center"/>
    </xf>
    <xf numFmtId="2" fontId="3" fillId="0" borderId="0" xfId="0" applyNumberFormat="1" applyFont="1" applyFill="1" applyBorder="1"/>
    <xf numFmtId="0" fontId="16" fillId="0" borderId="0" xfId="0" applyFont="1"/>
    <xf numFmtId="0" fontId="17" fillId="0" borderId="0" xfId="0" applyFont="1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18" fillId="0" borderId="0" xfId="0" applyFont="1"/>
    <xf numFmtId="0" fontId="18" fillId="0" borderId="0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0" borderId="0" xfId="0" applyFont="1"/>
    <xf numFmtId="171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173" fontId="1" fillId="0" borderId="0" xfId="1" applyNumberFormat="1" applyFont="1"/>
    <xf numFmtId="174" fontId="1" fillId="0" borderId="0" xfId="0" applyNumberFormat="1" applyFont="1" applyFill="1" applyAlignment="1">
      <alignment horizontal="center"/>
    </xf>
    <xf numFmtId="170" fontId="1" fillId="0" borderId="0" xfId="0" applyNumberFormat="1" applyFont="1"/>
    <xf numFmtId="2" fontId="1" fillId="0" borderId="0" xfId="0" applyNumberFormat="1" applyFont="1"/>
    <xf numFmtId="16" fontId="1" fillId="0" borderId="0" xfId="0" applyNumberFormat="1" applyFont="1"/>
    <xf numFmtId="0" fontId="1" fillId="0" borderId="0" xfId="0" applyFont="1" applyBorder="1"/>
    <xf numFmtId="171" fontId="1" fillId="0" borderId="0" xfId="0" applyNumberFormat="1" applyFont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72" fontId="1" fillId="0" borderId="0" xfId="0" applyNumberFormat="1" applyFont="1" applyBorder="1" applyAlignment="1">
      <alignment horizontal="center"/>
    </xf>
    <xf numFmtId="173" fontId="1" fillId="0" borderId="0" xfId="1" applyNumberFormat="1" applyFont="1" applyBorder="1"/>
    <xf numFmtId="170" fontId="1" fillId="0" borderId="0" xfId="0" applyNumberFormat="1" applyFont="1" applyBorder="1" applyAlignment="1" applyProtection="1">
      <alignment horizontal="center"/>
      <protection locked="0"/>
    </xf>
    <xf numFmtId="174" fontId="1" fillId="0" borderId="0" xfId="0" applyNumberFormat="1" applyFont="1" applyFill="1" applyBorder="1" applyAlignment="1">
      <alignment horizontal="center"/>
    </xf>
    <xf numFmtId="170" fontId="1" fillId="0" borderId="0" xfId="0" applyNumberFormat="1" applyFont="1" applyBorder="1"/>
    <xf numFmtId="171" fontId="1" fillId="0" borderId="1" xfId="0" applyNumberFormat="1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73" fontId="1" fillId="0" borderId="1" xfId="1" applyNumberFormat="1" applyFont="1" applyBorder="1"/>
    <xf numFmtId="170" fontId="1" fillId="0" borderId="1" xfId="0" applyNumberFormat="1" applyFont="1" applyBorder="1" applyAlignment="1" applyProtection="1">
      <alignment horizontal="center"/>
      <protection locked="0"/>
    </xf>
    <xf numFmtId="174" fontId="1" fillId="0" borderId="1" xfId="0" applyNumberFormat="1" applyFont="1" applyFill="1" applyBorder="1" applyAlignment="1">
      <alignment horizontal="center"/>
    </xf>
    <xf numFmtId="170" fontId="1" fillId="0" borderId="1" xfId="0" applyNumberFormat="1" applyFont="1" applyBorder="1"/>
    <xf numFmtId="2" fontId="1" fillId="0" borderId="0" xfId="0" applyNumberFormat="1" applyFont="1" applyBorder="1"/>
    <xf numFmtId="0" fontId="6" fillId="0" borderId="0" xfId="0" applyFont="1" applyBorder="1" applyAlignment="1">
      <alignment horizontal="right"/>
    </xf>
    <xf numFmtId="170" fontId="1" fillId="0" borderId="0" xfId="0" applyNumberFormat="1" applyFont="1" applyAlignment="1" applyProtection="1">
      <protection locked="0"/>
    </xf>
    <xf numFmtId="2" fontId="3" fillId="0" borderId="0" xfId="0" applyNumberFormat="1" applyFont="1" applyBorder="1"/>
    <xf numFmtId="175" fontId="1" fillId="0" borderId="0" xfId="0" applyNumberFormat="1" applyFont="1" applyProtection="1"/>
    <xf numFmtId="0" fontId="1" fillId="0" borderId="0" xfId="0" applyFont="1" applyProtection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left"/>
    </xf>
    <xf numFmtId="0" fontId="19" fillId="0" borderId="0" xfId="0" applyFont="1"/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Continuous"/>
    </xf>
    <xf numFmtId="1" fontId="1" fillId="0" borderId="0" xfId="0" applyNumberFormat="1" applyFont="1" applyAlignment="1" applyProtection="1">
      <alignment horizontal="right"/>
      <protection locked="0"/>
    </xf>
    <xf numFmtId="0" fontId="7" fillId="0" borderId="0" xfId="2" applyFont="1"/>
    <xf numFmtId="0" fontId="1" fillId="0" borderId="0" xfId="2" applyFont="1"/>
    <xf numFmtId="0" fontId="1" fillId="0" borderId="0" xfId="2" applyFont="1" applyAlignment="1">
      <alignment horizontal="center"/>
    </xf>
    <xf numFmtId="0" fontId="20" fillId="0" borderId="0" xfId="2"/>
    <xf numFmtId="0" fontId="2" fillId="0" borderId="0" xfId="2" applyFont="1"/>
    <xf numFmtId="0" fontId="2" fillId="0" borderId="0" xfId="2" applyFont="1" applyAlignment="1">
      <alignment horizontal="center"/>
    </xf>
    <xf numFmtId="0" fontId="4" fillId="0" borderId="3" xfId="2" applyFont="1" applyBorder="1" applyAlignment="1">
      <alignment horizontal="center" wrapText="1"/>
    </xf>
    <xf numFmtId="16" fontId="1" fillId="4" borderId="4" xfId="2" quotePrefix="1" applyNumberFormat="1" applyFont="1" applyFill="1" applyBorder="1"/>
    <xf numFmtId="0" fontId="1" fillId="4" borderId="4" xfId="2" applyFont="1" applyFill="1" applyBorder="1"/>
    <xf numFmtId="168" fontId="1" fillId="4" borderId="4" xfId="2" applyNumberFormat="1" applyFont="1" applyFill="1" applyBorder="1" applyAlignment="1" applyProtection="1">
      <alignment horizontal="center"/>
      <protection locked="0"/>
    </xf>
    <xf numFmtId="166" fontId="1" fillId="2" borderId="4" xfId="2" applyNumberFormat="1" applyFont="1" applyFill="1" applyBorder="1" applyAlignment="1">
      <alignment horizontal="center"/>
    </xf>
    <xf numFmtId="166" fontId="1" fillId="4" borderId="4" xfId="2" applyNumberFormat="1" applyFont="1" applyFill="1" applyBorder="1" applyAlignment="1">
      <alignment horizontal="center"/>
    </xf>
    <xf numFmtId="165" fontId="1" fillId="3" borderId="4" xfId="2" applyNumberFormat="1" applyFont="1" applyFill="1" applyBorder="1" applyAlignment="1">
      <alignment horizontal="center"/>
    </xf>
    <xf numFmtId="0" fontId="1" fillId="4" borderId="5" xfId="2" applyFont="1" applyFill="1" applyBorder="1"/>
    <xf numFmtId="0" fontId="20" fillId="0" borderId="5" xfId="2" applyBorder="1"/>
    <xf numFmtId="0" fontId="1" fillId="4" borderId="3" xfId="2" applyFont="1" applyFill="1" applyBorder="1"/>
    <xf numFmtId="168" fontId="1" fillId="4" borderId="3" xfId="2" applyNumberFormat="1" applyFont="1" applyFill="1" applyBorder="1" applyAlignment="1" applyProtection="1">
      <alignment horizontal="center"/>
      <protection locked="0"/>
    </xf>
    <xf numFmtId="166" fontId="1" fillId="0" borderId="3" xfId="2" applyNumberFormat="1" applyFont="1" applyBorder="1" applyAlignment="1">
      <alignment horizontal="center"/>
    </xf>
    <xf numFmtId="166" fontId="1" fillId="4" borderId="3" xfId="2" applyNumberFormat="1" applyFont="1" applyFill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67" fontId="3" fillId="0" borderId="0" xfId="2" applyNumberFormat="1" applyFont="1" applyBorder="1" applyAlignment="1">
      <alignment horizontal="center"/>
    </xf>
    <xf numFmtId="0" fontId="3" fillId="0" borderId="0" xfId="2" applyFont="1" applyBorder="1" applyAlignment="1">
      <alignment horizontal="right"/>
    </xf>
    <xf numFmtId="168" fontId="1" fillId="0" borderId="0" xfId="2" applyNumberFormat="1" applyFont="1" applyAlignment="1">
      <alignment horizontal="center"/>
    </xf>
    <xf numFmtId="0" fontId="6" fillId="0" borderId="0" xfId="2" applyFont="1" applyAlignment="1">
      <alignment horizontal="right"/>
    </xf>
    <xf numFmtId="2" fontId="1" fillId="0" borderId="6" xfId="2" applyNumberFormat="1" applyFont="1" applyBorder="1"/>
    <xf numFmtId="166" fontId="20" fillId="0" borderId="0" xfId="2" applyNumberFormat="1"/>
    <xf numFmtId="0" fontId="3" fillId="0" borderId="0" xfId="2" applyFont="1"/>
    <xf numFmtId="0" fontId="21" fillId="0" borderId="0" xfId="2" applyFont="1"/>
    <xf numFmtId="0" fontId="4" fillId="0" borderId="0" xfId="2" applyFont="1"/>
    <xf numFmtId="0" fontId="2" fillId="4" borderId="8" xfId="2" applyFont="1" applyFill="1" applyBorder="1" applyAlignment="1">
      <alignment horizontal="center" wrapText="1"/>
    </xf>
    <xf numFmtId="0" fontId="2" fillId="4" borderId="2" xfId="2" applyFont="1" applyFill="1" applyBorder="1" applyAlignment="1">
      <alignment horizontal="center" wrapText="1"/>
    </xf>
    <xf numFmtId="0" fontId="2" fillId="4" borderId="9" xfId="2" applyFont="1" applyFill="1" applyBorder="1" applyAlignment="1">
      <alignment horizontal="center" wrapText="1"/>
    </xf>
    <xf numFmtId="0" fontId="2" fillId="4" borderId="3" xfId="2" applyFont="1" applyFill="1" applyBorder="1" applyAlignment="1">
      <alignment horizontal="center" wrapText="1"/>
    </xf>
    <xf numFmtId="0" fontId="2" fillId="0" borderId="10" xfId="2" applyFont="1" applyBorder="1" applyAlignment="1">
      <alignment wrapText="1"/>
    </xf>
    <xf numFmtId="0" fontId="2" fillId="4" borderId="11" xfId="2" applyFont="1" applyFill="1" applyBorder="1" applyAlignment="1">
      <alignment horizontal="center" wrapText="1"/>
    </xf>
    <xf numFmtId="0" fontId="2" fillId="4" borderId="12" xfId="2" applyFont="1" applyFill="1" applyBorder="1" applyAlignment="1">
      <alignment horizontal="center" wrapText="1"/>
    </xf>
    <xf numFmtId="0" fontId="2" fillId="4" borderId="13" xfId="2" applyFont="1" applyFill="1" applyBorder="1" applyAlignment="1">
      <alignment horizontal="center" wrapText="1"/>
    </xf>
    <xf numFmtId="0" fontId="2" fillId="0" borderId="0" xfId="2" applyFont="1" applyAlignment="1">
      <alignment wrapText="1"/>
    </xf>
    <xf numFmtId="1" fontId="2" fillId="0" borderId="0" xfId="2" applyNumberFormat="1" applyFont="1" applyAlignment="1">
      <alignment wrapText="1"/>
    </xf>
    <xf numFmtId="0" fontId="22" fillId="4" borderId="11" xfId="2" applyFont="1" applyFill="1" applyBorder="1" applyAlignment="1">
      <alignment horizontal="center"/>
    </xf>
    <xf numFmtId="0" fontId="23" fillId="4" borderId="12" xfId="2" applyFont="1" applyFill="1" applyBorder="1" applyAlignment="1">
      <alignment horizontal="center"/>
    </xf>
    <xf numFmtId="3" fontId="23" fillId="4" borderId="11" xfId="3" applyNumberFormat="1" applyFont="1" applyFill="1" applyBorder="1" applyAlignment="1">
      <alignment horizontal="right" vertical="center"/>
    </xf>
    <xf numFmtId="3" fontId="23" fillId="4" borderId="14" xfId="2" applyNumberFormat="1" applyFont="1" applyFill="1" applyBorder="1" applyAlignment="1">
      <alignment horizontal="right"/>
    </xf>
    <xf numFmtId="164" fontId="23" fillId="4" borderId="12" xfId="2" applyNumberFormat="1" applyFont="1" applyFill="1" applyBorder="1"/>
    <xf numFmtId="3" fontId="23" fillId="4" borderId="12" xfId="2" applyNumberFormat="1" applyFont="1" applyFill="1" applyBorder="1"/>
    <xf numFmtId="2" fontId="23" fillId="4" borderId="13" xfId="2" applyNumberFormat="1" applyFont="1" applyFill="1" applyBorder="1"/>
    <xf numFmtId="0" fontId="23" fillId="0" borderId="10" xfId="2" applyFont="1" applyBorder="1"/>
    <xf numFmtId="0" fontId="22" fillId="4" borderId="10" xfId="2" applyFont="1" applyFill="1" applyBorder="1" applyAlignment="1">
      <alignment horizontal="center"/>
    </xf>
    <xf numFmtId="173" fontId="23" fillId="4" borderId="11" xfId="3" applyNumberFormat="1" applyFont="1" applyFill="1" applyBorder="1" applyAlignment="1">
      <alignment horizontal="right"/>
    </xf>
    <xf numFmtId="164" fontId="23" fillId="4" borderId="11" xfId="2" applyNumberFormat="1" applyFont="1" applyFill="1" applyBorder="1"/>
    <xf numFmtId="3" fontId="23" fillId="4" borderId="14" xfId="2" applyNumberFormat="1" applyFont="1" applyFill="1" applyBorder="1"/>
    <xf numFmtId="0" fontId="23" fillId="0" borderId="0" xfId="2" applyFont="1"/>
    <xf numFmtId="0" fontId="23" fillId="4" borderId="0" xfId="2" applyFont="1" applyFill="1" applyBorder="1" applyAlignment="1">
      <alignment horizontal="center"/>
    </xf>
    <xf numFmtId="3" fontId="23" fillId="4" borderId="10" xfId="3" applyNumberFormat="1" applyFont="1" applyFill="1" applyBorder="1" applyAlignment="1">
      <alignment horizontal="right" vertical="center"/>
    </xf>
    <xf numFmtId="3" fontId="23" fillId="4" borderId="15" xfId="2" applyNumberFormat="1" applyFont="1" applyFill="1" applyBorder="1" applyAlignment="1">
      <alignment horizontal="right"/>
    </xf>
    <xf numFmtId="164" fontId="23" fillId="4" borderId="0" xfId="2" applyNumberFormat="1" applyFont="1" applyFill="1" applyBorder="1"/>
    <xf numFmtId="3" fontId="23" fillId="4" borderId="0" xfId="2" applyNumberFormat="1" applyFont="1" applyFill="1" applyBorder="1"/>
    <xf numFmtId="2" fontId="23" fillId="4" borderId="4" xfId="2" applyNumberFormat="1" applyFont="1" applyFill="1" applyBorder="1"/>
    <xf numFmtId="173" fontId="23" fillId="4" borderId="10" xfId="3" applyNumberFormat="1" applyFont="1" applyFill="1" applyBorder="1" applyAlignment="1">
      <alignment horizontal="right"/>
    </xf>
    <xf numFmtId="164" fontId="23" fillId="4" borderId="10" xfId="2" applyNumberFormat="1" applyFont="1" applyFill="1" applyBorder="1"/>
    <xf numFmtId="3" fontId="23" fillId="4" borderId="15" xfId="2" applyNumberFormat="1" applyFont="1" applyFill="1" applyBorder="1"/>
    <xf numFmtId="0" fontId="22" fillId="4" borderId="16" xfId="2" applyFont="1" applyFill="1" applyBorder="1" applyAlignment="1">
      <alignment horizontal="center"/>
    </xf>
    <xf numFmtId="0" fontId="23" fillId="4" borderId="1" xfId="2" applyFont="1" applyFill="1" applyBorder="1" applyAlignment="1">
      <alignment horizontal="center"/>
    </xf>
    <xf numFmtId="3" fontId="23" fillId="4" borderId="16" xfId="3" applyNumberFormat="1" applyFont="1" applyFill="1" applyBorder="1" applyAlignment="1">
      <alignment horizontal="right" vertical="center"/>
    </xf>
    <xf numFmtId="3" fontId="23" fillId="4" borderId="17" xfId="3" applyNumberFormat="1" applyFont="1" applyFill="1" applyBorder="1" applyAlignment="1">
      <alignment horizontal="right" vertical="center"/>
    </xf>
    <xf numFmtId="3" fontId="23" fillId="4" borderId="1" xfId="2" applyNumberFormat="1" applyFont="1" applyFill="1" applyBorder="1"/>
    <xf numFmtId="173" fontId="23" fillId="4" borderId="16" xfId="3" applyNumberFormat="1" applyFont="1" applyFill="1" applyBorder="1" applyAlignment="1">
      <alignment horizontal="right"/>
    </xf>
    <xf numFmtId="3" fontId="23" fillId="4" borderId="17" xfId="2" applyNumberFormat="1" applyFont="1" applyFill="1" applyBorder="1" applyAlignment="1">
      <alignment horizontal="right"/>
    </xf>
    <xf numFmtId="164" fontId="23" fillId="4" borderId="16" xfId="2" applyNumberFormat="1" applyFont="1" applyFill="1" applyBorder="1"/>
    <xf numFmtId="3" fontId="23" fillId="4" borderId="17" xfId="2" applyNumberFormat="1" applyFont="1" applyFill="1" applyBorder="1"/>
    <xf numFmtId="2" fontId="23" fillId="4" borderId="5" xfId="2" applyNumberFormat="1" applyFont="1" applyFill="1" applyBorder="1"/>
    <xf numFmtId="0" fontId="6" fillId="4" borderId="11" xfId="2" applyFont="1" applyFill="1" applyBorder="1" applyAlignment="1">
      <alignment horizontal="center"/>
    </xf>
    <xf numFmtId="0" fontId="3" fillId="4" borderId="12" xfId="2" applyFont="1" applyFill="1" applyBorder="1" applyAlignment="1">
      <alignment horizontal="center"/>
    </xf>
    <xf numFmtId="3" fontId="3" fillId="4" borderId="11" xfId="3" applyNumberFormat="1" applyFont="1" applyFill="1" applyBorder="1" applyAlignment="1">
      <alignment horizontal="right" vertical="center"/>
    </xf>
    <xf numFmtId="3" fontId="3" fillId="4" borderId="14" xfId="2" applyNumberFormat="1" applyFont="1" applyFill="1" applyBorder="1" applyAlignment="1">
      <alignment horizontal="right"/>
    </xf>
    <xf numFmtId="164" fontId="3" fillId="4" borderId="12" xfId="2" applyNumberFormat="1" applyFont="1" applyFill="1" applyBorder="1"/>
    <xf numFmtId="3" fontId="3" fillId="4" borderId="12" xfId="2" applyNumberFormat="1" applyFont="1" applyFill="1" applyBorder="1"/>
    <xf numFmtId="2" fontId="3" fillId="4" borderId="13" xfId="2" applyNumberFormat="1" applyFont="1" applyFill="1" applyBorder="1"/>
    <xf numFmtId="0" fontId="3" fillId="0" borderId="10" xfId="2" applyFont="1" applyBorder="1"/>
    <xf numFmtId="0" fontId="6" fillId="4" borderId="10" xfId="2" applyFont="1" applyFill="1" applyBorder="1" applyAlignment="1">
      <alignment horizontal="center"/>
    </xf>
    <xf numFmtId="173" fontId="3" fillId="4" borderId="11" xfId="3" applyNumberFormat="1" applyFont="1" applyFill="1" applyBorder="1" applyAlignment="1">
      <alignment horizontal="right"/>
    </xf>
    <xf numFmtId="164" fontId="3" fillId="4" borderId="11" xfId="2" applyNumberFormat="1" applyFont="1" applyFill="1" applyBorder="1"/>
    <xf numFmtId="3" fontId="3" fillId="4" borderId="14" xfId="2" applyNumberFormat="1" applyFont="1" applyFill="1" applyBorder="1"/>
    <xf numFmtId="0" fontId="3" fillId="4" borderId="0" xfId="2" applyFont="1" applyFill="1" applyBorder="1" applyAlignment="1">
      <alignment horizontal="center"/>
    </xf>
    <xf numFmtId="3" fontId="3" fillId="4" borderId="10" xfId="3" applyNumberFormat="1" applyFont="1" applyFill="1" applyBorder="1" applyAlignment="1">
      <alignment horizontal="right" vertical="center"/>
    </xf>
    <xf numFmtId="3" fontId="3" fillId="4" borderId="15" xfId="2" applyNumberFormat="1" applyFont="1" applyFill="1" applyBorder="1" applyAlignment="1">
      <alignment horizontal="right"/>
    </xf>
    <xf numFmtId="164" fontId="3" fillId="4" borderId="0" xfId="2" applyNumberFormat="1" applyFont="1" applyFill="1" applyBorder="1"/>
    <xf numFmtId="3" fontId="3" fillId="4" borderId="0" xfId="2" applyNumberFormat="1" applyFont="1" applyFill="1" applyBorder="1"/>
    <xf numFmtId="2" fontId="3" fillId="4" borderId="4" xfId="2" applyNumberFormat="1" applyFont="1" applyFill="1" applyBorder="1"/>
    <xf numFmtId="173" fontId="3" fillId="4" borderId="10" xfId="3" applyNumberFormat="1" applyFont="1" applyFill="1" applyBorder="1" applyAlignment="1">
      <alignment horizontal="right"/>
    </xf>
    <xf numFmtId="164" fontId="3" fillId="4" borderId="10" xfId="2" applyNumberFormat="1" applyFont="1" applyFill="1" applyBorder="1"/>
    <xf numFmtId="3" fontId="3" fillId="4" borderId="15" xfId="2" applyNumberFormat="1" applyFont="1" applyFill="1" applyBorder="1"/>
    <xf numFmtId="0" fontId="3" fillId="0" borderId="10" xfId="2" applyFont="1" applyFill="1" applyBorder="1"/>
    <xf numFmtId="0" fontId="6" fillId="4" borderId="16" xfId="2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3" fontId="3" fillId="4" borderId="16" xfId="3" applyNumberFormat="1" applyFont="1" applyFill="1" applyBorder="1" applyAlignment="1">
      <alignment horizontal="right" vertical="center"/>
    </xf>
    <xf numFmtId="3" fontId="3" fillId="4" borderId="17" xfId="2" applyNumberFormat="1" applyFont="1" applyFill="1" applyBorder="1" applyAlignment="1">
      <alignment horizontal="right"/>
    </xf>
    <xf numFmtId="164" fontId="3" fillId="4" borderId="1" xfId="2" applyNumberFormat="1" applyFont="1" applyFill="1" applyBorder="1"/>
    <xf numFmtId="3" fontId="3" fillId="4" borderId="1" xfId="2" applyNumberFormat="1" applyFont="1" applyFill="1" applyBorder="1"/>
    <xf numFmtId="2" fontId="3" fillId="4" borderId="5" xfId="2" applyNumberFormat="1" applyFont="1" applyFill="1" applyBorder="1"/>
    <xf numFmtId="173" fontId="3" fillId="4" borderId="16" xfId="3" applyNumberFormat="1" applyFont="1" applyFill="1" applyBorder="1" applyAlignment="1">
      <alignment horizontal="right"/>
    </xf>
    <xf numFmtId="164" fontId="3" fillId="4" borderId="16" xfId="2" applyNumberFormat="1" applyFont="1" applyFill="1" applyBorder="1"/>
    <xf numFmtId="3" fontId="3" fillId="4" borderId="17" xfId="2" applyNumberFormat="1" applyFont="1" applyFill="1" applyBorder="1"/>
    <xf numFmtId="0" fontId="24" fillId="4" borderId="10" xfId="2" applyFont="1" applyFill="1" applyBorder="1" applyAlignment="1">
      <alignment horizontal="center"/>
    </xf>
    <xf numFmtId="0" fontId="25" fillId="4" borderId="0" xfId="2" applyFont="1" applyFill="1" applyBorder="1" applyAlignment="1">
      <alignment horizontal="center"/>
    </xf>
    <xf numFmtId="3" fontId="25" fillId="4" borderId="10" xfId="3" applyNumberFormat="1" applyFont="1" applyFill="1" applyBorder="1"/>
    <xf numFmtId="3" fontId="25" fillId="4" borderId="15" xfId="2" applyNumberFormat="1" applyFont="1" applyFill="1" applyBorder="1"/>
    <xf numFmtId="164" fontId="25" fillId="4" borderId="0" xfId="2" applyNumberFormat="1" applyFont="1" applyFill="1" applyBorder="1"/>
    <xf numFmtId="3" fontId="25" fillId="4" borderId="0" xfId="2" applyNumberFormat="1" applyFont="1" applyFill="1" applyBorder="1"/>
    <xf numFmtId="164" fontId="25" fillId="4" borderId="4" xfId="2" applyNumberFormat="1" applyFont="1" applyFill="1" applyBorder="1"/>
    <xf numFmtId="0" fontId="24" fillId="0" borderId="10" xfId="2" applyFont="1" applyFill="1" applyBorder="1" applyAlignment="1">
      <alignment horizontal="left"/>
    </xf>
    <xf numFmtId="173" fontId="25" fillId="4" borderId="10" xfId="3" applyNumberFormat="1" applyFont="1" applyFill="1" applyBorder="1"/>
    <xf numFmtId="164" fontId="25" fillId="4" borderId="10" xfId="2" applyNumberFormat="1" applyFont="1" applyFill="1" applyBorder="1"/>
    <xf numFmtId="0" fontId="25" fillId="0" borderId="0" xfId="2" applyFont="1"/>
    <xf numFmtId="3" fontId="3" fillId="4" borderId="10" xfId="3" applyNumberFormat="1" applyFont="1" applyFill="1" applyBorder="1"/>
    <xf numFmtId="164" fontId="3" fillId="4" borderId="4" xfId="2" applyNumberFormat="1" applyFont="1" applyFill="1" applyBorder="1"/>
    <xf numFmtId="0" fontId="6" fillId="0" borderId="10" xfId="2" applyFont="1" applyFill="1" applyBorder="1" applyAlignment="1">
      <alignment horizontal="left"/>
    </xf>
    <xf numFmtId="173" fontId="3" fillId="4" borderId="10" xfId="3" applyNumberFormat="1" applyFont="1" applyFill="1" applyBorder="1"/>
    <xf numFmtId="0" fontId="2" fillId="4" borderId="16" xfId="2" applyFont="1" applyFill="1" applyBorder="1" applyAlignment="1">
      <alignment horizontal="center"/>
    </xf>
    <xf numFmtId="0" fontId="1" fillId="4" borderId="1" xfId="2" applyFont="1" applyFill="1" applyBorder="1" applyAlignment="1">
      <alignment horizontal="center"/>
    </xf>
    <xf numFmtId="3" fontId="1" fillId="4" borderId="16" xfId="3" applyNumberFormat="1" applyFont="1" applyFill="1" applyBorder="1"/>
    <xf numFmtId="3" fontId="1" fillId="4" borderId="17" xfId="2" applyNumberFormat="1" applyFont="1" applyFill="1" applyBorder="1"/>
    <xf numFmtId="164" fontId="1" fillId="4" borderId="1" xfId="2" applyNumberFormat="1" applyFont="1" applyFill="1" applyBorder="1"/>
    <xf numFmtId="3" fontId="1" fillId="4" borderId="1" xfId="2" applyNumberFormat="1" applyFont="1" applyFill="1" applyBorder="1"/>
    <xf numFmtId="164" fontId="1" fillId="4" borderId="5" xfId="2" applyNumberFormat="1" applyFont="1" applyFill="1" applyBorder="1"/>
    <xf numFmtId="173" fontId="1" fillId="4" borderId="16" xfId="3" applyNumberFormat="1" applyFont="1" applyFill="1" applyBorder="1"/>
    <xf numFmtId="164" fontId="1" fillId="4" borderId="16" xfId="2" applyNumberFormat="1" applyFont="1" applyFill="1" applyBorder="1"/>
    <xf numFmtId="0" fontId="2" fillId="0" borderId="10" xfId="2" applyFont="1" applyBorder="1" applyAlignment="1">
      <alignment horizontal="center"/>
    </xf>
    <xf numFmtId="0" fontId="2" fillId="0" borderId="16" xfId="2" applyFont="1" applyFill="1" applyBorder="1" applyAlignment="1">
      <alignment horizontal="center"/>
    </xf>
    <xf numFmtId="9" fontId="2" fillId="0" borderId="17" xfId="4" applyFont="1" applyBorder="1" applyAlignment="1">
      <alignment horizontal="center"/>
    </xf>
    <xf numFmtId="164" fontId="1" fillId="0" borderId="0" xfId="2" applyNumberFormat="1" applyFont="1" applyFill="1" applyBorder="1"/>
    <xf numFmtId="0" fontId="1" fillId="0" borderId="0" xfId="2" applyFont="1" applyBorder="1"/>
    <xf numFmtId="0" fontId="1" fillId="0" borderId="12" xfId="2" applyFont="1" applyBorder="1"/>
    <xf numFmtId="0" fontId="6" fillId="0" borderId="0" xfId="2" applyFont="1" applyFill="1" applyBorder="1" applyAlignment="1">
      <alignment horizontal="left"/>
    </xf>
    <xf numFmtId="0" fontId="2" fillId="0" borderId="12" xfId="2" applyFont="1" applyBorder="1" applyAlignment="1">
      <alignment horizontal="center"/>
    </xf>
    <xf numFmtId="0" fontId="2" fillId="0" borderId="8" xfId="2" applyFont="1" applyFill="1" applyBorder="1" applyAlignment="1">
      <alignment horizontal="center"/>
    </xf>
    <xf numFmtId="9" fontId="2" fillId="0" borderId="9" xfId="4" applyNumberFormat="1" applyFont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9" fontId="2" fillId="0" borderId="0" xfId="4" applyFont="1" applyBorder="1"/>
    <xf numFmtId="1" fontId="1" fillId="0" borderId="0" xfId="2" applyNumberFormat="1" applyFont="1" applyBorder="1"/>
    <xf numFmtId="0" fontId="2" fillId="0" borderId="0" xfId="2" applyFont="1" applyBorder="1" applyAlignment="1">
      <alignment horizontal="center"/>
    </xf>
    <xf numFmtId="9" fontId="2" fillId="0" borderId="0" xfId="4" applyNumberFormat="1" applyFont="1" applyBorder="1"/>
    <xf numFmtId="0" fontId="22" fillId="4" borderId="11" xfId="2" applyFont="1" applyFill="1" applyBorder="1" applyAlignment="1">
      <alignment horizontal="left"/>
    </xf>
    <xf numFmtId="0" fontId="23" fillId="4" borderId="12" xfId="2" applyFont="1" applyFill="1" applyBorder="1"/>
    <xf numFmtId="164" fontId="22" fillId="4" borderId="13" xfId="2" applyNumberFormat="1" applyFont="1" applyFill="1" applyBorder="1"/>
    <xf numFmtId="164" fontId="1" fillId="0" borderId="18" xfId="2" applyNumberFormat="1" applyFont="1" applyFill="1" applyBorder="1"/>
    <xf numFmtId="0" fontId="6" fillId="4" borderId="10" xfId="2" applyFont="1" applyFill="1" applyBorder="1" applyAlignment="1">
      <alignment horizontal="left"/>
    </xf>
    <xf numFmtId="0" fontId="3" fillId="4" borderId="0" xfId="2" applyFont="1" applyFill="1" applyBorder="1"/>
    <xf numFmtId="164" fontId="6" fillId="4" borderId="4" xfId="2" applyNumberFormat="1" applyFont="1" applyFill="1" applyBorder="1"/>
    <xf numFmtId="0" fontId="3" fillId="0" borderId="0" xfId="2" applyFont="1" applyFill="1"/>
    <xf numFmtId="0" fontId="2" fillId="5" borderId="11" xfId="2" applyFont="1" applyFill="1" applyBorder="1" applyAlignment="1">
      <alignment horizontal="left"/>
    </xf>
    <xf numFmtId="0" fontId="2" fillId="5" borderId="12" xfId="2" applyFont="1" applyFill="1" applyBorder="1"/>
    <xf numFmtId="164" fontId="2" fillId="5" borderId="13" xfId="2" applyNumberFormat="1" applyFont="1" applyFill="1" applyBorder="1"/>
    <xf numFmtId="0" fontId="2" fillId="0" borderId="0" xfId="2" applyFont="1" applyFill="1"/>
    <xf numFmtId="0" fontId="2" fillId="5" borderId="0" xfId="2" applyFont="1" applyFill="1"/>
    <xf numFmtId="0" fontId="2" fillId="5" borderId="16" xfId="2" applyFont="1" applyFill="1" applyBorder="1" applyAlignment="1">
      <alignment horizontal="left"/>
    </xf>
    <xf numFmtId="0" fontId="1" fillId="5" borderId="1" xfId="2" applyFont="1" applyFill="1" applyBorder="1"/>
    <xf numFmtId="164" fontId="2" fillId="5" borderId="5" xfId="2" applyNumberFormat="1" applyFont="1" applyFill="1" applyBorder="1"/>
    <xf numFmtId="0" fontId="20" fillId="0" borderId="0" xfId="2" applyFill="1"/>
    <xf numFmtId="0" fontId="2" fillId="0" borderId="16" xfId="2" applyFont="1" applyBorder="1"/>
    <xf numFmtId="0" fontId="1" fillId="0" borderId="1" xfId="2" applyFont="1" applyBorder="1"/>
    <xf numFmtId="164" fontId="1" fillId="0" borderId="1" xfId="2" applyNumberFormat="1" applyFont="1" applyBorder="1"/>
    <xf numFmtId="0" fontId="2" fillId="0" borderId="1" xfId="2" applyFont="1" applyBorder="1"/>
    <xf numFmtId="164" fontId="1" fillId="0" borderId="2" xfId="2" applyNumberFormat="1" applyFont="1" applyBorder="1"/>
    <xf numFmtId="0" fontId="2" fillId="4" borderId="11" xfId="2" applyFont="1" applyFill="1" applyBorder="1" applyAlignment="1">
      <alignment horizontal="center"/>
    </xf>
    <xf numFmtId="0" fontId="1" fillId="4" borderId="14" xfId="2" applyFont="1" applyFill="1" applyBorder="1" applyAlignment="1">
      <alignment horizontal="center"/>
    </xf>
    <xf numFmtId="3" fontId="1" fillId="4" borderId="11" xfId="2" applyNumberFormat="1" applyFont="1" applyFill="1" applyBorder="1"/>
    <xf numFmtId="3" fontId="1" fillId="4" borderId="14" xfId="2" applyNumberFormat="1" applyFont="1" applyFill="1" applyBorder="1"/>
    <xf numFmtId="164" fontId="1" fillId="4" borderId="0" xfId="2" applyNumberFormat="1" applyFont="1" applyFill="1" applyBorder="1"/>
    <xf numFmtId="3" fontId="1" fillId="4" borderId="0" xfId="2" applyNumberFormat="1" applyFont="1" applyFill="1" applyBorder="1"/>
    <xf numFmtId="164" fontId="1" fillId="4" borderId="13" xfId="2" applyNumberFormat="1" applyFont="1" applyFill="1" applyBorder="1"/>
    <xf numFmtId="0" fontId="2" fillId="4" borderId="10" xfId="2" applyFont="1" applyFill="1" applyBorder="1" applyAlignment="1">
      <alignment horizontal="center"/>
    </xf>
    <xf numFmtId="0" fontId="1" fillId="4" borderId="15" xfId="2" applyFont="1" applyFill="1" applyBorder="1" applyAlignment="1">
      <alignment horizontal="center"/>
    </xf>
    <xf numFmtId="3" fontId="1" fillId="4" borderId="10" xfId="2" applyNumberFormat="1" applyFont="1" applyFill="1" applyBorder="1"/>
    <xf numFmtId="3" fontId="1" fillId="4" borderId="15" xfId="2" applyNumberFormat="1" applyFont="1" applyFill="1" applyBorder="1"/>
    <xf numFmtId="164" fontId="1" fillId="4" borderId="4" xfId="2" applyNumberFormat="1" applyFont="1" applyFill="1" applyBorder="1"/>
    <xf numFmtId="0" fontId="2" fillId="4" borderId="8" xfId="2" applyFont="1" applyFill="1" applyBorder="1" applyAlignment="1">
      <alignment horizontal="center"/>
    </xf>
    <xf numFmtId="0" fontId="1" fillId="4" borderId="9" xfId="2" applyFont="1" applyFill="1" applyBorder="1" applyAlignment="1">
      <alignment horizontal="center"/>
    </xf>
    <xf numFmtId="3" fontId="1" fillId="4" borderId="8" xfId="2" applyNumberFormat="1" applyFont="1" applyFill="1" applyBorder="1"/>
    <xf numFmtId="3" fontId="1" fillId="4" borderId="9" xfId="2" applyNumberFormat="1" applyFont="1" applyFill="1" applyBorder="1"/>
    <xf numFmtId="164" fontId="1" fillId="4" borderId="2" xfId="2" applyNumberFormat="1" applyFont="1" applyFill="1" applyBorder="1"/>
    <xf numFmtId="3" fontId="1" fillId="4" borderId="2" xfId="2" applyNumberFormat="1" applyFont="1" applyFill="1" applyBorder="1"/>
    <xf numFmtId="164" fontId="1" fillId="4" borderId="3" xfId="2" applyNumberFormat="1" applyFont="1" applyFill="1" applyBorder="1"/>
    <xf numFmtId="0" fontId="2" fillId="5" borderId="16" xfId="2" applyFont="1" applyFill="1" applyBorder="1"/>
    <xf numFmtId="0" fontId="2" fillId="5" borderId="1" xfId="2" applyFont="1" applyFill="1" applyBorder="1" applyAlignment="1">
      <alignment horizontal="left"/>
    </xf>
    <xf numFmtId="0" fontId="2" fillId="5" borderId="1" xfId="2" applyFont="1" applyFill="1" applyBorder="1"/>
    <xf numFmtId="1" fontId="2" fillId="5" borderId="1" xfId="2" applyNumberFormat="1" applyFont="1" applyFill="1" applyBorder="1"/>
    <xf numFmtId="0" fontId="2" fillId="0" borderId="20" xfId="2" applyFont="1" applyFill="1" applyBorder="1" applyAlignment="1">
      <alignment horizontal="right"/>
    </xf>
    <xf numFmtId="9" fontId="2" fillId="0" borderId="21" xfId="4" applyFont="1" applyBorder="1"/>
    <xf numFmtId="0" fontId="2" fillId="6" borderId="24" xfId="2" applyFont="1" applyFill="1" applyBorder="1" applyProtection="1">
      <protection locked="0"/>
    </xf>
    <xf numFmtId="0" fontId="18" fillId="0" borderId="0" xfId="2" applyFont="1"/>
    <xf numFmtId="3" fontId="1" fillId="0" borderId="0" xfId="2" applyNumberFormat="1" applyFont="1"/>
    <xf numFmtId="0" fontId="2" fillId="6" borderId="27" xfId="2" applyFont="1" applyFill="1" applyBorder="1" applyProtection="1">
      <protection locked="0"/>
    </xf>
    <xf numFmtId="0" fontId="1" fillId="5" borderId="0" xfId="2" applyFont="1" applyFill="1"/>
    <xf numFmtId="3" fontId="1" fillId="5" borderId="0" xfId="2" applyNumberFormat="1" applyFont="1" applyFill="1"/>
    <xf numFmtId="0" fontId="1" fillId="0" borderId="0" xfId="2" applyFont="1" applyFill="1"/>
    <xf numFmtId="0" fontId="26" fillId="0" borderId="0" xfId="2" applyFont="1"/>
    <xf numFmtId="3" fontId="2" fillId="5" borderId="0" xfId="2" applyNumberFormat="1" applyFont="1" applyFill="1"/>
    <xf numFmtId="0" fontId="1" fillId="0" borderId="2" xfId="0" applyFont="1" applyBorder="1"/>
    <xf numFmtId="3" fontId="1" fillId="0" borderId="2" xfId="0" applyNumberFormat="1" applyFont="1" applyBorder="1" applyAlignment="1" applyProtection="1">
      <alignment horizontal="center"/>
      <protection locked="0"/>
    </xf>
    <xf numFmtId="0" fontId="27" fillId="0" borderId="0" xfId="0" applyFont="1"/>
    <xf numFmtId="0" fontId="2" fillId="0" borderId="2" xfId="0" applyFont="1" applyBorder="1"/>
    <xf numFmtId="3" fontId="1" fillId="0" borderId="0" xfId="0" applyNumberFormat="1" applyFont="1" applyAlignment="1" applyProtection="1">
      <alignment horizontal="right"/>
      <protection locked="0"/>
    </xf>
    <xf numFmtId="3" fontId="1" fillId="0" borderId="2" xfId="0" applyNumberFormat="1" applyFont="1" applyBorder="1" applyAlignment="1" applyProtection="1">
      <alignment horizontal="right"/>
      <protection locked="0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2" borderId="0" xfId="2" applyFont="1" applyFill="1" applyAlignment="1">
      <alignment horizontal="center" wrapText="1"/>
    </xf>
    <xf numFmtId="0" fontId="2" fillId="3" borderId="0" xfId="2" applyFont="1" applyFill="1" applyAlignment="1">
      <alignment horizontal="center" wrapText="1"/>
    </xf>
    <xf numFmtId="171" fontId="1" fillId="0" borderId="0" xfId="0" applyNumberFormat="1" applyFont="1"/>
    <xf numFmtId="0" fontId="9" fillId="0" borderId="0" xfId="0" applyFont="1"/>
    <xf numFmtId="167" fontId="15" fillId="0" borderId="0" xfId="0" applyNumberFormat="1" applyFont="1" applyFill="1" applyAlignment="1">
      <alignment horizontal="center"/>
    </xf>
    <xf numFmtId="0" fontId="15" fillId="0" borderId="0" xfId="0" applyFont="1"/>
    <xf numFmtId="176" fontId="15" fillId="0" borderId="0" xfId="1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/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left"/>
    </xf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9" fontId="1" fillId="0" borderId="0" xfId="0" applyNumberFormat="1" applyFont="1" applyBorder="1" applyAlignment="1">
      <alignment horizontal="right"/>
    </xf>
    <xf numFmtId="165" fontId="1" fillId="0" borderId="0" xfId="0" applyNumberFormat="1" applyFont="1"/>
    <xf numFmtId="43" fontId="2" fillId="0" borderId="0" xfId="1" applyNumberFormat="1" applyFont="1"/>
    <xf numFmtId="177" fontId="1" fillId="0" borderId="0" xfId="0" applyNumberFormat="1" applyFont="1" applyAlignment="1">
      <alignment horizontal="center"/>
    </xf>
    <xf numFmtId="175" fontId="1" fillId="0" borderId="0" xfId="0" applyNumberFormat="1" applyFont="1"/>
    <xf numFmtId="172" fontId="2" fillId="0" borderId="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left"/>
    </xf>
    <xf numFmtId="2" fontId="1" fillId="0" borderId="0" xfId="0" applyNumberFormat="1" applyFont="1" applyProtection="1"/>
    <xf numFmtId="2" fontId="3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centerContinuous"/>
    </xf>
    <xf numFmtId="2" fontId="6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right"/>
    </xf>
    <xf numFmtId="2" fontId="1" fillId="0" borderId="0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7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2" fillId="6" borderId="19" xfId="2" applyFont="1" applyFill="1" applyBorder="1" applyAlignment="1">
      <alignment wrapText="1"/>
    </xf>
    <xf numFmtId="0" fontId="20" fillId="0" borderId="19" xfId="2" applyBorder="1" applyAlignment="1"/>
    <xf numFmtId="0" fontId="2" fillId="6" borderId="22" xfId="2" applyFont="1" applyFill="1" applyBorder="1" applyAlignment="1">
      <alignment wrapText="1"/>
    </xf>
    <xf numFmtId="0" fontId="1" fillId="0" borderId="23" xfId="2" applyFont="1" applyBorder="1" applyAlignment="1">
      <alignment wrapText="1"/>
    </xf>
    <xf numFmtId="0" fontId="2" fillId="6" borderId="25" xfId="2" applyFont="1" applyFill="1" applyBorder="1" applyAlignment="1"/>
    <xf numFmtId="0" fontId="1" fillId="0" borderId="26" xfId="2" applyFont="1" applyBorder="1" applyAlignment="1"/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42</xdr:row>
      <xdr:rowOff>47625</xdr:rowOff>
    </xdr:from>
    <xdr:to>
      <xdr:col>14</xdr:col>
      <xdr:colOff>533400</xdr:colOff>
      <xdr:row>42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9820275" y="7096125"/>
          <a:ext cx="1905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/>
  </sheetViews>
  <sheetFormatPr defaultRowHeight="12.75"/>
  <cols>
    <col min="1" max="1" width="11" bestFit="1" customWidth="1"/>
    <col min="2" max="2" width="8.7109375" bestFit="1" customWidth="1"/>
    <col min="3" max="3" width="5.140625" customWidth="1"/>
    <col min="4" max="4" width="9.85546875" bestFit="1" customWidth="1"/>
    <col min="5" max="5" width="8.7109375" bestFit="1" customWidth="1"/>
    <col min="7" max="7" width="9.85546875" bestFit="1" customWidth="1"/>
    <col min="8" max="8" width="7.5703125" bestFit="1" customWidth="1"/>
  </cols>
  <sheetData>
    <row r="1" spans="1:9" ht="15.75">
      <c r="A1" s="329"/>
      <c r="B1" s="329"/>
      <c r="C1" s="329"/>
      <c r="D1" s="329"/>
      <c r="E1" s="329"/>
      <c r="F1" s="329"/>
      <c r="G1" s="329"/>
      <c r="H1" s="329"/>
      <c r="I1" s="329"/>
    </row>
    <row r="2" spans="1:9">
      <c r="A2" s="372" t="s">
        <v>90</v>
      </c>
      <c r="B2" s="372"/>
      <c r="C2" s="372"/>
      <c r="D2" s="372"/>
      <c r="E2" s="372"/>
      <c r="F2" s="1"/>
      <c r="G2" s="333" t="s">
        <v>75</v>
      </c>
      <c r="H2" s="333"/>
      <c r="I2" s="333"/>
    </row>
    <row r="3" spans="1:9">
      <c r="A3" s="2"/>
      <c r="B3" s="1"/>
      <c r="C3" s="1"/>
      <c r="D3" s="1"/>
      <c r="E3" s="1"/>
      <c r="F3" s="1"/>
      <c r="G3" s="1"/>
      <c r="H3" s="1"/>
      <c r="I3" s="1"/>
    </row>
    <row r="4" spans="1:9">
      <c r="A4" s="330" t="s">
        <v>137</v>
      </c>
      <c r="B4" s="330" t="s">
        <v>46</v>
      </c>
      <c r="C4" s="2"/>
      <c r="D4" s="330" t="s">
        <v>137</v>
      </c>
      <c r="E4" s="330" t="s">
        <v>74</v>
      </c>
      <c r="F4" s="2"/>
      <c r="G4" s="330" t="s">
        <v>137</v>
      </c>
      <c r="H4" s="334" t="s">
        <v>138</v>
      </c>
      <c r="I4" s="1"/>
    </row>
    <row r="5" spans="1:9">
      <c r="A5" s="1" t="s">
        <v>1</v>
      </c>
      <c r="B5" s="331">
        <v>5000</v>
      </c>
      <c r="C5" s="1"/>
      <c r="D5" s="1" t="s">
        <v>1</v>
      </c>
      <c r="E5" s="331">
        <v>8000</v>
      </c>
      <c r="F5" s="1"/>
      <c r="G5" s="1" t="s">
        <v>1</v>
      </c>
      <c r="H5" s="331">
        <v>12000</v>
      </c>
      <c r="I5" s="1"/>
    </row>
    <row r="6" spans="1:9">
      <c r="A6" s="1" t="str">
        <f>"5-9"</f>
        <v>5-9</v>
      </c>
      <c r="B6" s="331">
        <v>5500</v>
      </c>
      <c r="C6" s="1"/>
      <c r="D6" s="1" t="str">
        <f>"5-9"</f>
        <v>5-9</v>
      </c>
      <c r="E6" s="331">
        <v>7000</v>
      </c>
      <c r="F6" s="1"/>
      <c r="G6" s="1" t="str">
        <f>"5-9"</f>
        <v>5-9</v>
      </c>
      <c r="H6" s="331">
        <v>10000</v>
      </c>
      <c r="I6" s="1"/>
    </row>
    <row r="7" spans="1:9">
      <c r="A7" s="1" t="str">
        <f>"10-14"</f>
        <v>10-14</v>
      </c>
      <c r="B7" s="331">
        <v>5500</v>
      </c>
      <c r="C7" s="1"/>
      <c r="D7" s="1" t="str">
        <f>"10-14"</f>
        <v>10-14</v>
      </c>
      <c r="E7" s="331">
        <v>7000</v>
      </c>
      <c r="F7" s="1"/>
      <c r="G7" s="1" t="str">
        <f>"10-14"</f>
        <v>10-14</v>
      </c>
      <c r="H7" s="331">
        <v>9000</v>
      </c>
      <c r="I7" s="1"/>
    </row>
    <row r="8" spans="1:9">
      <c r="A8" s="1" t="s">
        <v>2</v>
      </c>
      <c r="B8" s="331">
        <v>5500</v>
      </c>
      <c r="C8" s="1"/>
      <c r="D8" s="1" t="s">
        <v>2</v>
      </c>
      <c r="E8" s="331">
        <v>7000</v>
      </c>
      <c r="F8" s="1"/>
      <c r="G8" s="1" t="s">
        <v>2</v>
      </c>
      <c r="H8" s="331">
        <v>9000</v>
      </c>
      <c r="I8" s="1"/>
    </row>
    <row r="9" spans="1:9">
      <c r="A9" s="1" t="s">
        <v>3</v>
      </c>
      <c r="B9" s="331">
        <v>6000</v>
      </c>
      <c r="C9" s="1"/>
      <c r="D9" s="1" t="s">
        <v>3</v>
      </c>
      <c r="E9" s="331">
        <v>7000</v>
      </c>
      <c r="F9" s="1"/>
      <c r="G9" s="1" t="s">
        <v>3</v>
      </c>
      <c r="H9" s="331">
        <v>8000</v>
      </c>
      <c r="I9" s="1"/>
    </row>
    <row r="10" spans="1:9">
      <c r="A10" s="1" t="s">
        <v>4</v>
      </c>
      <c r="B10" s="331">
        <v>6000</v>
      </c>
      <c r="C10" s="1"/>
      <c r="D10" s="1" t="s">
        <v>4</v>
      </c>
      <c r="E10" s="331">
        <v>7000</v>
      </c>
      <c r="F10" s="1"/>
      <c r="G10" s="1" t="s">
        <v>4</v>
      </c>
      <c r="H10" s="331">
        <v>8000</v>
      </c>
      <c r="I10" s="1"/>
    </row>
    <row r="11" spans="1:9">
      <c r="A11" s="1" t="s">
        <v>5</v>
      </c>
      <c r="B11" s="331">
        <v>6500</v>
      </c>
      <c r="C11" s="1"/>
      <c r="D11" s="1" t="s">
        <v>5</v>
      </c>
      <c r="E11" s="331">
        <v>7000</v>
      </c>
      <c r="F11" s="1"/>
      <c r="G11" s="1" t="s">
        <v>5</v>
      </c>
      <c r="H11" s="331">
        <v>6000</v>
      </c>
      <c r="I11" s="1"/>
    </row>
    <row r="12" spans="1:9">
      <c r="A12" s="1" t="s">
        <v>6</v>
      </c>
      <c r="B12" s="331">
        <v>7000</v>
      </c>
      <c r="C12" s="1"/>
      <c r="D12" s="1" t="s">
        <v>6</v>
      </c>
      <c r="E12" s="331">
        <v>7000</v>
      </c>
      <c r="F12" s="1"/>
      <c r="G12" s="1" t="s">
        <v>6</v>
      </c>
      <c r="H12" s="331">
        <v>6000</v>
      </c>
      <c r="I12" s="1"/>
    </row>
    <row r="13" spans="1:9">
      <c r="A13" s="1" t="s">
        <v>7</v>
      </c>
      <c r="B13" s="331">
        <v>7000</v>
      </c>
      <c r="C13" s="1"/>
      <c r="D13" s="1" t="s">
        <v>7</v>
      </c>
      <c r="E13" s="331">
        <v>7000</v>
      </c>
      <c r="F13" s="1"/>
      <c r="G13" s="1" t="s">
        <v>7</v>
      </c>
      <c r="H13" s="331">
        <v>6000</v>
      </c>
      <c r="I13" s="1"/>
    </row>
    <row r="14" spans="1:9">
      <c r="A14" s="1" t="s">
        <v>8</v>
      </c>
      <c r="B14" s="331">
        <v>7000</v>
      </c>
      <c r="C14" s="1"/>
      <c r="D14" s="1" t="s">
        <v>8</v>
      </c>
      <c r="E14" s="331">
        <v>7000</v>
      </c>
      <c r="F14" s="1"/>
      <c r="G14" s="1" t="s">
        <v>8</v>
      </c>
      <c r="H14" s="331">
        <v>6000</v>
      </c>
      <c r="I14" s="1"/>
    </row>
    <row r="15" spans="1:9">
      <c r="A15" s="1" t="s">
        <v>9</v>
      </c>
      <c r="B15" s="331">
        <v>7000</v>
      </c>
      <c r="C15" s="1"/>
      <c r="D15" s="1" t="s">
        <v>9</v>
      </c>
      <c r="E15" s="331">
        <v>7000</v>
      </c>
      <c r="F15" s="1"/>
      <c r="G15" s="1" t="s">
        <v>9</v>
      </c>
      <c r="H15" s="331">
        <v>5000</v>
      </c>
      <c r="I15" s="1"/>
    </row>
    <row r="16" spans="1:9">
      <c r="A16" s="1" t="s">
        <v>10</v>
      </c>
      <c r="B16" s="331">
        <v>6500</v>
      </c>
      <c r="C16" s="1"/>
      <c r="D16" s="1" t="s">
        <v>10</v>
      </c>
      <c r="E16" s="331">
        <v>6000</v>
      </c>
      <c r="F16" s="1"/>
      <c r="G16" s="1" t="s">
        <v>10</v>
      </c>
      <c r="H16" s="331">
        <v>4000</v>
      </c>
      <c r="I16" s="1"/>
    </row>
    <row r="17" spans="1:9">
      <c r="A17" s="1" t="s">
        <v>11</v>
      </c>
      <c r="B17" s="331">
        <v>6000</v>
      </c>
      <c r="C17" s="1"/>
      <c r="D17" s="1" t="s">
        <v>11</v>
      </c>
      <c r="E17" s="331">
        <v>5000</v>
      </c>
      <c r="F17" s="1"/>
      <c r="G17" s="1" t="s">
        <v>11</v>
      </c>
      <c r="H17" s="331">
        <v>4000</v>
      </c>
      <c r="I17" s="1"/>
    </row>
    <row r="18" spans="1:9">
      <c r="A18" s="1" t="s">
        <v>12</v>
      </c>
      <c r="B18" s="331">
        <v>5500</v>
      </c>
      <c r="C18" s="1"/>
      <c r="D18" s="1" t="s">
        <v>12</v>
      </c>
      <c r="E18" s="331">
        <v>4000</v>
      </c>
      <c r="F18" s="1"/>
      <c r="G18" s="1" t="s">
        <v>12</v>
      </c>
      <c r="H18" s="331">
        <v>3000</v>
      </c>
      <c r="I18" s="1"/>
    </row>
    <row r="19" spans="1:9">
      <c r="A19" s="1" t="s">
        <v>13</v>
      </c>
      <c r="B19" s="331">
        <v>5000</v>
      </c>
      <c r="C19" s="1"/>
      <c r="D19" s="1" t="s">
        <v>13</v>
      </c>
      <c r="E19" s="331">
        <v>3000</v>
      </c>
      <c r="F19" s="1"/>
      <c r="G19" s="1" t="s">
        <v>13</v>
      </c>
      <c r="H19" s="331">
        <v>2000</v>
      </c>
      <c r="I19" s="1"/>
    </row>
    <row r="20" spans="1:9">
      <c r="A20" s="1" t="s">
        <v>14</v>
      </c>
      <c r="B20" s="331">
        <v>4000</v>
      </c>
      <c r="C20" s="1"/>
      <c r="D20" s="1" t="s">
        <v>14</v>
      </c>
      <c r="E20" s="331">
        <v>2000</v>
      </c>
      <c r="F20" s="1"/>
      <c r="G20" s="1" t="s">
        <v>14</v>
      </c>
      <c r="H20" s="331">
        <v>1000</v>
      </c>
      <c r="I20" s="1"/>
    </row>
    <row r="21" spans="1:9">
      <c r="A21" s="1" t="s">
        <v>15</v>
      </c>
      <c r="B21" s="331">
        <v>2500</v>
      </c>
      <c r="C21" s="1"/>
      <c r="D21" s="1" t="s">
        <v>15</v>
      </c>
      <c r="E21" s="331">
        <v>1000</v>
      </c>
      <c r="F21" s="1"/>
      <c r="G21" s="1" t="s">
        <v>15</v>
      </c>
      <c r="H21" s="331">
        <v>500</v>
      </c>
      <c r="I21" s="1"/>
    </row>
    <row r="22" spans="1:9">
      <c r="A22" s="1" t="s">
        <v>44</v>
      </c>
      <c r="B22" s="331">
        <v>1500</v>
      </c>
      <c r="C22" s="1"/>
      <c r="D22" s="1" t="s">
        <v>73</v>
      </c>
      <c r="E22" s="331">
        <v>1000</v>
      </c>
      <c r="F22" s="1"/>
      <c r="G22" s="1" t="s">
        <v>73</v>
      </c>
      <c r="H22" s="331">
        <v>500</v>
      </c>
      <c r="I22" s="1"/>
    </row>
    <row r="23" spans="1:9">
      <c r="A23" s="1" t="s">
        <v>45</v>
      </c>
      <c r="B23" s="331">
        <v>1000</v>
      </c>
      <c r="C23" s="1"/>
      <c r="D23" s="1"/>
      <c r="E23" s="331"/>
      <c r="F23" s="1"/>
      <c r="G23" s="1"/>
      <c r="H23" s="331"/>
      <c r="I23" s="1"/>
    </row>
    <row r="24" spans="1:9">
      <c r="A24" s="327" t="s">
        <v>16</v>
      </c>
      <c r="B24" s="332">
        <v>100000</v>
      </c>
      <c r="C24" s="1"/>
      <c r="D24" s="327" t="s">
        <v>16</v>
      </c>
      <c r="E24" s="328">
        <v>100000</v>
      </c>
      <c r="F24" s="1"/>
      <c r="G24" s="327" t="s">
        <v>16</v>
      </c>
      <c r="H24" s="332">
        <v>100000</v>
      </c>
      <c r="I24" s="1"/>
    </row>
    <row r="25" spans="1:9" ht="15.75">
      <c r="A25" s="329"/>
      <c r="B25" s="329"/>
      <c r="C25" s="329"/>
      <c r="D25" s="329"/>
      <c r="E25" s="329"/>
      <c r="F25" s="329"/>
      <c r="G25" s="329"/>
      <c r="H25" s="329"/>
      <c r="I25" s="329"/>
    </row>
    <row r="26" spans="1:9" ht="15.75">
      <c r="A26" s="329"/>
      <c r="B26" s="329"/>
      <c r="C26" s="329"/>
      <c r="D26" s="329"/>
      <c r="E26" s="329"/>
      <c r="F26" s="329"/>
      <c r="G26" s="329"/>
      <c r="H26" s="329"/>
      <c r="I26" s="329"/>
    </row>
    <row r="48" spans="4:4">
      <c r="D48" s="1"/>
    </row>
    <row r="50" spans="2:4">
      <c r="D50" s="1" t="s">
        <v>16</v>
      </c>
    </row>
    <row r="51" spans="2:4">
      <c r="B51" s="31"/>
      <c r="C51" s="31"/>
      <c r="D51" s="32"/>
    </row>
  </sheetData>
  <mergeCells count="1">
    <mergeCell ref="A2:E2"/>
  </mergeCells>
  <pageMargins left="0.7" right="0.7" top="0.75" bottom="0.75" header="0.3" footer="0.3"/>
  <pageSetup orientation="portrait" r:id="rId1"/>
  <ignoredErrors>
    <ignoredError sqref="A7 D7 G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V203"/>
  <sheetViews>
    <sheetView zoomScaleNormal="100" workbookViewId="0"/>
  </sheetViews>
  <sheetFormatPr defaultRowHeight="12.75"/>
  <cols>
    <col min="1" max="1" width="9.140625" style="1"/>
    <col min="2" max="2" width="11.140625" style="1" customWidth="1"/>
    <col min="3" max="3" width="11.5703125" style="1" customWidth="1"/>
    <col min="4" max="4" width="9.42578125" style="1" customWidth="1"/>
    <col min="5" max="5" width="19.5703125" style="1" customWidth="1"/>
    <col min="6" max="6" width="9.7109375" style="1" customWidth="1"/>
    <col min="7" max="7" width="8.5703125" style="1" customWidth="1"/>
    <col min="8" max="8" width="8.85546875" style="1" customWidth="1"/>
    <col min="9" max="9" width="9.28515625" style="1" customWidth="1"/>
    <col min="10" max="10" width="19.28515625" style="1" customWidth="1"/>
    <col min="11" max="11" width="15.7109375" style="1" customWidth="1"/>
    <col min="12" max="12" width="20.28515625" style="1" customWidth="1"/>
    <col min="13" max="13" width="6" style="1" customWidth="1"/>
    <col min="14" max="14" width="15" style="1" customWidth="1"/>
    <col min="15" max="15" width="6.42578125" style="1" customWidth="1"/>
    <col min="16" max="16" width="19" style="1" bestFit="1" customWidth="1"/>
    <col min="17" max="17" width="3.7109375" style="1" customWidth="1"/>
    <col min="18" max="18" width="11.85546875" style="1" customWidth="1"/>
    <col min="19" max="19" width="4.42578125" style="1" customWidth="1"/>
    <col min="20" max="20" width="19.28515625" style="1" customWidth="1"/>
    <col min="21" max="21" width="7" style="1" bestFit="1" customWidth="1"/>
    <col min="22" max="22" width="4" style="1" customWidth="1"/>
    <col min="23" max="23" width="17.28515625" style="1" customWidth="1"/>
    <col min="24" max="24" width="6" style="1" customWidth="1"/>
    <col min="25" max="25" width="16.85546875" style="1" customWidth="1"/>
    <col min="26" max="16384" width="9.140625" style="1"/>
  </cols>
  <sheetData>
    <row r="1" spans="1:12" ht="15.75">
      <c r="A1" s="5" t="s">
        <v>64</v>
      </c>
    </row>
    <row r="3" spans="1:12" ht="15.75">
      <c r="B3" s="5" t="s">
        <v>40</v>
      </c>
    </row>
    <row r="4" spans="1:12" ht="15.75">
      <c r="B4" s="5" t="s">
        <v>50</v>
      </c>
      <c r="C4" s="5"/>
      <c r="D4" s="5"/>
      <c r="E4" s="5"/>
      <c r="F4" s="5"/>
      <c r="G4" s="5"/>
    </row>
    <row r="5" spans="1:12" ht="15.75">
      <c r="B5" s="5" t="s">
        <v>51</v>
      </c>
    </row>
    <row r="6" spans="1:12" ht="15.75">
      <c r="A6" s="14"/>
      <c r="B6" s="33" t="s">
        <v>52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9" spans="1:12" ht="12.75" customHeight="1">
      <c r="A9" s="5" t="s">
        <v>41</v>
      </c>
    </row>
    <row r="10" spans="1:12" s="2" customFormat="1" ht="12.75" customHeight="1"/>
    <row r="11" spans="1:12" ht="12.75" customHeight="1">
      <c r="A11" s="2" t="s">
        <v>48</v>
      </c>
    </row>
    <row r="12" spans="1:12" ht="12.75" customHeight="1">
      <c r="C12" s="2"/>
    </row>
    <row r="13" spans="1:12" s="2" customFormat="1" ht="12.75" customHeight="1">
      <c r="C13" s="8" t="s">
        <v>17</v>
      </c>
      <c r="E13" s="8" t="s">
        <v>18</v>
      </c>
      <c r="G13" s="8" t="s">
        <v>43</v>
      </c>
    </row>
    <row r="14" spans="1:12" s="12" customFormat="1" ht="12.75" customHeight="1">
      <c r="A14" s="13" t="s">
        <v>0</v>
      </c>
      <c r="B14" s="13"/>
      <c r="C14" s="350" t="s">
        <v>19</v>
      </c>
      <c r="D14" s="13"/>
      <c r="E14" s="350"/>
      <c r="F14" s="13"/>
      <c r="G14" s="350" t="s">
        <v>42</v>
      </c>
    </row>
    <row r="15" spans="1:12" ht="12.75" customHeight="1">
      <c r="C15" s="4"/>
      <c r="E15" s="4"/>
      <c r="G15" s="4"/>
    </row>
    <row r="16" spans="1:12" ht="12.75" customHeight="1">
      <c r="A16" s="1" t="s">
        <v>1</v>
      </c>
      <c r="C16" s="18">
        <v>0</v>
      </c>
      <c r="E16" s="78">
        <v>295871</v>
      </c>
      <c r="G16" s="20">
        <f t="shared" ref="G16:G34" si="0">C16*100000/E16</f>
        <v>0</v>
      </c>
    </row>
    <row r="17" spans="1:7" ht="12.75" customHeight="1">
      <c r="A17" s="1" t="str">
        <f>"5-9"</f>
        <v>5-9</v>
      </c>
      <c r="C17" s="18">
        <v>1</v>
      </c>
      <c r="E17" s="78">
        <v>275541</v>
      </c>
      <c r="G17" s="20">
        <f t="shared" si="0"/>
        <v>0.36292239630399831</v>
      </c>
    </row>
    <row r="18" spans="1:7" ht="12.75" customHeight="1">
      <c r="A18" s="1" t="str">
        <f>"10-14"</f>
        <v>10-14</v>
      </c>
      <c r="C18" s="18">
        <v>15</v>
      </c>
      <c r="E18" s="78">
        <v>281597</v>
      </c>
      <c r="G18" s="20">
        <f t="shared" si="0"/>
        <v>5.3267612936217361</v>
      </c>
    </row>
    <row r="19" spans="1:7" ht="12.75" customHeight="1">
      <c r="A19" s="1" t="s">
        <v>2</v>
      </c>
      <c r="C19" s="18">
        <v>211</v>
      </c>
      <c r="E19" s="78">
        <v>319783</v>
      </c>
      <c r="G19" s="20">
        <f t="shared" si="0"/>
        <v>65.982244209354462</v>
      </c>
    </row>
    <row r="20" spans="1:7" ht="12.75" customHeight="1">
      <c r="A20" s="1" t="s">
        <v>3</v>
      </c>
      <c r="C20" s="18">
        <v>515</v>
      </c>
      <c r="E20" s="78">
        <v>370639</v>
      </c>
      <c r="G20" s="20">
        <f t="shared" si="0"/>
        <v>138.94922013063925</v>
      </c>
    </row>
    <row r="21" spans="1:7" ht="12.75" customHeight="1">
      <c r="A21" s="1" t="s">
        <v>4</v>
      </c>
      <c r="C21" s="18">
        <v>744</v>
      </c>
      <c r="E21" s="78">
        <v>347050</v>
      </c>
      <c r="G21" s="20">
        <f t="shared" si="0"/>
        <v>214.37833165249964</v>
      </c>
    </row>
    <row r="22" spans="1:7" ht="12.75" customHeight="1">
      <c r="A22" s="1" t="s">
        <v>5</v>
      </c>
      <c r="C22" s="18">
        <v>1071</v>
      </c>
      <c r="E22" s="78">
        <v>332962</v>
      </c>
      <c r="G22" s="20">
        <f t="shared" si="0"/>
        <v>321.65832737669763</v>
      </c>
    </row>
    <row r="23" spans="1:7" ht="12.75" customHeight="1">
      <c r="A23" s="1" t="s">
        <v>6</v>
      </c>
      <c r="C23" s="18">
        <v>1069</v>
      </c>
      <c r="E23" s="78">
        <v>322008</v>
      </c>
      <c r="G23" s="20">
        <f t="shared" si="0"/>
        <v>331.97932970609423</v>
      </c>
    </row>
    <row r="24" spans="1:7" ht="12.75" customHeight="1">
      <c r="A24" s="1" t="s">
        <v>7</v>
      </c>
      <c r="C24" s="18">
        <v>937</v>
      </c>
      <c r="E24" s="78">
        <v>385460</v>
      </c>
      <c r="G24" s="20">
        <f t="shared" si="0"/>
        <v>243.08618274269705</v>
      </c>
    </row>
    <row r="25" spans="1:7" ht="12.75" customHeight="1">
      <c r="A25" s="1" t="s">
        <v>8</v>
      </c>
      <c r="C25" s="18">
        <v>589</v>
      </c>
      <c r="E25" s="78">
        <v>410305</v>
      </c>
      <c r="G25" s="20">
        <f t="shared" si="0"/>
        <v>143.5517480898356</v>
      </c>
    </row>
    <row r="26" spans="1:7" ht="12.75" customHeight="1">
      <c r="A26" s="1" t="s">
        <v>9</v>
      </c>
      <c r="C26" s="18">
        <v>291</v>
      </c>
      <c r="E26" s="78">
        <v>384707</v>
      </c>
      <c r="G26" s="20">
        <f t="shared" si="0"/>
        <v>75.641982079868569</v>
      </c>
    </row>
    <row r="27" spans="1:7" ht="12.75" customHeight="1">
      <c r="A27" s="1" t="s">
        <v>10</v>
      </c>
      <c r="C27" s="18">
        <v>106</v>
      </c>
      <c r="E27" s="78">
        <v>339288</v>
      </c>
      <c r="G27" s="20">
        <f t="shared" si="0"/>
        <v>31.241894791445617</v>
      </c>
    </row>
    <row r="28" spans="1:7" ht="12.75" customHeight="1">
      <c r="A28" s="1" t="s">
        <v>11</v>
      </c>
      <c r="C28" s="18">
        <v>59</v>
      </c>
      <c r="E28" s="78">
        <v>322638</v>
      </c>
      <c r="G28" s="20">
        <f t="shared" si="0"/>
        <v>18.286748616096059</v>
      </c>
    </row>
    <row r="29" spans="1:7" ht="12.75" customHeight="1">
      <c r="A29" s="1" t="s">
        <v>12</v>
      </c>
      <c r="C29" s="18">
        <v>30</v>
      </c>
      <c r="E29" s="78">
        <v>285732</v>
      </c>
      <c r="G29" s="20">
        <f t="shared" si="0"/>
        <v>10.499349040359498</v>
      </c>
    </row>
    <row r="30" spans="1:7" ht="12.75" customHeight="1">
      <c r="A30" s="1" t="s">
        <v>13</v>
      </c>
      <c r="C30" s="18">
        <v>13</v>
      </c>
      <c r="E30" s="78">
        <v>221533</v>
      </c>
      <c r="G30" s="20">
        <f t="shared" si="0"/>
        <v>5.8682002229916082</v>
      </c>
    </row>
    <row r="31" spans="1:7" ht="12.75" customHeight="1">
      <c r="A31" s="1" t="s">
        <v>14</v>
      </c>
      <c r="C31" s="18">
        <v>9</v>
      </c>
      <c r="E31" s="78">
        <v>180611</v>
      </c>
      <c r="G31" s="20">
        <f t="shared" si="0"/>
        <v>4.9830851941465362</v>
      </c>
    </row>
    <row r="32" spans="1:7" ht="12.75" customHeight="1">
      <c r="A32" s="1" t="s">
        <v>15</v>
      </c>
      <c r="C32" s="18">
        <v>14</v>
      </c>
      <c r="E32" s="78">
        <v>128633</v>
      </c>
      <c r="G32" s="20">
        <f t="shared" si="0"/>
        <v>10.883676816990974</v>
      </c>
    </row>
    <row r="33" spans="1:12" ht="12.75" customHeight="1">
      <c r="A33" s="1" t="s">
        <v>44</v>
      </c>
      <c r="C33" s="26">
        <v>5</v>
      </c>
      <c r="D33" s="39"/>
      <c r="E33" s="79">
        <v>72337</v>
      </c>
      <c r="G33" s="20">
        <f t="shared" si="0"/>
        <v>6.9120920137688877</v>
      </c>
    </row>
    <row r="34" spans="1:12" ht="12.75" customHeight="1">
      <c r="A34" s="14" t="s">
        <v>45</v>
      </c>
      <c r="B34" s="14"/>
      <c r="C34" s="41">
        <v>4</v>
      </c>
      <c r="D34" s="42"/>
      <c r="E34" s="80">
        <v>36905</v>
      </c>
      <c r="F34" s="14"/>
      <c r="G34" s="21">
        <f t="shared" si="0"/>
        <v>10.838639750711286</v>
      </c>
    </row>
    <row r="35" spans="1:12" ht="12.75" customHeight="1">
      <c r="C35" s="18"/>
      <c r="E35" s="19"/>
      <c r="G35" s="20"/>
    </row>
    <row r="36" spans="1:12" ht="12.75" customHeight="1">
      <c r="A36" s="1" t="s">
        <v>16</v>
      </c>
      <c r="C36" s="18">
        <f>SUM(C16:C34)</f>
        <v>5683</v>
      </c>
      <c r="E36" s="78">
        <f>SUM(E16:E34)</f>
        <v>5313600</v>
      </c>
      <c r="G36" s="20">
        <f>C36/E36*100000</f>
        <v>106.95197229750075</v>
      </c>
      <c r="H36" s="11"/>
    </row>
    <row r="37" spans="1:12" ht="12.75" customHeight="1"/>
    <row r="38" spans="1:12" ht="12.75" customHeight="1">
      <c r="B38" s="39" t="s">
        <v>47</v>
      </c>
      <c r="C38" s="39"/>
      <c r="D38" s="39"/>
      <c r="E38" s="39"/>
      <c r="F38" s="39"/>
    </row>
    <row r="39" spans="1:12" ht="12.75" customHeight="1">
      <c r="B39" s="44" t="s">
        <v>36</v>
      </c>
      <c r="C39" s="342">
        <f>100000*C36/E36</f>
        <v>106.95197229750076</v>
      </c>
      <c r="D39" s="44" t="s">
        <v>42</v>
      </c>
      <c r="E39" s="39"/>
      <c r="F39" s="39"/>
    </row>
    <row r="40" spans="1:12" ht="12.75" customHeight="1"/>
    <row r="41" spans="1:12" ht="12.75" customHeight="1"/>
    <row r="42" spans="1:12" ht="12.75" customHeight="1"/>
    <row r="43" spans="1:12" ht="12.75" customHeight="1"/>
    <row r="44" spans="1:12" ht="12.75" customHeight="1">
      <c r="A44" s="5" t="s">
        <v>67</v>
      </c>
      <c r="C44" s="4"/>
      <c r="F44" s="4"/>
      <c r="G44" s="4"/>
      <c r="I44" s="4"/>
    </row>
    <row r="45" spans="1:12" s="2" customFormat="1" ht="12.75" customHeight="1">
      <c r="C45" s="8"/>
      <c r="F45" s="8"/>
      <c r="G45" s="8"/>
      <c r="I45" s="8"/>
    </row>
    <row r="46" spans="1:12" s="2" customFormat="1" ht="12.75" customHeight="1">
      <c r="A46" s="2" t="s">
        <v>48</v>
      </c>
      <c r="C46" s="8"/>
      <c r="F46" s="8"/>
      <c r="G46" s="8"/>
      <c r="I46" s="8"/>
    </row>
    <row r="47" spans="1:12" ht="12.75" customHeight="1">
      <c r="C47" s="4"/>
      <c r="F47" s="4"/>
      <c r="G47" s="4"/>
      <c r="I47" s="4"/>
    </row>
    <row r="48" spans="1:12" s="2" customFormat="1" ht="24.75" customHeight="1">
      <c r="C48" s="8" t="s">
        <v>20</v>
      </c>
      <c r="E48" s="373" t="s">
        <v>48</v>
      </c>
      <c r="F48" s="373"/>
      <c r="G48" s="373"/>
      <c r="H48" s="373"/>
      <c r="I48" s="8"/>
      <c r="L48" s="8" t="s">
        <v>21</v>
      </c>
    </row>
    <row r="49" spans="1:14" s="6" customFormat="1" ht="12.75" customHeight="1">
      <c r="A49" s="16" t="s">
        <v>0</v>
      </c>
      <c r="B49" s="16"/>
      <c r="C49" s="17" t="s">
        <v>72</v>
      </c>
      <c r="D49" s="16"/>
      <c r="E49" s="16" t="s">
        <v>18</v>
      </c>
      <c r="F49" s="16"/>
      <c r="G49" s="17" t="s">
        <v>22</v>
      </c>
      <c r="H49" s="17" t="s">
        <v>23</v>
      </c>
      <c r="I49" s="16"/>
      <c r="J49" s="17" t="s">
        <v>24</v>
      </c>
      <c r="K49" s="16"/>
      <c r="L49" s="17" t="s">
        <v>25</v>
      </c>
    </row>
    <row r="50" spans="1:14" ht="12.75" customHeight="1">
      <c r="C50" s="4" t="s">
        <v>26</v>
      </c>
      <c r="E50" s="4" t="s">
        <v>27</v>
      </c>
      <c r="G50" s="4" t="s">
        <v>28</v>
      </c>
      <c r="H50" s="4" t="s">
        <v>29</v>
      </c>
      <c r="J50" s="4"/>
      <c r="L50" s="4"/>
    </row>
    <row r="51" spans="1:14" ht="12.75" customHeight="1">
      <c r="A51" s="1" t="s">
        <v>1</v>
      </c>
      <c r="C51" s="22">
        <v>5000</v>
      </c>
      <c r="E51" s="19">
        <v>295871</v>
      </c>
      <c r="G51" s="20">
        <f>H51/E51*100000</f>
        <v>0</v>
      </c>
      <c r="H51" s="18">
        <v>0</v>
      </c>
      <c r="J51" s="24">
        <f t="shared" ref="J51:J69" si="1">G51*C51</f>
        <v>0</v>
      </c>
      <c r="L51" s="37">
        <f t="shared" ref="L51:L69" si="2">(G51*C51*C51*100000/E51)</f>
        <v>0</v>
      </c>
      <c r="N51" s="45"/>
    </row>
    <row r="52" spans="1:14" ht="12.75" customHeight="1">
      <c r="A52" s="1" t="str">
        <f>"5-9"</f>
        <v>5-9</v>
      </c>
      <c r="C52" s="22">
        <v>5500</v>
      </c>
      <c r="E52" s="19">
        <v>275541</v>
      </c>
      <c r="G52" s="20">
        <f t="shared" ref="G52:G69" si="3">H52/E52*100000</f>
        <v>0.36292239630399831</v>
      </c>
      <c r="H52" s="18">
        <v>1</v>
      </c>
      <c r="J52" s="24">
        <f t="shared" si="1"/>
        <v>1996.0731796719906</v>
      </c>
      <c r="L52" s="37">
        <f t="shared" si="2"/>
        <v>3984308.1386058512</v>
      </c>
      <c r="N52" s="45"/>
    </row>
    <row r="53" spans="1:14" ht="12.75" customHeight="1">
      <c r="A53" s="1" t="str">
        <f>"10-14"</f>
        <v>10-14</v>
      </c>
      <c r="C53" s="22">
        <v>5500</v>
      </c>
      <c r="E53" s="19">
        <v>281597</v>
      </c>
      <c r="G53" s="20">
        <f t="shared" si="3"/>
        <v>5.3267612936217361</v>
      </c>
      <c r="H53" s="18">
        <v>15</v>
      </c>
      <c r="J53" s="24">
        <f t="shared" si="1"/>
        <v>29297.18711491955</v>
      </c>
      <c r="L53" s="37">
        <f t="shared" si="2"/>
        <v>57221678.189773865</v>
      </c>
      <c r="N53" s="45"/>
    </row>
    <row r="54" spans="1:14" ht="12.75" customHeight="1">
      <c r="A54" s="1" t="s">
        <v>2</v>
      </c>
      <c r="C54" s="22">
        <v>5500</v>
      </c>
      <c r="E54" s="19">
        <v>319783</v>
      </c>
      <c r="G54" s="20">
        <f t="shared" si="3"/>
        <v>65.982244209354477</v>
      </c>
      <c r="H54" s="18">
        <v>211</v>
      </c>
      <c r="J54" s="24">
        <f t="shared" si="1"/>
        <v>362902.34315144963</v>
      </c>
      <c r="L54" s="37">
        <f t="shared" si="2"/>
        <v>624161661.91854262</v>
      </c>
      <c r="N54" s="45"/>
    </row>
    <row r="55" spans="1:14" ht="12.75" customHeight="1">
      <c r="A55" s="1" t="s">
        <v>3</v>
      </c>
      <c r="C55" s="22">
        <v>6000</v>
      </c>
      <c r="E55" s="19">
        <v>370639</v>
      </c>
      <c r="G55" s="20">
        <f t="shared" si="3"/>
        <v>138.94922013063925</v>
      </c>
      <c r="H55" s="18">
        <v>515</v>
      </c>
      <c r="J55" s="24">
        <f t="shared" si="1"/>
        <v>833695.32078383549</v>
      </c>
      <c r="L55" s="37">
        <f t="shared" si="2"/>
        <v>1349607549.3142958</v>
      </c>
      <c r="N55" s="45"/>
    </row>
    <row r="56" spans="1:14" ht="12.75" customHeight="1">
      <c r="A56" s="1" t="s">
        <v>4</v>
      </c>
      <c r="C56" s="22">
        <v>6000</v>
      </c>
      <c r="E56" s="19">
        <v>347050</v>
      </c>
      <c r="G56" s="20">
        <f t="shared" si="3"/>
        <v>214.37833165249967</v>
      </c>
      <c r="H56" s="18">
        <v>744</v>
      </c>
      <c r="J56" s="24">
        <f t="shared" si="1"/>
        <v>1286269.9899149979</v>
      </c>
      <c r="L56" s="37">
        <f t="shared" si="2"/>
        <v>2223777536.2310872</v>
      </c>
      <c r="N56" s="45"/>
    </row>
    <row r="57" spans="1:14" ht="12.75" customHeight="1">
      <c r="A57" s="1" t="s">
        <v>5</v>
      </c>
      <c r="C57" s="22">
        <v>6500</v>
      </c>
      <c r="E57" s="19">
        <v>332962</v>
      </c>
      <c r="G57" s="20">
        <f t="shared" si="3"/>
        <v>321.65832737669763</v>
      </c>
      <c r="H57" s="18">
        <v>1071</v>
      </c>
      <c r="J57" s="24">
        <f t="shared" si="1"/>
        <v>2090779.1279485347</v>
      </c>
      <c r="L57" s="37">
        <f t="shared" si="2"/>
        <v>4081566164.2065687</v>
      </c>
      <c r="N57" s="45"/>
    </row>
    <row r="58" spans="1:14" ht="12.75" customHeight="1">
      <c r="A58" s="1" t="s">
        <v>6</v>
      </c>
      <c r="C58" s="22">
        <v>7000</v>
      </c>
      <c r="E58" s="19">
        <v>322008</v>
      </c>
      <c r="G58" s="20">
        <f t="shared" si="3"/>
        <v>331.97932970609423</v>
      </c>
      <c r="H58" s="18">
        <v>1069</v>
      </c>
      <c r="J58" s="24">
        <f t="shared" si="1"/>
        <v>2323855.3079426596</v>
      </c>
      <c r="L58" s="37">
        <f t="shared" si="2"/>
        <v>5051733856.1770573</v>
      </c>
      <c r="N58" s="45"/>
    </row>
    <row r="59" spans="1:14" ht="12.75" customHeight="1">
      <c r="A59" s="1" t="s">
        <v>7</v>
      </c>
      <c r="C59" s="22">
        <v>7000</v>
      </c>
      <c r="E59" s="19">
        <v>385460</v>
      </c>
      <c r="G59" s="20">
        <f t="shared" si="3"/>
        <v>243.08618274269705</v>
      </c>
      <c r="H59" s="18">
        <v>937</v>
      </c>
      <c r="J59" s="24">
        <f t="shared" si="1"/>
        <v>1701603.2791988794</v>
      </c>
      <c r="L59" s="37">
        <f t="shared" si="2"/>
        <v>3090132038.1861038</v>
      </c>
      <c r="N59" s="45"/>
    </row>
    <row r="60" spans="1:14" ht="12.75" customHeight="1">
      <c r="A60" s="1" t="s">
        <v>8</v>
      </c>
      <c r="C60" s="22">
        <v>7000</v>
      </c>
      <c r="E60" s="19">
        <v>410305</v>
      </c>
      <c r="G60" s="20">
        <f t="shared" si="3"/>
        <v>143.55174808983563</v>
      </c>
      <c r="H60" s="18">
        <v>589</v>
      </c>
      <c r="J60" s="24">
        <f t="shared" si="1"/>
        <v>1004862.2366288494</v>
      </c>
      <c r="L60" s="37">
        <f t="shared" si="2"/>
        <v>1714343148.7312965</v>
      </c>
      <c r="N60" s="45"/>
    </row>
    <row r="61" spans="1:14" ht="12.75" customHeight="1">
      <c r="A61" s="1" t="s">
        <v>9</v>
      </c>
      <c r="C61" s="22">
        <v>7000</v>
      </c>
      <c r="E61" s="19">
        <v>384707</v>
      </c>
      <c r="G61" s="20">
        <f t="shared" si="3"/>
        <v>75.641982079868583</v>
      </c>
      <c r="H61" s="18">
        <v>291</v>
      </c>
      <c r="J61" s="24">
        <f t="shared" si="1"/>
        <v>529493.87455908011</v>
      </c>
      <c r="L61" s="37">
        <f t="shared" si="2"/>
        <v>963449358.06043577</v>
      </c>
      <c r="N61" s="45"/>
    </row>
    <row r="62" spans="1:14" ht="12.75" customHeight="1">
      <c r="A62" s="1" t="s">
        <v>10</v>
      </c>
      <c r="C62" s="22">
        <v>6500</v>
      </c>
      <c r="E62" s="19">
        <v>339288</v>
      </c>
      <c r="G62" s="20">
        <f t="shared" si="3"/>
        <v>31.241894791445613</v>
      </c>
      <c r="H62" s="18">
        <v>106</v>
      </c>
      <c r="J62" s="24">
        <f t="shared" si="1"/>
        <v>203072.31614439649</v>
      </c>
      <c r="L62" s="37">
        <f t="shared" si="2"/>
        <v>389041184.75707281</v>
      </c>
      <c r="N62" s="45"/>
    </row>
    <row r="63" spans="1:14" ht="12.75" customHeight="1">
      <c r="A63" s="1" t="s">
        <v>11</v>
      </c>
      <c r="C63" s="22">
        <v>6000</v>
      </c>
      <c r="E63" s="19">
        <v>322638</v>
      </c>
      <c r="G63" s="20">
        <f t="shared" si="3"/>
        <v>18.286748616096059</v>
      </c>
      <c r="H63" s="18">
        <v>59</v>
      </c>
      <c r="J63" s="24">
        <f t="shared" si="1"/>
        <v>109720.49169657636</v>
      </c>
      <c r="L63" s="37">
        <f t="shared" si="2"/>
        <v>204043835.56166914</v>
      </c>
      <c r="N63" s="45"/>
    </row>
    <row r="64" spans="1:14" ht="12.75" customHeight="1">
      <c r="A64" s="1" t="s">
        <v>12</v>
      </c>
      <c r="C64" s="22">
        <v>5500</v>
      </c>
      <c r="E64" s="19">
        <v>285732</v>
      </c>
      <c r="G64" s="20">
        <f t="shared" si="3"/>
        <v>10.499349040359498</v>
      </c>
      <c r="H64" s="18">
        <v>30</v>
      </c>
      <c r="J64" s="24">
        <f t="shared" si="1"/>
        <v>57746.41972197724</v>
      </c>
      <c r="L64" s="37">
        <f t="shared" si="2"/>
        <v>111154966.35689206</v>
      </c>
      <c r="N64" s="45"/>
    </row>
    <row r="65" spans="1:15" ht="12.75" customHeight="1">
      <c r="A65" s="1" t="s">
        <v>13</v>
      </c>
      <c r="C65" s="22">
        <v>5000</v>
      </c>
      <c r="E65" s="19">
        <v>221533</v>
      </c>
      <c r="G65" s="20">
        <f t="shared" si="3"/>
        <v>5.8682002229916082</v>
      </c>
      <c r="H65" s="18">
        <v>13</v>
      </c>
      <c r="J65" s="24">
        <f t="shared" si="1"/>
        <v>29341.001114958042</v>
      </c>
      <c r="L65" s="37">
        <f t="shared" si="2"/>
        <v>66222642.032920703</v>
      </c>
      <c r="N65" s="45"/>
    </row>
    <row r="66" spans="1:15" ht="12.75" customHeight="1">
      <c r="A66" s="1" t="s">
        <v>14</v>
      </c>
      <c r="C66" s="22">
        <v>4000</v>
      </c>
      <c r="E66" s="19">
        <v>180611</v>
      </c>
      <c r="G66" s="20">
        <f t="shared" si="3"/>
        <v>4.9830851941465362</v>
      </c>
      <c r="H66" s="18">
        <v>9</v>
      </c>
      <c r="J66" s="24">
        <f t="shared" si="1"/>
        <v>19932.340776586145</v>
      </c>
      <c r="L66" s="37">
        <f t="shared" si="2"/>
        <v>44144245.425995417</v>
      </c>
      <c r="N66" s="45"/>
    </row>
    <row r="67" spans="1:15" ht="12.75" customHeight="1">
      <c r="A67" s="1" t="s">
        <v>15</v>
      </c>
      <c r="C67" s="22">
        <v>2500</v>
      </c>
      <c r="E67" s="19">
        <v>128633</v>
      </c>
      <c r="G67" s="20">
        <f t="shared" si="3"/>
        <v>10.883676816990974</v>
      </c>
      <c r="H67" s="18">
        <v>14</v>
      </c>
      <c r="J67" s="24">
        <f t="shared" si="1"/>
        <v>27209.192042477436</v>
      </c>
      <c r="L67" s="37">
        <f t="shared" si="2"/>
        <v>52881437.971744098</v>
      </c>
      <c r="N67" s="45"/>
    </row>
    <row r="68" spans="1:15" ht="12.75" customHeight="1">
      <c r="A68" s="1" t="s">
        <v>44</v>
      </c>
      <c r="C68" s="22">
        <v>1500</v>
      </c>
      <c r="E68" s="40">
        <v>72337</v>
      </c>
      <c r="G68" s="20">
        <f t="shared" si="3"/>
        <v>6.9120920137688877</v>
      </c>
      <c r="H68" s="26">
        <v>5</v>
      </c>
      <c r="J68" s="24">
        <f t="shared" si="1"/>
        <v>10368.138020653332</v>
      </c>
      <c r="L68" s="37">
        <f t="shared" si="2"/>
        <v>21499657.203063436</v>
      </c>
      <c r="N68" s="45"/>
    </row>
    <row r="69" spans="1:15" ht="12.75" customHeight="1">
      <c r="A69" s="14" t="s">
        <v>45</v>
      </c>
      <c r="B69" s="14"/>
      <c r="C69" s="23">
        <v>1000</v>
      </c>
      <c r="D69" s="14"/>
      <c r="E69" s="43">
        <v>36905</v>
      </c>
      <c r="F69" s="14"/>
      <c r="G69" s="21">
        <f t="shared" si="3"/>
        <v>10.838639750711286</v>
      </c>
      <c r="H69" s="41">
        <v>4</v>
      </c>
      <c r="I69" s="14"/>
      <c r="J69" s="25">
        <f t="shared" si="1"/>
        <v>10838.639750711285</v>
      </c>
      <c r="K69" s="14"/>
      <c r="L69" s="38">
        <f t="shared" si="2"/>
        <v>29369027.911424696</v>
      </c>
      <c r="N69" s="45"/>
    </row>
    <row r="70" spans="1:15" ht="12.75" customHeight="1">
      <c r="C70" s="22"/>
      <c r="E70" s="19"/>
      <c r="G70" s="20"/>
      <c r="H70" s="18"/>
      <c r="J70" s="24"/>
      <c r="L70" s="10"/>
    </row>
    <row r="71" spans="1:15" ht="12.75" customHeight="1">
      <c r="A71" s="1" t="s">
        <v>16</v>
      </c>
      <c r="C71" s="22">
        <f>SUM(C51:C69)</f>
        <v>100000</v>
      </c>
      <c r="E71" s="19">
        <f>SUM(E51:E69)</f>
        <v>5313600</v>
      </c>
      <c r="G71" s="20">
        <f>H71/E71*100000</f>
        <v>106.95197229750075</v>
      </c>
      <c r="H71" s="18">
        <f>SUM(H51:H70)</f>
        <v>5683</v>
      </c>
      <c r="J71" s="24">
        <f>SUM(J51:J69)</f>
        <v>10632983.279691214</v>
      </c>
      <c r="K71" s="3" t="s">
        <v>31</v>
      </c>
      <c r="L71" s="10">
        <f>SUM(L51:L69)/(C71*C71)</f>
        <v>2.0078334296374551</v>
      </c>
      <c r="N71" s="353">
        <f>(SUM(L124:L142)+SUM(L89:L107))/((C144+C144)*(C144+C144))</f>
        <v>2.0449779346818748</v>
      </c>
    </row>
    <row r="72" spans="1:15" ht="12.75" customHeight="1">
      <c r="C72" s="4"/>
      <c r="F72" s="4"/>
      <c r="G72" s="28"/>
      <c r="I72" s="4"/>
      <c r="J72" s="27"/>
      <c r="K72" s="3"/>
      <c r="L72" s="10"/>
    </row>
    <row r="73" spans="1:15" ht="12.75" customHeight="1">
      <c r="C73" s="4"/>
      <c r="E73" s="39" t="s">
        <v>144</v>
      </c>
      <c r="F73" s="59" t="s">
        <v>145</v>
      </c>
      <c r="G73" s="47"/>
      <c r="H73" s="39"/>
      <c r="I73" s="82"/>
      <c r="K73" s="48" t="s">
        <v>32</v>
      </c>
      <c r="L73" s="49">
        <f>SQRT(L71)</f>
        <v>1.4169803914089478</v>
      </c>
    </row>
    <row r="74" spans="1:15" ht="12.75" customHeight="1">
      <c r="C74" s="4"/>
      <c r="E74" s="44" t="s">
        <v>36</v>
      </c>
      <c r="F74" s="339">
        <f>G71</f>
        <v>106.95197229750075</v>
      </c>
      <c r="G74" s="44" t="s">
        <v>42</v>
      </c>
      <c r="H74" s="39"/>
      <c r="I74" s="47"/>
      <c r="K74" s="39"/>
      <c r="L74" s="39"/>
    </row>
    <row r="75" spans="1:15" ht="12.75" customHeight="1">
      <c r="C75" s="4"/>
      <c r="E75" s="39" t="s">
        <v>37</v>
      </c>
      <c r="F75" s="47"/>
      <c r="G75" s="47"/>
      <c r="H75" s="39"/>
      <c r="I75" s="47"/>
      <c r="J75" s="39"/>
      <c r="K75" s="39"/>
      <c r="L75" s="39"/>
    </row>
    <row r="76" spans="1:15" s="2" customFormat="1" ht="12.75" customHeight="1">
      <c r="C76" s="8"/>
      <c r="F76" s="50"/>
      <c r="G76" s="51"/>
      <c r="H76" s="50"/>
      <c r="I76" s="51"/>
      <c r="J76" s="52" t="s">
        <v>35</v>
      </c>
      <c r="K76" s="53"/>
      <c r="L76" s="53"/>
      <c r="O76" s="46"/>
    </row>
    <row r="77" spans="1:15" ht="12.75" customHeight="1">
      <c r="C77" s="1" t="s">
        <v>146</v>
      </c>
      <c r="F77" s="39" t="s">
        <v>143</v>
      </c>
      <c r="G77" s="47"/>
      <c r="H77" s="39"/>
      <c r="I77" s="82"/>
      <c r="J77" s="54" t="s">
        <v>33</v>
      </c>
      <c r="K77" s="83">
        <f>F78-1.96*L73</f>
        <v>103.55255122975061</v>
      </c>
      <c r="L77" s="44" t="s">
        <v>42</v>
      </c>
      <c r="O77" s="46"/>
    </row>
    <row r="78" spans="1:15" s="2" customFormat="1" ht="12.75" customHeight="1">
      <c r="C78" s="340" t="s">
        <v>146</v>
      </c>
      <c r="D78" s="338"/>
      <c r="E78" s="340"/>
      <c r="F78" s="341">
        <f>J71/C71</f>
        <v>106.32983279691214</v>
      </c>
      <c r="G78" s="340" t="s">
        <v>42</v>
      </c>
      <c r="H78" s="50"/>
      <c r="I78" s="51"/>
      <c r="J78" s="54" t="s">
        <v>34</v>
      </c>
      <c r="K78" s="83">
        <f>F78+1.96*L73</f>
        <v>109.10711436407368</v>
      </c>
      <c r="L78" s="44" t="s">
        <v>42</v>
      </c>
    </row>
    <row r="80" spans="1:15" ht="15.75">
      <c r="A80" s="5" t="s">
        <v>59</v>
      </c>
      <c r="C80" s="4"/>
      <c r="F80" s="4"/>
      <c r="G80" s="4"/>
      <c r="I80" s="4"/>
    </row>
    <row r="81" spans="1:12">
      <c r="A81" s="2"/>
      <c r="B81" s="2"/>
      <c r="C81" s="8"/>
      <c r="D81" s="2"/>
      <c r="E81" s="2"/>
      <c r="F81" s="8"/>
      <c r="G81" s="8"/>
      <c r="H81" s="2"/>
      <c r="I81" s="8"/>
      <c r="J81" s="2"/>
      <c r="K81" s="2"/>
      <c r="L81" s="2"/>
    </row>
    <row r="82" spans="1:12" ht="15">
      <c r="A82" s="68" t="s">
        <v>60</v>
      </c>
      <c r="B82" s="2"/>
      <c r="C82" s="8"/>
      <c r="D82" s="2"/>
      <c r="E82" s="2"/>
      <c r="F82" s="8"/>
      <c r="G82" s="8"/>
      <c r="H82" s="2"/>
      <c r="I82" s="8"/>
      <c r="J82" s="2"/>
      <c r="K82" s="2"/>
      <c r="L82" s="2"/>
    </row>
    <row r="83" spans="1:12">
      <c r="A83" s="2"/>
      <c r="B83" s="2"/>
      <c r="C83" s="8"/>
      <c r="D83" s="2"/>
      <c r="E83" s="2"/>
      <c r="F83" s="8"/>
      <c r="G83" s="8"/>
      <c r="H83" s="2"/>
      <c r="I83" s="8"/>
      <c r="J83" s="2"/>
      <c r="K83" s="2"/>
      <c r="L83" s="2"/>
    </row>
    <row r="84" spans="1:12">
      <c r="A84" s="2" t="s">
        <v>56</v>
      </c>
      <c r="B84" s="2"/>
      <c r="C84" s="8"/>
      <c r="D84" s="2"/>
      <c r="E84" s="2"/>
      <c r="F84" s="8"/>
      <c r="G84" s="8"/>
      <c r="H84" s="2"/>
      <c r="I84" s="8"/>
      <c r="J84" s="2"/>
      <c r="K84" s="2"/>
      <c r="L84" s="2"/>
    </row>
    <row r="85" spans="1:12">
      <c r="C85" s="4"/>
      <c r="F85" s="4"/>
      <c r="G85" s="4"/>
      <c r="I85" s="4"/>
    </row>
    <row r="86" spans="1:12" ht="30.75" customHeight="1">
      <c r="A86" s="2"/>
      <c r="B86" s="2"/>
      <c r="C86" s="8" t="s">
        <v>20</v>
      </c>
      <c r="D86" s="2"/>
      <c r="E86" s="373" t="s">
        <v>48</v>
      </c>
      <c r="F86" s="373"/>
      <c r="G86" s="373"/>
      <c r="H86" s="373"/>
      <c r="I86" s="8"/>
      <c r="J86" s="2"/>
      <c r="K86" s="2"/>
      <c r="L86" s="8" t="s">
        <v>21</v>
      </c>
    </row>
    <row r="87" spans="1:12" ht="14.25">
      <c r="A87" s="16" t="s">
        <v>0</v>
      </c>
      <c r="B87" s="16"/>
      <c r="C87" s="17" t="s">
        <v>72</v>
      </c>
      <c r="D87" s="16"/>
      <c r="E87" s="16" t="s">
        <v>18</v>
      </c>
      <c r="F87" s="16"/>
      <c r="G87" s="17" t="s">
        <v>22</v>
      </c>
      <c r="H87" s="17" t="s">
        <v>23</v>
      </c>
      <c r="I87" s="16"/>
      <c r="J87" s="17" t="s">
        <v>24</v>
      </c>
      <c r="K87" s="16"/>
      <c r="L87" s="17" t="s">
        <v>25</v>
      </c>
    </row>
    <row r="88" spans="1:12">
      <c r="C88" s="4" t="s">
        <v>26</v>
      </c>
      <c r="E88" s="4" t="s">
        <v>27</v>
      </c>
      <c r="G88" s="4" t="s">
        <v>28</v>
      </c>
      <c r="H88" s="4" t="s">
        <v>29</v>
      </c>
      <c r="J88" s="4"/>
      <c r="L88" s="4"/>
    </row>
    <row r="89" spans="1:12">
      <c r="A89" s="1" t="s">
        <v>1</v>
      </c>
      <c r="C89" s="22">
        <v>5000</v>
      </c>
      <c r="E89" s="19">
        <v>151028</v>
      </c>
      <c r="G89" s="20">
        <f>H89/E89*100000</f>
        <v>0</v>
      </c>
      <c r="H89" s="18">
        <v>0</v>
      </c>
      <c r="J89" s="24">
        <f t="shared" ref="J89:J107" si="4">G89*C89</f>
        <v>0</v>
      </c>
      <c r="L89" s="351">
        <f t="shared" ref="L89:L106" si="5">(G89*C89*C89*100000/E89)</f>
        <v>0</v>
      </c>
    </row>
    <row r="90" spans="1:12">
      <c r="A90" s="1" t="str">
        <f>"5-9"</f>
        <v>5-9</v>
      </c>
      <c r="C90" s="22">
        <v>5500</v>
      </c>
      <c r="E90" s="19">
        <v>141094</v>
      </c>
      <c r="G90" s="20">
        <f t="shared" ref="G90:G107" si="6">H90/E90*100000</f>
        <v>0</v>
      </c>
      <c r="H90" s="18">
        <v>0</v>
      </c>
      <c r="J90" s="24">
        <f t="shared" si="4"/>
        <v>0</v>
      </c>
      <c r="L90" s="351">
        <f t="shared" si="5"/>
        <v>0</v>
      </c>
    </row>
    <row r="91" spans="1:12">
      <c r="A91" s="1" t="str">
        <f>"10-14"</f>
        <v>10-14</v>
      </c>
      <c r="C91" s="22">
        <v>5500</v>
      </c>
      <c r="E91" s="19">
        <v>144077</v>
      </c>
      <c r="G91" s="20">
        <f t="shared" si="6"/>
        <v>2.7762932320911737</v>
      </c>
      <c r="H91" s="18">
        <v>4</v>
      </c>
      <c r="J91" s="24">
        <f t="shared" si="4"/>
        <v>15269.612776501455</v>
      </c>
      <c r="L91" s="351">
        <f t="shared" si="5"/>
        <v>58290268.586074121</v>
      </c>
    </row>
    <row r="92" spans="1:12">
      <c r="A92" s="1" t="s">
        <v>2</v>
      </c>
      <c r="C92" s="22">
        <v>5500</v>
      </c>
      <c r="E92" s="19">
        <v>163400</v>
      </c>
      <c r="G92" s="20">
        <f t="shared" si="6"/>
        <v>85.67931456548348</v>
      </c>
      <c r="H92" s="18">
        <v>140</v>
      </c>
      <c r="J92" s="24">
        <f t="shared" si="4"/>
        <v>471236.23011015914</v>
      </c>
      <c r="L92" s="351">
        <f t="shared" si="5"/>
        <v>1586168461.2031062</v>
      </c>
    </row>
    <row r="93" spans="1:12">
      <c r="A93" s="1" t="s">
        <v>3</v>
      </c>
      <c r="C93" s="22">
        <v>6000</v>
      </c>
      <c r="E93" s="19">
        <v>184447</v>
      </c>
      <c r="G93" s="20">
        <f t="shared" si="6"/>
        <v>195.17801861781433</v>
      </c>
      <c r="H93" s="18">
        <v>360</v>
      </c>
      <c r="J93" s="24">
        <f t="shared" si="4"/>
        <v>1171068.111706886</v>
      </c>
      <c r="L93" s="351">
        <f t="shared" si="5"/>
        <v>3809445895.157588</v>
      </c>
    </row>
    <row r="94" spans="1:12">
      <c r="A94" s="1" t="s">
        <v>4</v>
      </c>
      <c r="C94" s="22">
        <v>6000</v>
      </c>
      <c r="E94" s="19">
        <v>170737</v>
      </c>
      <c r="G94" s="20">
        <f t="shared" si="6"/>
        <v>267.07743488523283</v>
      </c>
      <c r="H94" s="18">
        <v>456</v>
      </c>
      <c r="J94" s="24">
        <f t="shared" si="4"/>
        <v>1602464.609311397</v>
      </c>
      <c r="L94" s="351">
        <f t="shared" si="5"/>
        <v>5631343912.4901934</v>
      </c>
    </row>
    <row r="95" spans="1:12">
      <c r="A95" s="1" t="s">
        <v>5</v>
      </c>
      <c r="C95" s="22">
        <v>6500</v>
      </c>
      <c r="E95" s="19">
        <v>163281</v>
      </c>
      <c r="G95" s="20">
        <f t="shared" si="6"/>
        <v>410.94799762372838</v>
      </c>
      <c r="H95" s="18">
        <v>671</v>
      </c>
      <c r="J95" s="24">
        <f t="shared" si="4"/>
        <v>2671161.9845542344</v>
      </c>
      <c r="L95" s="351">
        <f t="shared" si="5"/>
        <v>10633541501.829683</v>
      </c>
    </row>
    <row r="96" spans="1:12">
      <c r="A96" s="1" t="s">
        <v>6</v>
      </c>
      <c r="C96" s="22">
        <v>7000</v>
      </c>
      <c r="E96" s="19">
        <v>158158</v>
      </c>
      <c r="G96" s="20">
        <f t="shared" si="6"/>
        <v>475.47389319541219</v>
      </c>
      <c r="H96" s="18">
        <v>752</v>
      </c>
      <c r="J96" s="24">
        <f t="shared" si="4"/>
        <v>3328317.2523678853</v>
      </c>
      <c r="L96" s="351">
        <f t="shared" si="5"/>
        <v>14730978367.566105</v>
      </c>
    </row>
    <row r="97" spans="1:12">
      <c r="A97" s="1" t="s">
        <v>7</v>
      </c>
      <c r="C97" s="22">
        <v>7000</v>
      </c>
      <c r="E97" s="19">
        <v>186186</v>
      </c>
      <c r="G97" s="20">
        <f t="shared" si="6"/>
        <v>357.70680931971253</v>
      </c>
      <c r="H97" s="18">
        <v>666</v>
      </c>
      <c r="J97" s="24">
        <f t="shared" si="4"/>
        <v>2503947.6652379879</v>
      </c>
      <c r="L97" s="351">
        <f t="shared" si="5"/>
        <v>9414044910.2864437</v>
      </c>
    </row>
    <row r="98" spans="1:12">
      <c r="A98" s="1" t="s">
        <v>8</v>
      </c>
      <c r="C98" s="22">
        <v>7000</v>
      </c>
      <c r="E98" s="19">
        <v>199540</v>
      </c>
      <c r="G98" s="20">
        <f t="shared" si="6"/>
        <v>216.4979452741305</v>
      </c>
      <c r="H98" s="18">
        <v>432</v>
      </c>
      <c r="J98" s="24">
        <f t="shared" si="4"/>
        <v>1515485.6169189136</v>
      </c>
      <c r="L98" s="351">
        <f t="shared" si="5"/>
        <v>5316427442.3335638</v>
      </c>
    </row>
    <row r="99" spans="1:12">
      <c r="A99" s="1" t="s">
        <v>9</v>
      </c>
      <c r="C99" s="22">
        <v>7000</v>
      </c>
      <c r="E99" s="19">
        <v>188241</v>
      </c>
      <c r="G99" s="20">
        <f t="shared" si="6"/>
        <v>113.15282005514209</v>
      </c>
      <c r="H99" s="18">
        <v>213</v>
      </c>
      <c r="J99" s="24">
        <f t="shared" si="4"/>
        <v>792069.74038599466</v>
      </c>
      <c r="L99" s="351">
        <f t="shared" si="5"/>
        <v>2945420064.0147271</v>
      </c>
    </row>
    <row r="100" spans="1:12">
      <c r="A100" s="1" t="s">
        <v>10</v>
      </c>
      <c r="C100" s="22">
        <v>6500</v>
      </c>
      <c r="E100" s="19">
        <v>166198</v>
      </c>
      <c r="G100" s="20">
        <f t="shared" si="6"/>
        <v>45.728588791682206</v>
      </c>
      <c r="H100" s="18">
        <v>76</v>
      </c>
      <c r="J100" s="24">
        <f t="shared" si="4"/>
        <v>297235.82714593434</v>
      </c>
      <c r="L100" s="351">
        <f t="shared" si="5"/>
        <v>1162488643.9358916</v>
      </c>
    </row>
    <row r="101" spans="1:12">
      <c r="A101" s="1" t="s">
        <v>11</v>
      </c>
      <c r="C101" s="22">
        <v>6000</v>
      </c>
      <c r="E101" s="19">
        <v>157797</v>
      </c>
      <c r="G101" s="20">
        <f t="shared" si="6"/>
        <v>30.418829255309035</v>
      </c>
      <c r="H101" s="18">
        <v>48</v>
      </c>
      <c r="J101" s="24">
        <f t="shared" si="4"/>
        <v>182512.9755318542</v>
      </c>
      <c r="L101" s="351">
        <f t="shared" si="5"/>
        <v>693978879.94773352</v>
      </c>
    </row>
    <row r="102" spans="1:12">
      <c r="A102" s="1" t="s">
        <v>12</v>
      </c>
      <c r="C102" s="22">
        <v>5500</v>
      </c>
      <c r="E102" s="19">
        <v>137334</v>
      </c>
      <c r="G102" s="20">
        <f t="shared" si="6"/>
        <v>14.563036101766496</v>
      </c>
      <c r="H102" s="18">
        <v>20</v>
      </c>
      <c r="J102" s="24">
        <f t="shared" si="4"/>
        <v>80096.698559715733</v>
      </c>
      <c r="L102" s="351">
        <f t="shared" si="5"/>
        <v>320774056.00829846</v>
      </c>
    </row>
    <row r="103" spans="1:12">
      <c r="A103" s="1" t="s">
        <v>13</v>
      </c>
      <c r="C103" s="22">
        <v>5000</v>
      </c>
      <c r="E103" s="19">
        <v>101619</v>
      </c>
      <c r="G103" s="20">
        <f t="shared" si="6"/>
        <v>6.8884755803540667</v>
      </c>
      <c r="H103" s="18">
        <v>7</v>
      </c>
      <c r="J103" s="24">
        <f t="shared" si="4"/>
        <v>34442.377901770335</v>
      </c>
      <c r="L103" s="351">
        <f t="shared" si="5"/>
        <v>169468199.36119395</v>
      </c>
    </row>
    <row r="104" spans="1:12">
      <c r="A104" s="1" t="s">
        <v>14</v>
      </c>
      <c r="C104" s="22">
        <v>4000</v>
      </c>
      <c r="E104" s="19">
        <v>78407</v>
      </c>
      <c r="G104" s="20">
        <f t="shared" si="6"/>
        <v>7.6523779764561839</v>
      </c>
      <c r="H104" s="18">
        <v>6</v>
      </c>
      <c r="J104" s="24">
        <f t="shared" si="4"/>
        <v>30609.511905824736</v>
      </c>
      <c r="L104" s="351">
        <f t="shared" si="5"/>
        <v>156157036.51880437</v>
      </c>
    </row>
    <row r="105" spans="1:12">
      <c r="A105" s="1" t="s">
        <v>15</v>
      </c>
      <c r="C105" s="22">
        <v>2500</v>
      </c>
      <c r="E105" s="19">
        <v>50919</v>
      </c>
      <c r="G105" s="20">
        <f t="shared" si="6"/>
        <v>9.8195172725308826</v>
      </c>
      <c r="H105" s="18">
        <v>5</v>
      </c>
      <c r="J105" s="24">
        <f t="shared" si="4"/>
        <v>24548.793181327208</v>
      </c>
      <c r="L105" s="351">
        <f t="shared" si="5"/>
        <v>120528649.33191542</v>
      </c>
    </row>
    <row r="106" spans="1:12">
      <c r="A106" s="1" t="s">
        <v>44</v>
      </c>
      <c r="C106" s="22">
        <v>1500</v>
      </c>
      <c r="E106" s="40">
        <v>24838</v>
      </c>
      <c r="G106" s="20">
        <f t="shared" si="6"/>
        <v>12.078267171269829</v>
      </c>
      <c r="H106" s="26">
        <v>3</v>
      </c>
      <c r="J106" s="24">
        <f t="shared" si="4"/>
        <v>18117.400756904743</v>
      </c>
      <c r="L106" s="351">
        <f t="shared" si="5"/>
        <v>109413403.39543085</v>
      </c>
    </row>
    <row r="107" spans="1:12">
      <c r="A107" s="14" t="s">
        <v>45</v>
      </c>
      <c r="B107" s="14"/>
      <c r="C107" s="23">
        <v>1000</v>
      </c>
      <c r="D107" s="14"/>
      <c r="E107" s="43">
        <v>9839</v>
      </c>
      <c r="F107" s="14"/>
      <c r="G107" s="21">
        <f t="shared" si="6"/>
        <v>20.327269031405631</v>
      </c>
      <c r="H107" s="41">
        <v>2</v>
      </c>
      <c r="I107" s="14"/>
      <c r="J107" s="25">
        <f t="shared" si="4"/>
        <v>20327.269031405631</v>
      </c>
      <c r="K107" s="14"/>
      <c r="L107" s="38">
        <f t="shared" ref="L107" si="7">(G107*C107*C107*100000/E107)</f>
        <v>206598933.13757122</v>
      </c>
    </row>
    <row r="108" spans="1:12">
      <c r="C108" s="22"/>
      <c r="E108" s="19"/>
      <c r="G108" s="20"/>
      <c r="H108" s="18"/>
      <c r="J108" s="24"/>
      <c r="L108" s="10"/>
    </row>
    <row r="109" spans="1:12">
      <c r="A109" s="1" t="s">
        <v>16</v>
      </c>
      <c r="C109" s="22">
        <f>SUM(C89:C107)</f>
        <v>100000</v>
      </c>
      <c r="E109" s="19">
        <f>SUM(E89:E107)</f>
        <v>2577140</v>
      </c>
      <c r="G109" s="20">
        <f>H109/E109*100000</f>
        <v>149.81723926523199</v>
      </c>
      <c r="H109" s="18">
        <f>SUM(H89:H108)</f>
        <v>3861</v>
      </c>
      <c r="J109" s="24">
        <f>SUM(J89:J107)</f>
        <v>14758911.677384697</v>
      </c>
      <c r="K109" s="3" t="s">
        <v>31</v>
      </c>
      <c r="L109" s="10">
        <f>SUM(L89:L107)/(C109*C109)</f>
        <v>5.706506862510432</v>
      </c>
    </row>
    <row r="110" spans="1:12">
      <c r="C110" s="4"/>
      <c r="F110" s="4"/>
      <c r="G110" s="28"/>
      <c r="I110" s="4"/>
      <c r="J110" s="27"/>
      <c r="K110" s="3"/>
      <c r="L110" s="10"/>
    </row>
    <row r="111" spans="1:12">
      <c r="C111" s="4"/>
      <c r="E111" s="39" t="s">
        <v>53</v>
      </c>
      <c r="F111" s="47"/>
      <c r="G111" s="47"/>
      <c r="H111" s="39"/>
      <c r="I111" s="47"/>
      <c r="J111" s="39"/>
      <c r="K111" s="48" t="s">
        <v>32</v>
      </c>
      <c r="L111" s="49">
        <f>SQRT(L109)</f>
        <v>2.3888296009783603</v>
      </c>
    </row>
    <row r="112" spans="1:12">
      <c r="C112" s="4"/>
      <c r="E112" s="61" t="s">
        <v>148</v>
      </c>
      <c r="F112" s="343">
        <f>G109</f>
        <v>149.81723926523199</v>
      </c>
      <c r="G112" s="61" t="s">
        <v>42</v>
      </c>
      <c r="H112" s="39"/>
      <c r="I112" s="47"/>
      <c r="J112" s="44"/>
      <c r="K112" s="39"/>
      <c r="L112" s="39"/>
    </row>
    <row r="113" spans="1:22">
      <c r="C113" s="4"/>
      <c r="E113" s="39"/>
      <c r="F113" s="47"/>
      <c r="G113" s="47"/>
      <c r="H113" s="39"/>
      <c r="I113" s="47"/>
      <c r="J113" s="62" t="s">
        <v>35</v>
      </c>
      <c r="K113" s="63"/>
      <c r="L113" s="63"/>
    </row>
    <row r="114" spans="1:22">
      <c r="A114" s="2"/>
      <c r="B114" s="39" t="s">
        <v>54</v>
      </c>
      <c r="D114" s="51"/>
      <c r="E114" s="51"/>
      <c r="F114" s="50"/>
      <c r="G114" s="51"/>
      <c r="J114" s="64" t="s">
        <v>33</v>
      </c>
      <c r="K114" s="344">
        <f>F115-1.96*L111</f>
        <v>142.90701075592938</v>
      </c>
      <c r="L114" s="61" t="s">
        <v>42</v>
      </c>
    </row>
    <row r="115" spans="1:22">
      <c r="B115" s="61" t="s">
        <v>55</v>
      </c>
      <c r="C115" s="366"/>
      <c r="D115" s="366"/>
      <c r="E115" s="366"/>
      <c r="F115" s="343">
        <f>J109/C109</f>
        <v>147.58911677384697</v>
      </c>
      <c r="G115" s="65" t="s">
        <v>42</v>
      </c>
      <c r="J115" s="64" t="s">
        <v>34</v>
      </c>
      <c r="K115" s="344">
        <f>F115+1.96*L111</f>
        <v>152.27122279176456</v>
      </c>
      <c r="L115" s="61" t="s">
        <v>42</v>
      </c>
    </row>
    <row r="116" spans="1:22">
      <c r="A116" s="2"/>
      <c r="B116" s="2"/>
      <c r="C116" s="8"/>
      <c r="D116" s="2"/>
      <c r="E116" s="50"/>
      <c r="F116" s="51"/>
      <c r="G116" s="50"/>
      <c r="H116" s="50"/>
      <c r="I116" s="51"/>
      <c r="N116" s="2"/>
      <c r="O116" s="2"/>
      <c r="P116" s="8"/>
      <c r="Q116" s="2"/>
      <c r="R116" s="57"/>
      <c r="S116" s="58"/>
      <c r="T116" s="50"/>
      <c r="U116" s="50"/>
      <c r="V116" s="51"/>
    </row>
    <row r="117" spans="1:22" ht="15">
      <c r="A117" s="67" t="s">
        <v>61</v>
      </c>
      <c r="B117" s="2"/>
      <c r="C117" s="8"/>
      <c r="D117" s="2"/>
      <c r="E117" s="50"/>
      <c r="F117" s="51"/>
      <c r="G117" s="50"/>
      <c r="H117" s="50"/>
      <c r="I117" s="51"/>
      <c r="N117" s="2"/>
      <c r="O117" s="2"/>
      <c r="P117" s="8"/>
      <c r="Q117" s="2"/>
      <c r="R117" s="57"/>
      <c r="S117" s="58"/>
      <c r="T117" s="50"/>
      <c r="U117" s="50"/>
      <c r="V117" s="51"/>
    </row>
    <row r="118" spans="1:22">
      <c r="A118" s="2"/>
      <c r="B118" s="2"/>
      <c r="C118" s="8"/>
      <c r="D118" s="2"/>
      <c r="E118" s="50"/>
      <c r="F118" s="51"/>
      <c r="G118" s="50"/>
      <c r="H118" s="50"/>
      <c r="I118" s="51"/>
      <c r="N118" s="2"/>
      <c r="O118" s="2"/>
      <c r="P118" s="8"/>
      <c r="Q118" s="2"/>
      <c r="R118" s="57"/>
      <c r="S118" s="58"/>
      <c r="T118" s="50"/>
      <c r="U118" s="50"/>
      <c r="V118" s="51"/>
    </row>
    <row r="119" spans="1:22">
      <c r="A119" s="2" t="s">
        <v>57</v>
      </c>
      <c r="B119" s="2"/>
      <c r="C119" s="8"/>
      <c r="D119" s="2"/>
      <c r="E119" s="2"/>
      <c r="F119" s="8"/>
      <c r="G119" s="8"/>
      <c r="H119" s="2"/>
      <c r="I119" s="8"/>
      <c r="J119" s="2"/>
      <c r="K119" s="2"/>
      <c r="L119" s="2"/>
      <c r="N119" s="2"/>
      <c r="O119" s="2"/>
      <c r="P119" s="8"/>
      <c r="Q119" s="2"/>
      <c r="R119" s="57"/>
      <c r="S119" s="58"/>
      <c r="T119" s="50"/>
      <c r="U119" s="50"/>
      <c r="V119" s="51"/>
    </row>
    <row r="120" spans="1:22">
      <c r="C120" s="4"/>
      <c r="F120" s="4"/>
      <c r="G120" s="4"/>
      <c r="I120" s="4"/>
      <c r="N120" s="2"/>
      <c r="O120" s="2"/>
      <c r="P120" s="8"/>
      <c r="Q120" s="2"/>
      <c r="R120" s="57"/>
      <c r="S120" s="58"/>
      <c r="T120" s="50"/>
      <c r="U120" s="50"/>
      <c r="V120" s="51"/>
    </row>
    <row r="121" spans="1:22">
      <c r="A121" s="2"/>
      <c r="B121" s="2"/>
      <c r="C121" s="8" t="s">
        <v>20</v>
      </c>
      <c r="D121" s="2"/>
      <c r="E121" s="373" t="s">
        <v>48</v>
      </c>
      <c r="F121" s="373"/>
      <c r="G121" s="373"/>
      <c r="H121" s="373"/>
      <c r="I121" s="8"/>
      <c r="J121" s="2"/>
      <c r="K121" s="2"/>
      <c r="L121" s="8" t="s">
        <v>21</v>
      </c>
      <c r="N121" s="2"/>
      <c r="O121" s="2"/>
      <c r="P121" s="8"/>
      <c r="Q121" s="2"/>
      <c r="R121" s="57"/>
      <c r="S121" s="58"/>
      <c r="T121" s="50"/>
      <c r="U121" s="50"/>
      <c r="V121" s="51"/>
    </row>
    <row r="122" spans="1:22" ht="14.25">
      <c r="A122" s="16" t="s">
        <v>0</v>
      </c>
      <c r="B122" s="16"/>
      <c r="C122" s="17" t="s">
        <v>72</v>
      </c>
      <c r="D122" s="16"/>
      <c r="E122" s="17" t="s">
        <v>18</v>
      </c>
      <c r="F122" s="17"/>
      <c r="G122" s="17" t="s">
        <v>22</v>
      </c>
      <c r="H122" s="17" t="s">
        <v>23</v>
      </c>
      <c r="I122" s="16"/>
      <c r="J122" s="17" t="s">
        <v>24</v>
      </c>
      <c r="K122" s="16"/>
      <c r="L122" s="17" t="s">
        <v>25</v>
      </c>
      <c r="N122" s="2"/>
      <c r="O122" s="2"/>
      <c r="P122" s="8"/>
      <c r="Q122" s="2"/>
      <c r="R122" s="57"/>
      <c r="S122" s="58"/>
      <c r="T122" s="50"/>
      <c r="U122" s="50"/>
      <c r="V122" s="51"/>
    </row>
    <row r="123" spans="1:22">
      <c r="C123" s="4" t="s">
        <v>26</v>
      </c>
      <c r="E123" s="4" t="s">
        <v>27</v>
      </c>
      <c r="G123" s="4" t="s">
        <v>28</v>
      </c>
      <c r="H123" s="4" t="s">
        <v>29</v>
      </c>
      <c r="J123" s="4"/>
      <c r="L123" s="4"/>
      <c r="N123" s="2"/>
      <c r="O123" s="2"/>
      <c r="P123" s="8"/>
      <c r="Q123" s="2"/>
      <c r="R123" s="57"/>
      <c r="S123" s="58"/>
      <c r="T123" s="50"/>
      <c r="U123" s="50"/>
      <c r="V123" s="51"/>
    </row>
    <row r="124" spans="1:22">
      <c r="A124" s="1" t="s">
        <v>1</v>
      </c>
      <c r="C124" s="22">
        <v>5000</v>
      </c>
      <c r="E124" s="19">
        <v>144843</v>
      </c>
      <c r="G124" s="20">
        <f>H124/E124*100000</f>
        <v>0</v>
      </c>
      <c r="H124" s="18">
        <v>0</v>
      </c>
      <c r="J124" s="24">
        <f t="shared" ref="J124:J142" si="8">G124*C124</f>
        <v>0</v>
      </c>
      <c r="L124" s="37">
        <f t="shared" ref="L124:L142" si="9">(G124*C124*C124*100000/E124)</f>
        <v>0</v>
      </c>
      <c r="N124" s="2"/>
      <c r="O124" s="2"/>
      <c r="P124" s="8"/>
      <c r="Q124" s="2"/>
      <c r="R124" s="57"/>
      <c r="S124" s="58"/>
      <c r="T124" s="50"/>
      <c r="U124" s="50"/>
      <c r="V124" s="51"/>
    </row>
    <row r="125" spans="1:22">
      <c r="A125" s="1" t="str">
        <f>"5-9"</f>
        <v>5-9</v>
      </c>
      <c r="C125" s="22">
        <v>5500</v>
      </c>
      <c r="E125" s="19">
        <v>134447</v>
      </c>
      <c r="G125" s="20">
        <f t="shared" ref="G125:G142" si="10">H125/E125*100000</f>
        <v>0.74378751478277683</v>
      </c>
      <c r="H125" s="18">
        <v>1</v>
      </c>
      <c r="J125" s="24">
        <f t="shared" si="8"/>
        <v>4090.8313313052727</v>
      </c>
      <c r="L125" s="37">
        <f t="shared" si="9"/>
        <v>16734900.981188869</v>
      </c>
      <c r="N125" s="2"/>
      <c r="O125" s="2"/>
      <c r="P125" s="8"/>
      <c r="Q125" s="2"/>
      <c r="R125" s="57"/>
      <c r="S125" s="58"/>
      <c r="T125" s="50"/>
      <c r="U125" s="50"/>
      <c r="V125" s="51"/>
    </row>
    <row r="126" spans="1:22">
      <c r="A126" s="1" t="str">
        <f>"10-14"</f>
        <v>10-14</v>
      </c>
      <c r="C126" s="22">
        <v>5500</v>
      </c>
      <c r="E126" s="19">
        <v>137520</v>
      </c>
      <c r="G126" s="20">
        <f t="shared" si="10"/>
        <v>7.9988365328679469</v>
      </c>
      <c r="H126" s="18">
        <v>11</v>
      </c>
      <c r="J126" s="24">
        <f t="shared" si="8"/>
        <v>43993.600930773711</v>
      </c>
      <c r="L126" s="37">
        <f t="shared" si="9"/>
        <v>175948811.16874304</v>
      </c>
      <c r="N126" s="2"/>
      <c r="O126" s="2"/>
      <c r="P126" s="8"/>
      <c r="Q126" s="2"/>
      <c r="R126" s="57"/>
      <c r="S126" s="58"/>
      <c r="T126" s="50"/>
      <c r="U126" s="50"/>
      <c r="V126" s="51"/>
    </row>
    <row r="127" spans="1:22">
      <c r="A127" s="1" t="s">
        <v>2</v>
      </c>
      <c r="C127" s="22">
        <v>5500</v>
      </c>
      <c r="E127" s="19">
        <v>156383</v>
      </c>
      <c r="G127" s="20">
        <f t="shared" si="10"/>
        <v>45.401354367162675</v>
      </c>
      <c r="H127" s="18">
        <v>71</v>
      </c>
      <c r="J127" s="24">
        <f t="shared" si="8"/>
        <v>249707.4490193947</v>
      </c>
      <c r="L127" s="37">
        <f t="shared" si="9"/>
        <v>878222677.40526199</v>
      </c>
      <c r="N127" s="2"/>
      <c r="O127" s="2"/>
      <c r="P127" s="8"/>
      <c r="Q127" s="2"/>
      <c r="R127" s="57"/>
      <c r="S127" s="58"/>
      <c r="T127" s="50"/>
      <c r="U127" s="50"/>
      <c r="V127" s="51"/>
    </row>
    <row r="128" spans="1:22">
      <c r="A128" s="1" t="s">
        <v>3</v>
      </c>
      <c r="C128" s="22">
        <v>6000</v>
      </c>
      <c r="E128" s="19">
        <v>186192</v>
      </c>
      <c r="G128" s="20">
        <f t="shared" si="10"/>
        <v>83.247400532783359</v>
      </c>
      <c r="H128" s="18">
        <v>155</v>
      </c>
      <c r="J128" s="24">
        <f t="shared" si="8"/>
        <v>499484.40319670015</v>
      </c>
      <c r="L128" s="37">
        <f t="shared" si="9"/>
        <v>1609578509.9146049</v>
      </c>
      <c r="N128" s="2"/>
      <c r="O128" s="2"/>
      <c r="P128" s="8"/>
      <c r="Q128" s="2"/>
      <c r="R128" s="57"/>
      <c r="S128" s="58"/>
      <c r="T128" s="50"/>
      <c r="U128" s="50"/>
      <c r="V128" s="51"/>
    </row>
    <row r="129" spans="1:22">
      <c r="A129" s="1" t="s">
        <v>4</v>
      </c>
      <c r="C129" s="22">
        <v>6000</v>
      </c>
      <c r="E129" s="19">
        <v>176313</v>
      </c>
      <c r="G129" s="20">
        <f t="shared" si="10"/>
        <v>163.34586785999898</v>
      </c>
      <c r="H129" s="18">
        <v>288</v>
      </c>
      <c r="J129" s="24">
        <f t="shared" si="8"/>
        <v>980075.20715999382</v>
      </c>
      <c r="L129" s="37">
        <f t="shared" si="9"/>
        <v>3335234068.3670306</v>
      </c>
      <c r="N129" s="2"/>
      <c r="O129" s="2"/>
      <c r="P129" s="8"/>
      <c r="Q129" s="2"/>
      <c r="R129" s="57"/>
      <c r="S129" s="58"/>
      <c r="T129" s="50"/>
      <c r="U129" s="50"/>
      <c r="V129" s="51"/>
    </row>
    <row r="130" spans="1:22">
      <c r="A130" s="1" t="s">
        <v>5</v>
      </c>
      <c r="C130" s="22">
        <v>6500</v>
      </c>
      <c r="E130" s="19">
        <v>169681</v>
      </c>
      <c r="G130" s="20">
        <f t="shared" si="10"/>
        <v>235.73647019996343</v>
      </c>
      <c r="H130" s="18">
        <v>400</v>
      </c>
      <c r="J130" s="24">
        <f t="shared" si="8"/>
        <v>1532287.0562997623</v>
      </c>
      <c r="L130" s="37">
        <f t="shared" si="9"/>
        <v>5869759057.2594786</v>
      </c>
      <c r="N130" s="2"/>
      <c r="O130" s="2"/>
      <c r="P130" s="8"/>
      <c r="Q130" s="2"/>
      <c r="R130" s="57"/>
      <c r="S130" s="58"/>
      <c r="T130" s="50"/>
      <c r="U130" s="50"/>
      <c r="V130" s="51"/>
    </row>
    <row r="131" spans="1:22">
      <c r="A131" s="1" t="s">
        <v>6</v>
      </c>
      <c r="C131" s="22">
        <v>7000</v>
      </c>
      <c r="E131" s="19">
        <v>163850</v>
      </c>
      <c r="G131" s="20">
        <f t="shared" si="10"/>
        <v>193.46963686298443</v>
      </c>
      <c r="H131" s="18">
        <v>317</v>
      </c>
      <c r="J131" s="24">
        <f t="shared" si="8"/>
        <v>1354287.458040891</v>
      </c>
      <c r="L131" s="37">
        <f t="shared" si="9"/>
        <v>5785787126.2046003</v>
      </c>
      <c r="N131" s="2"/>
      <c r="O131" s="2"/>
      <c r="P131" s="8"/>
      <c r="Q131" s="2"/>
      <c r="R131" s="57"/>
      <c r="S131" s="58"/>
      <c r="T131" s="50"/>
      <c r="U131" s="50"/>
      <c r="V131" s="51"/>
    </row>
    <row r="132" spans="1:22">
      <c r="A132" s="1" t="s">
        <v>7</v>
      </c>
      <c r="C132" s="22">
        <v>7000</v>
      </c>
      <c r="E132" s="19">
        <v>199274</v>
      </c>
      <c r="G132" s="20">
        <f t="shared" si="10"/>
        <v>135.99365697481858</v>
      </c>
      <c r="H132" s="18">
        <v>271</v>
      </c>
      <c r="J132" s="24">
        <f t="shared" si="8"/>
        <v>951955.59882373002</v>
      </c>
      <c r="L132" s="37">
        <f t="shared" si="9"/>
        <v>3343983255.0990648</v>
      </c>
      <c r="N132" s="2"/>
      <c r="O132" s="2"/>
      <c r="P132" s="8"/>
      <c r="Q132" s="2"/>
      <c r="R132" s="57"/>
      <c r="S132" s="58"/>
      <c r="T132" s="50"/>
      <c r="U132" s="50"/>
      <c r="V132" s="51"/>
    </row>
    <row r="133" spans="1:22">
      <c r="A133" s="1" t="s">
        <v>8</v>
      </c>
      <c r="C133" s="22">
        <v>7000</v>
      </c>
      <c r="E133" s="19">
        <v>210765</v>
      </c>
      <c r="G133" s="20">
        <f t="shared" si="10"/>
        <v>74.490546343083523</v>
      </c>
      <c r="H133" s="18">
        <v>157</v>
      </c>
      <c r="J133" s="24">
        <f t="shared" si="8"/>
        <v>521433.82440158469</v>
      </c>
      <c r="L133" s="37">
        <f t="shared" si="9"/>
        <v>1731804033.3125012</v>
      </c>
      <c r="N133" s="2"/>
      <c r="O133" s="2"/>
      <c r="P133" s="8"/>
      <c r="Q133" s="2"/>
      <c r="R133" s="57"/>
      <c r="S133" s="58"/>
      <c r="T133" s="50"/>
      <c r="U133" s="50"/>
      <c r="V133" s="51"/>
    </row>
    <row r="134" spans="1:22">
      <c r="A134" s="1" t="s">
        <v>9</v>
      </c>
      <c r="C134" s="22">
        <v>7000</v>
      </c>
      <c r="E134" s="19">
        <v>196466</v>
      </c>
      <c r="G134" s="20">
        <f t="shared" si="10"/>
        <v>39.701525963779993</v>
      </c>
      <c r="H134" s="18">
        <v>78</v>
      </c>
      <c r="J134" s="24">
        <f t="shared" si="8"/>
        <v>277910.68174645997</v>
      </c>
      <c r="L134" s="37">
        <f t="shared" si="9"/>
        <v>990183936.26643777</v>
      </c>
      <c r="N134" s="2"/>
      <c r="O134" s="2"/>
      <c r="P134" s="8"/>
      <c r="Q134" s="2"/>
      <c r="R134" s="57"/>
      <c r="S134" s="58"/>
      <c r="T134" s="50"/>
      <c r="U134" s="50"/>
      <c r="V134" s="51"/>
    </row>
    <row r="135" spans="1:22">
      <c r="A135" s="1" t="s">
        <v>10</v>
      </c>
      <c r="C135" s="22">
        <v>6500</v>
      </c>
      <c r="E135" s="19">
        <v>173090</v>
      </c>
      <c r="G135" s="20">
        <f t="shared" si="10"/>
        <v>17.332023802646024</v>
      </c>
      <c r="H135" s="18">
        <v>30</v>
      </c>
      <c r="J135" s="24">
        <f t="shared" si="8"/>
        <v>112658.15471719916</v>
      </c>
      <c r="L135" s="37">
        <f t="shared" si="9"/>
        <v>423061994.14281273</v>
      </c>
      <c r="N135" s="2"/>
      <c r="O135" s="2"/>
      <c r="P135" s="8"/>
      <c r="Q135" s="2"/>
      <c r="R135" s="57"/>
      <c r="S135" s="58"/>
      <c r="T135" s="50"/>
      <c r="U135" s="50"/>
      <c r="V135" s="51"/>
    </row>
    <row r="136" spans="1:22">
      <c r="A136" s="1" t="s">
        <v>11</v>
      </c>
      <c r="C136" s="22">
        <v>6000</v>
      </c>
      <c r="E136" s="19">
        <v>164841</v>
      </c>
      <c r="G136" s="20">
        <f t="shared" si="10"/>
        <v>6.6730971056957911</v>
      </c>
      <c r="H136" s="18">
        <v>11</v>
      </c>
      <c r="J136" s="24">
        <f t="shared" si="8"/>
        <v>40038.582634174745</v>
      </c>
      <c r="L136" s="37">
        <f t="shared" si="9"/>
        <v>145735281.7594218</v>
      </c>
      <c r="N136" s="2"/>
      <c r="O136" s="2"/>
      <c r="P136" s="8"/>
      <c r="Q136" s="2"/>
      <c r="R136" s="57"/>
      <c r="S136" s="58"/>
      <c r="T136" s="50"/>
      <c r="U136" s="50"/>
      <c r="V136" s="51"/>
    </row>
    <row r="137" spans="1:22">
      <c r="A137" s="1" t="s">
        <v>12</v>
      </c>
      <c r="C137" s="22">
        <v>5500</v>
      </c>
      <c r="E137" s="19">
        <v>148398</v>
      </c>
      <c r="G137" s="20">
        <f t="shared" si="10"/>
        <v>6.7386352915807493</v>
      </c>
      <c r="H137" s="18">
        <v>10</v>
      </c>
      <c r="J137" s="24">
        <f t="shared" si="8"/>
        <v>37062.494103694124</v>
      </c>
      <c r="L137" s="37">
        <f t="shared" si="9"/>
        <v>137362846.91863617</v>
      </c>
      <c r="N137" s="2"/>
      <c r="O137" s="2"/>
      <c r="P137" s="8"/>
      <c r="Q137" s="2"/>
      <c r="R137" s="57"/>
      <c r="S137" s="58"/>
      <c r="T137" s="50"/>
      <c r="U137" s="50"/>
      <c r="V137" s="51"/>
    </row>
    <row r="138" spans="1:22">
      <c r="A138" s="1" t="s">
        <v>13</v>
      </c>
      <c r="C138" s="22">
        <v>5000</v>
      </c>
      <c r="E138" s="19">
        <v>119914</v>
      </c>
      <c r="G138" s="20">
        <f t="shared" si="10"/>
        <v>5.0035859032306487</v>
      </c>
      <c r="H138" s="18">
        <v>6</v>
      </c>
      <c r="J138" s="24">
        <f t="shared" si="8"/>
        <v>25017.929516153243</v>
      </c>
      <c r="L138" s="37">
        <f t="shared" si="9"/>
        <v>104316132.87920193</v>
      </c>
      <c r="N138" s="2"/>
      <c r="O138" s="2"/>
      <c r="P138" s="8"/>
      <c r="Q138" s="2"/>
      <c r="R138" s="57"/>
      <c r="S138" s="58"/>
      <c r="T138" s="50"/>
      <c r="U138" s="50"/>
      <c r="V138" s="51"/>
    </row>
    <row r="139" spans="1:22">
      <c r="A139" s="1" t="s">
        <v>14</v>
      </c>
      <c r="C139" s="22">
        <v>4000</v>
      </c>
      <c r="E139" s="19">
        <v>102204</v>
      </c>
      <c r="G139" s="20">
        <f t="shared" si="10"/>
        <v>2.9353058588704943</v>
      </c>
      <c r="H139" s="18">
        <v>3</v>
      </c>
      <c r="J139" s="24">
        <f t="shared" si="8"/>
        <v>11741.223435481978</v>
      </c>
      <c r="L139" s="37">
        <f t="shared" si="9"/>
        <v>45952109.253970399</v>
      </c>
      <c r="N139" s="2"/>
      <c r="O139" s="2"/>
      <c r="P139" s="8"/>
      <c r="Q139" s="2"/>
      <c r="R139" s="57"/>
      <c r="S139" s="58"/>
      <c r="T139" s="50"/>
      <c r="U139" s="50"/>
      <c r="V139" s="51"/>
    </row>
    <row r="140" spans="1:22">
      <c r="A140" s="1" t="s">
        <v>15</v>
      </c>
      <c r="C140" s="22">
        <v>2500</v>
      </c>
      <c r="E140" s="19">
        <v>77714</v>
      </c>
      <c r="G140" s="20">
        <f t="shared" si="10"/>
        <v>11.580924929871065</v>
      </c>
      <c r="H140" s="18">
        <v>9</v>
      </c>
      <c r="J140" s="24">
        <f t="shared" si="8"/>
        <v>28952.312324677663</v>
      </c>
      <c r="L140" s="37">
        <f t="shared" si="9"/>
        <v>93137376.549520239</v>
      </c>
      <c r="N140" s="2"/>
      <c r="O140" s="2"/>
      <c r="P140" s="8"/>
      <c r="Q140" s="2"/>
      <c r="R140" s="57"/>
      <c r="S140" s="58"/>
      <c r="T140" s="50"/>
      <c r="U140" s="50"/>
      <c r="V140" s="51"/>
    </row>
    <row r="141" spans="1:22">
      <c r="A141" s="1" t="s">
        <v>44</v>
      </c>
      <c r="C141" s="22">
        <v>1500</v>
      </c>
      <c r="E141" s="40">
        <v>47499</v>
      </c>
      <c r="G141" s="20">
        <f t="shared" si="10"/>
        <v>4.2106149603149543</v>
      </c>
      <c r="H141" s="26">
        <v>2</v>
      </c>
      <c r="J141" s="24">
        <f t="shared" si="8"/>
        <v>6315.9224404724318</v>
      </c>
      <c r="L141" s="37">
        <f t="shared" si="9"/>
        <v>19945438.137031615</v>
      </c>
      <c r="N141" s="2"/>
      <c r="O141" s="2"/>
      <c r="P141" s="8"/>
      <c r="Q141" s="2"/>
      <c r="R141" s="57"/>
      <c r="S141" s="58"/>
      <c r="T141" s="50"/>
      <c r="U141" s="50"/>
      <c r="V141" s="51"/>
    </row>
    <row r="142" spans="1:22">
      <c r="A142" s="14" t="s">
        <v>45</v>
      </c>
      <c r="B142" s="14"/>
      <c r="C142" s="23">
        <v>1000</v>
      </c>
      <c r="D142" s="14"/>
      <c r="E142" s="43">
        <v>27066</v>
      </c>
      <c r="F142" s="14"/>
      <c r="G142" s="21">
        <f t="shared" si="10"/>
        <v>7.3893445651370726</v>
      </c>
      <c r="H142" s="41">
        <v>2</v>
      </c>
      <c r="I142" s="14"/>
      <c r="J142" s="25">
        <f t="shared" si="8"/>
        <v>7389.344565137073</v>
      </c>
      <c r="K142" s="14"/>
      <c r="L142" s="38">
        <f t="shared" si="9"/>
        <v>27301206.551160399</v>
      </c>
      <c r="N142" s="2"/>
      <c r="O142" s="2"/>
      <c r="P142" s="8"/>
      <c r="Q142" s="2"/>
      <c r="R142" s="57"/>
      <c r="S142" s="58"/>
      <c r="T142" s="50"/>
      <c r="U142" s="50"/>
      <c r="V142" s="51"/>
    </row>
    <row r="143" spans="1:22">
      <c r="C143" s="22"/>
      <c r="E143" s="19"/>
      <c r="G143" s="20"/>
      <c r="H143" s="18"/>
      <c r="J143" s="24"/>
      <c r="L143" s="10"/>
      <c r="N143" s="2"/>
      <c r="O143" s="2"/>
      <c r="P143" s="8"/>
      <c r="Q143" s="2"/>
      <c r="R143" s="57"/>
      <c r="S143" s="58"/>
      <c r="T143" s="50"/>
      <c r="U143" s="50"/>
      <c r="V143" s="51"/>
    </row>
    <row r="144" spans="1:22">
      <c r="A144" s="1" t="s">
        <v>16</v>
      </c>
      <c r="C144" s="22">
        <f>SUM(C124:C142)</f>
        <v>100000</v>
      </c>
      <c r="E144" s="19">
        <f>SUM(E124:E142)</f>
        <v>2736460</v>
      </c>
      <c r="G144" s="20">
        <f>H144/E144*100000</f>
        <v>66.582372846670523</v>
      </c>
      <c r="H144" s="18">
        <f>SUM(H124:H143)</f>
        <v>1822</v>
      </c>
      <c r="J144" s="24">
        <f>SUM(J124:J142)</f>
        <v>6684402.0746875862</v>
      </c>
      <c r="K144" s="3" t="s">
        <v>31</v>
      </c>
      <c r="L144" s="10">
        <f>SUM(L124:L142)/(C144*C144)</f>
        <v>2.4734048762170668</v>
      </c>
      <c r="N144" s="10"/>
      <c r="O144" s="2"/>
      <c r="P144" s="8"/>
      <c r="Q144" s="2"/>
      <c r="R144" s="57"/>
      <c r="S144" s="58"/>
      <c r="T144" s="50"/>
      <c r="U144" s="50"/>
      <c r="V144" s="51"/>
    </row>
    <row r="145" spans="1:22">
      <c r="C145" s="4"/>
      <c r="F145" s="4"/>
      <c r="G145" s="28"/>
      <c r="H145" s="352"/>
      <c r="I145" s="4"/>
      <c r="J145" s="27"/>
      <c r="K145" s="3"/>
      <c r="L145" s="10"/>
      <c r="N145" s="10"/>
      <c r="O145" s="2"/>
      <c r="P145" s="8"/>
      <c r="Q145" s="2"/>
      <c r="R145" s="57"/>
      <c r="S145" s="58"/>
      <c r="T145" s="50"/>
      <c r="U145" s="50"/>
      <c r="V145" s="51"/>
    </row>
    <row r="146" spans="1:22">
      <c r="C146" s="4"/>
      <c r="E146" s="39" t="s">
        <v>62</v>
      </c>
      <c r="F146" s="47"/>
      <c r="G146" s="47"/>
      <c r="H146" s="39"/>
      <c r="I146" s="47"/>
      <c r="J146" s="39"/>
      <c r="K146" s="48" t="s">
        <v>32</v>
      </c>
      <c r="L146" s="49">
        <f>SQRT(L144)</f>
        <v>1.5727062269276697</v>
      </c>
      <c r="N146" s="49"/>
      <c r="O146" s="2"/>
      <c r="P146" s="8"/>
      <c r="Q146" s="2"/>
      <c r="R146" s="57"/>
      <c r="S146" s="58"/>
      <c r="T146" s="50"/>
      <c r="U146" s="50"/>
      <c r="V146" s="51"/>
    </row>
    <row r="147" spans="1:22">
      <c r="C147" s="4"/>
      <c r="E147" s="44" t="s">
        <v>147</v>
      </c>
      <c r="F147" s="348">
        <f>G144</f>
        <v>66.582372846670523</v>
      </c>
      <c r="G147" s="44" t="s">
        <v>42</v>
      </c>
      <c r="H147" s="39"/>
      <c r="I147" s="47"/>
      <c r="J147" s="44"/>
      <c r="K147" s="39"/>
      <c r="L147" s="39"/>
      <c r="O147" s="2"/>
      <c r="P147" s="8"/>
      <c r="Q147" s="2"/>
      <c r="R147" s="57"/>
      <c r="S147" s="58"/>
      <c r="T147" s="50"/>
      <c r="U147" s="50"/>
      <c r="V147" s="51"/>
    </row>
    <row r="148" spans="1:22">
      <c r="C148" s="4"/>
      <c r="E148" s="39"/>
      <c r="F148" s="47"/>
      <c r="G148" s="47"/>
      <c r="H148" s="39"/>
      <c r="I148" s="47"/>
      <c r="J148" s="52" t="s">
        <v>35</v>
      </c>
      <c r="K148" s="53"/>
      <c r="L148" s="53"/>
      <c r="N148" s="2"/>
      <c r="O148" s="2"/>
      <c r="P148" s="8"/>
      <c r="Q148" s="2"/>
      <c r="R148" s="57"/>
      <c r="S148" s="58"/>
      <c r="T148" s="50"/>
      <c r="U148" s="50"/>
      <c r="V148" s="51"/>
    </row>
    <row r="149" spans="1:22">
      <c r="A149" s="2"/>
      <c r="B149" s="39" t="s">
        <v>63</v>
      </c>
      <c r="D149" s="51"/>
      <c r="E149" s="51"/>
      <c r="F149" s="50"/>
      <c r="G149" s="51"/>
      <c r="J149" s="54" t="s">
        <v>33</v>
      </c>
      <c r="K149" s="83">
        <f>F150-1.96*L146</f>
        <v>63.761516542097624</v>
      </c>
      <c r="L149" s="44" t="s">
        <v>42</v>
      </c>
      <c r="N149" s="2"/>
      <c r="O149" s="2"/>
      <c r="P149" s="8"/>
      <c r="Q149" s="2"/>
      <c r="R149" s="57"/>
      <c r="S149" s="58"/>
      <c r="T149" s="50"/>
      <c r="U149" s="50"/>
      <c r="V149" s="51"/>
    </row>
    <row r="150" spans="1:22">
      <c r="B150" s="69" t="s">
        <v>58</v>
      </c>
      <c r="F150" s="345">
        <f>J144/C144</f>
        <v>66.844020746875856</v>
      </c>
      <c r="G150" s="70" t="s">
        <v>42</v>
      </c>
      <c r="J150" s="54" t="s">
        <v>34</v>
      </c>
      <c r="K150" s="83">
        <f>F150+1.96*L146</f>
        <v>69.926524951654088</v>
      </c>
      <c r="L150" s="44" t="s">
        <v>42</v>
      </c>
      <c r="N150" s="2"/>
      <c r="O150" s="2"/>
      <c r="P150" s="8"/>
      <c r="Q150" s="2"/>
      <c r="R150" s="57"/>
      <c r="S150" s="58"/>
      <c r="T150" s="50"/>
      <c r="U150" s="50"/>
      <c r="V150" s="51"/>
    </row>
    <row r="151" spans="1:22">
      <c r="A151" s="2"/>
      <c r="B151" s="2"/>
      <c r="C151" s="8"/>
      <c r="D151" s="2"/>
      <c r="E151" s="50"/>
      <c r="F151" s="51"/>
      <c r="G151" s="50"/>
      <c r="H151" s="50"/>
      <c r="I151" s="51"/>
      <c r="N151" s="2"/>
      <c r="O151" s="2"/>
      <c r="P151" s="8"/>
      <c r="Q151" s="2"/>
      <c r="R151" s="57"/>
      <c r="S151" s="58"/>
      <c r="T151" s="50"/>
      <c r="U151" s="50"/>
      <c r="V151" s="51"/>
    </row>
    <row r="152" spans="1:22">
      <c r="A152" s="2"/>
      <c r="B152" s="2"/>
      <c r="C152" s="8"/>
      <c r="D152" s="2"/>
      <c r="E152" s="50"/>
      <c r="F152" s="51"/>
      <c r="G152" s="50"/>
      <c r="H152" s="50"/>
      <c r="I152" s="51"/>
      <c r="N152" s="2"/>
      <c r="O152" s="2"/>
      <c r="P152" s="8"/>
      <c r="Q152" s="2"/>
      <c r="R152" s="57"/>
      <c r="S152" s="58"/>
      <c r="T152" s="50"/>
      <c r="U152" s="50"/>
      <c r="V152" s="51"/>
    </row>
    <row r="153" spans="1:22" ht="15">
      <c r="A153" s="66" t="s">
        <v>65</v>
      </c>
      <c r="B153" s="2"/>
      <c r="C153" s="8"/>
      <c r="D153" s="2"/>
      <c r="E153" s="50"/>
      <c r="F153" s="51"/>
      <c r="G153" s="50"/>
      <c r="H153" s="50"/>
      <c r="I153" s="51"/>
      <c r="N153" s="2"/>
      <c r="O153" s="2"/>
      <c r="P153" s="8"/>
      <c r="Q153" s="2"/>
      <c r="R153" s="57"/>
      <c r="S153" s="58"/>
      <c r="T153" s="50"/>
      <c r="U153" s="50"/>
      <c r="V153" s="51"/>
    </row>
    <row r="154" spans="1:22">
      <c r="A154" s="2"/>
      <c r="B154" s="2"/>
      <c r="C154" s="8"/>
      <c r="D154" s="2"/>
      <c r="E154" s="50"/>
      <c r="F154" s="51"/>
      <c r="G154" s="50"/>
      <c r="H154" s="50"/>
      <c r="I154" s="51"/>
      <c r="N154" s="2"/>
      <c r="O154" s="2"/>
      <c r="P154" s="8"/>
      <c r="Q154" s="2"/>
      <c r="R154" s="57"/>
      <c r="S154" s="58"/>
      <c r="T154" s="50"/>
      <c r="U154" s="50"/>
      <c r="V154" s="51"/>
    </row>
    <row r="155" spans="1:22">
      <c r="A155" s="2"/>
      <c r="B155" s="71" t="s">
        <v>55</v>
      </c>
      <c r="C155" s="367"/>
      <c r="D155" s="367"/>
      <c r="E155" s="367"/>
      <c r="F155" s="75">
        <f>F115</f>
        <v>147.58911677384697</v>
      </c>
      <c r="G155" s="72" t="s">
        <v>42</v>
      </c>
      <c r="J155" s="3" t="s">
        <v>31</v>
      </c>
      <c r="K155" s="10">
        <f>(SUM(L124:L142)+SUM(L89:L107))/((C109+C144)*(C109+C144))</f>
        <v>2.0449779346818748</v>
      </c>
      <c r="L155" s="98">
        <f>(L109+L144)/4</f>
        <v>2.0449779346818748</v>
      </c>
      <c r="N155" s="2"/>
      <c r="O155" s="2"/>
      <c r="P155" s="8"/>
      <c r="Q155" s="2"/>
      <c r="R155" s="57"/>
      <c r="S155" s="58"/>
      <c r="T155" s="50"/>
      <c r="U155" s="50"/>
      <c r="V155" s="51"/>
    </row>
    <row r="156" spans="1:22">
      <c r="A156" s="2"/>
      <c r="B156" s="73" t="s">
        <v>58</v>
      </c>
      <c r="C156" s="2"/>
      <c r="D156" s="2"/>
      <c r="E156" s="2"/>
      <c r="F156" s="76">
        <f>F150</f>
        <v>66.844020746875856</v>
      </c>
      <c r="G156" s="74" t="s">
        <v>42</v>
      </c>
      <c r="J156" s="365" t="s">
        <v>151</v>
      </c>
      <c r="L156" s="364"/>
      <c r="N156" s="2"/>
      <c r="O156" s="2"/>
      <c r="P156" s="8"/>
      <c r="Q156" s="2"/>
      <c r="R156" s="57"/>
      <c r="S156" s="58"/>
      <c r="T156" s="50"/>
      <c r="U156" s="50"/>
      <c r="V156" s="51"/>
    </row>
    <row r="157" spans="1:22">
      <c r="A157" s="2"/>
      <c r="B157" s="2" t="s">
        <v>76</v>
      </c>
      <c r="C157" s="8"/>
      <c r="D157" s="2"/>
      <c r="E157" s="50"/>
      <c r="F157" s="77">
        <f>(J144+J109)/(C109+C144)</f>
        <v>107.21656876036141</v>
      </c>
      <c r="G157" s="60" t="s">
        <v>42</v>
      </c>
      <c r="N157" s="2"/>
      <c r="O157" s="2"/>
      <c r="P157" s="8"/>
      <c r="Q157" s="2"/>
      <c r="R157" s="57"/>
      <c r="S157" s="58"/>
      <c r="T157" s="50"/>
      <c r="U157" s="50"/>
      <c r="V157" s="51"/>
    </row>
    <row r="158" spans="1:22">
      <c r="A158" s="2"/>
      <c r="B158" s="1" t="s">
        <v>66</v>
      </c>
      <c r="C158" s="8"/>
      <c r="D158" s="2"/>
      <c r="E158" s="50"/>
      <c r="F158" s="49">
        <f>(F155+F156)/2</f>
        <v>107.21656876036141</v>
      </c>
      <c r="G158" s="59" t="s">
        <v>42</v>
      </c>
      <c r="J158" s="48" t="s">
        <v>32</v>
      </c>
      <c r="K158" s="49">
        <f>SQRT(K155)</f>
        <v>1.4300272496291373</v>
      </c>
      <c r="N158" s="2"/>
      <c r="O158" s="2"/>
      <c r="P158" s="8"/>
      <c r="Q158" s="2"/>
      <c r="R158" s="57"/>
      <c r="S158" s="58"/>
      <c r="T158" s="50"/>
      <c r="U158" s="50"/>
      <c r="V158" s="51"/>
    </row>
    <row r="159" spans="1:22">
      <c r="A159" s="2"/>
      <c r="C159" s="8"/>
      <c r="D159" s="2"/>
      <c r="E159" s="50"/>
      <c r="G159" s="49"/>
      <c r="H159" s="59"/>
      <c r="N159" s="2"/>
      <c r="O159" s="2"/>
      <c r="P159" s="8"/>
      <c r="Q159" s="2"/>
      <c r="R159" s="57"/>
      <c r="S159" s="58"/>
      <c r="T159" s="50"/>
      <c r="U159" s="50"/>
      <c r="V159" s="51"/>
    </row>
    <row r="160" spans="1:22">
      <c r="A160" s="2"/>
      <c r="C160" s="8"/>
      <c r="D160" s="2"/>
      <c r="E160" s="50"/>
      <c r="G160" s="49"/>
      <c r="H160" s="59"/>
      <c r="J160" s="368" t="s">
        <v>35</v>
      </c>
      <c r="K160" s="369"/>
      <c r="L160" s="369"/>
      <c r="N160" s="2"/>
      <c r="O160" s="2"/>
      <c r="P160" s="8"/>
      <c r="Q160" s="2"/>
      <c r="R160" s="57"/>
      <c r="S160" s="58"/>
      <c r="T160" s="50"/>
      <c r="U160" s="50"/>
      <c r="V160" s="51"/>
    </row>
    <row r="161" spans="1:22">
      <c r="A161" s="2"/>
      <c r="C161" s="8"/>
      <c r="D161" s="2"/>
      <c r="E161" s="50"/>
      <c r="G161" s="49"/>
      <c r="H161" s="59"/>
      <c r="J161" s="370" t="s">
        <v>33</v>
      </c>
      <c r="K161" s="371">
        <f>F157-1.96*K158</f>
        <v>104.4137153510883</v>
      </c>
      <c r="L161" s="39" t="s">
        <v>42</v>
      </c>
      <c r="N161" s="2"/>
      <c r="O161" s="2"/>
      <c r="P161" s="8"/>
      <c r="Q161" s="2"/>
      <c r="R161" s="57"/>
      <c r="S161" s="58"/>
      <c r="T161" s="50"/>
      <c r="U161" s="50"/>
      <c r="V161" s="51"/>
    </row>
    <row r="162" spans="1:22">
      <c r="A162" s="2"/>
      <c r="C162" s="8"/>
      <c r="D162" s="2"/>
      <c r="E162" s="50"/>
      <c r="G162" s="49"/>
      <c r="H162" s="59"/>
      <c r="J162" s="370" t="s">
        <v>34</v>
      </c>
      <c r="K162" s="371">
        <f>F157+1.96*K158</f>
        <v>110.01942216963452</v>
      </c>
      <c r="L162" s="39" t="s">
        <v>42</v>
      </c>
      <c r="N162" s="2"/>
      <c r="O162" s="2"/>
      <c r="P162" s="8"/>
      <c r="Q162" s="2"/>
      <c r="R162" s="57"/>
      <c r="S162" s="58"/>
      <c r="T162" s="50"/>
      <c r="U162" s="50"/>
      <c r="V162" s="51"/>
    </row>
    <row r="163" spans="1:22">
      <c r="A163" s="2"/>
      <c r="C163" s="8"/>
      <c r="D163" s="2"/>
      <c r="E163" s="50"/>
      <c r="G163" s="49"/>
      <c r="H163" s="59"/>
      <c r="N163" s="2"/>
      <c r="O163" s="2"/>
      <c r="P163" s="8"/>
      <c r="Q163" s="2"/>
      <c r="R163" s="57"/>
      <c r="S163" s="58"/>
      <c r="T163" s="50"/>
      <c r="U163" s="50"/>
      <c r="V163" s="51"/>
    </row>
    <row r="164" spans="1:22" ht="12.75" customHeight="1">
      <c r="A164" s="5" t="s">
        <v>49</v>
      </c>
      <c r="C164" s="4"/>
      <c r="F164" s="4"/>
      <c r="G164" s="4"/>
      <c r="I164" s="4"/>
    </row>
    <row r="165" spans="1:22" ht="12.75" customHeight="1">
      <c r="A165" s="5"/>
      <c r="C165" s="4"/>
      <c r="F165" s="4"/>
      <c r="G165" s="4"/>
      <c r="I165" s="4"/>
    </row>
    <row r="166" spans="1:22" s="2" customFormat="1" ht="12.75" customHeight="1">
      <c r="A166" s="2" t="s">
        <v>48</v>
      </c>
      <c r="C166" s="8"/>
      <c r="F166" s="8"/>
      <c r="G166" s="8"/>
      <c r="I166" s="8"/>
    </row>
    <row r="167" spans="1:22" s="2" customFormat="1" ht="12.75" customHeight="1">
      <c r="C167" s="8"/>
      <c r="F167" s="8"/>
      <c r="G167" s="8"/>
      <c r="I167" s="8"/>
    </row>
    <row r="168" spans="1:22" ht="12.75" customHeight="1">
      <c r="C168" s="4"/>
      <c r="F168" s="4"/>
      <c r="G168" s="4"/>
      <c r="I168" s="4"/>
    </row>
    <row r="169" spans="1:22" s="2" customFormat="1" ht="27.75" customHeight="1">
      <c r="C169" s="8" t="s">
        <v>20</v>
      </c>
      <c r="E169" s="373" t="s">
        <v>48</v>
      </c>
      <c r="F169" s="373"/>
      <c r="G169" s="373"/>
      <c r="H169" s="373"/>
      <c r="I169" s="8"/>
      <c r="L169" s="8" t="s">
        <v>21</v>
      </c>
    </row>
    <row r="170" spans="1:22" s="6" customFormat="1" ht="12.75" customHeight="1">
      <c r="A170" s="6" t="s">
        <v>0</v>
      </c>
      <c r="C170" s="7" t="s">
        <v>18</v>
      </c>
      <c r="E170" s="6" t="s">
        <v>18</v>
      </c>
      <c r="G170" s="7" t="s">
        <v>22</v>
      </c>
      <c r="H170" s="7" t="s">
        <v>23</v>
      </c>
      <c r="J170" s="7" t="s">
        <v>24</v>
      </c>
      <c r="L170" s="7" t="s">
        <v>25</v>
      </c>
    </row>
    <row r="171" spans="1:22" ht="12.75" customHeight="1">
      <c r="A171" s="14"/>
      <c r="B171" s="14"/>
      <c r="C171" s="15" t="s">
        <v>26</v>
      </c>
      <c r="D171" s="14"/>
      <c r="E171" s="15" t="s">
        <v>27</v>
      </c>
      <c r="F171" s="14"/>
      <c r="G171" s="15" t="s">
        <v>28</v>
      </c>
      <c r="H171" s="15" t="s">
        <v>29</v>
      </c>
      <c r="I171" s="14"/>
      <c r="J171" s="15"/>
      <c r="K171" s="14"/>
      <c r="L171" s="15"/>
    </row>
    <row r="172" spans="1:22" ht="12.75" customHeight="1">
      <c r="A172" s="1" t="s">
        <v>1</v>
      </c>
      <c r="C172" s="9" t="str">
        <f>"-"</f>
        <v>-</v>
      </c>
      <c r="E172" s="9" t="str">
        <f>"-"</f>
        <v>-</v>
      </c>
      <c r="G172" s="20" t="str">
        <f>"-"</f>
        <v>-</v>
      </c>
      <c r="H172" s="9" t="str">
        <f>"-"</f>
        <v>-</v>
      </c>
      <c r="J172" s="24" t="str">
        <f>"-"</f>
        <v>-</v>
      </c>
      <c r="L172" s="37" t="str">
        <f>"-"</f>
        <v>-</v>
      </c>
    </row>
    <row r="173" spans="1:22" ht="12.75" customHeight="1">
      <c r="A173" s="1" t="str">
        <f>"5-9"</f>
        <v>5-9</v>
      </c>
      <c r="C173" s="9" t="str">
        <f t="shared" ref="C173:J182" si="11">"-"</f>
        <v>-</v>
      </c>
      <c r="E173" s="9" t="str">
        <f t="shared" si="11"/>
        <v>-</v>
      </c>
      <c r="G173" s="20" t="str">
        <f t="shared" si="11"/>
        <v>-</v>
      </c>
      <c r="H173" s="9" t="str">
        <f t="shared" si="11"/>
        <v>-</v>
      </c>
      <c r="J173" s="24" t="str">
        <f t="shared" si="11"/>
        <v>-</v>
      </c>
      <c r="L173" s="37" t="str">
        <f t="shared" ref="L173:L182" si="12">"-"</f>
        <v>-</v>
      </c>
    </row>
    <row r="174" spans="1:22" ht="12.75" customHeight="1">
      <c r="A174" s="1" t="str">
        <f>"10-14"</f>
        <v>10-14</v>
      </c>
      <c r="C174" s="9" t="str">
        <f t="shared" si="11"/>
        <v>-</v>
      </c>
      <c r="E174" s="9" t="str">
        <f t="shared" si="11"/>
        <v>-</v>
      </c>
      <c r="G174" s="20" t="str">
        <f t="shared" si="11"/>
        <v>-</v>
      </c>
      <c r="H174" s="9" t="str">
        <f t="shared" si="11"/>
        <v>-</v>
      </c>
      <c r="J174" s="24" t="str">
        <f t="shared" si="11"/>
        <v>-</v>
      </c>
      <c r="L174" s="37" t="str">
        <f t="shared" si="12"/>
        <v>-</v>
      </c>
    </row>
    <row r="175" spans="1:22" ht="12.75" customHeight="1">
      <c r="A175" s="1" t="s">
        <v>2</v>
      </c>
      <c r="C175" s="9" t="str">
        <f t="shared" si="11"/>
        <v>-</v>
      </c>
      <c r="E175" s="9" t="str">
        <f t="shared" si="11"/>
        <v>-</v>
      </c>
      <c r="G175" s="20" t="str">
        <f t="shared" si="11"/>
        <v>-</v>
      </c>
      <c r="H175" s="9" t="str">
        <f t="shared" si="11"/>
        <v>-</v>
      </c>
      <c r="J175" s="24" t="str">
        <f t="shared" si="11"/>
        <v>-</v>
      </c>
      <c r="L175" s="37" t="str">
        <f t="shared" si="12"/>
        <v>-</v>
      </c>
    </row>
    <row r="176" spans="1:22" ht="12.75" customHeight="1">
      <c r="A176" s="1" t="s">
        <v>3</v>
      </c>
      <c r="C176" s="9" t="str">
        <f t="shared" si="11"/>
        <v>-</v>
      </c>
      <c r="E176" s="9" t="str">
        <f t="shared" si="11"/>
        <v>-</v>
      </c>
      <c r="G176" s="20" t="str">
        <f t="shared" si="11"/>
        <v>-</v>
      </c>
      <c r="H176" s="9" t="str">
        <f t="shared" si="11"/>
        <v>-</v>
      </c>
      <c r="J176" s="24" t="str">
        <f t="shared" si="11"/>
        <v>-</v>
      </c>
      <c r="L176" s="37" t="str">
        <f t="shared" si="12"/>
        <v>-</v>
      </c>
    </row>
    <row r="177" spans="1:12" ht="12.75" customHeight="1">
      <c r="A177" s="1" t="s">
        <v>4</v>
      </c>
      <c r="C177" s="9" t="str">
        <f t="shared" si="11"/>
        <v>-</v>
      </c>
      <c r="E177" s="9" t="str">
        <f t="shared" si="11"/>
        <v>-</v>
      </c>
      <c r="G177" s="20" t="str">
        <f t="shared" si="11"/>
        <v>-</v>
      </c>
      <c r="H177" s="9" t="str">
        <f t="shared" si="11"/>
        <v>-</v>
      </c>
      <c r="J177" s="24" t="str">
        <f t="shared" si="11"/>
        <v>-</v>
      </c>
      <c r="L177" s="37" t="str">
        <f t="shared" si="12"/>
        <v>-</v>
      </c>
    </row>
    <row r="178" spans="1:12" ht="12.75" customHeight="1">
      <c r="A178" s="1" t="s">
        <v>5</v>
      </c>
      <c r="C178" s="9" t="str">
        <f t="shared" si="11"/>
        <v>-</v>
      </c>
      <c r="E178" s="9" t="str">
        <f t="shared" si="11"/>
        <v>-</v>
      </c>
      <c r="G178" s="20" t="str">
        <f t="shared" si="11"/>
        <v>-</v>
      </c>
      <c r="H178" s="9" t="str">
        <f t="shared" si="11"/>
        <v>-</v>
      </c>
      <c r="J178" s="24" t="str">
        <f t="shared" si="11"/>
        <v>-</v>
      </c>
      <c r="L178" s="37" t="str">
        <f t="shared" si="12"/>
        <v>-</v>
      </c>
    </row>
    <row r="179" spans="1:12" ht="12.75" customHeight="1">
      <c r="A179" s="1" t="s">
        <v>6</v>
      </c>
      <c r="C179" s="9" t="str">
        <f t="shared" si="11"/>
        <v>-</v>
      </c>
      <c r="E179" s="9" t="str">
        <f t="shared" si="11"/>
        <v>-</v>
      </c>
      <c r="G179" s="20" t="str">
        <f t="shared" si="11"/>
        <v>-</v>
      </c>
      <c r="H179" s="9" t="str">
        <f t="shared" si="11"/>
        <v>-</v>
      </c>
      <c r="J179" s="24" t="str">
        <f t="shared" si="11"/>
        <v>-</v>
      </c>
      <c r="L179" s="37" t="str">
        <f t="shared" si="12"/>
        <v>-</v>
      </c>
    </row>
    <row r="180" spans="1:12" ht="12.75" customHeight="1">
      <c r="A180" s="1" t="s">
        <v>7</v>
      </c>
      <c r="C180" s="9" t="str">
        <f t="shared" si="11"/>
        <v>-</v>
      </c>
      <c r="E180" s="9" t="str">
        <f t="shared" si="11"/>
        <v>-</v>
      </c>
      <c r="G180" s="20" t="str">
        <f t="shared" si="11"/>
        <v>-</v>
      </c>
      <c r="H180" s="9" t="str">
        <f t="shared" si="11"/>
        <v>-</v>
      </c>
      <c r="J180" s="24" t="str">
        <f t="shared" si="11"/>
        <v>-</v>
      </c>
      <c r="L180" s="37" t="str">
        <f t="shared" si="12"/>
        <v>-</v>
      </c>
    </row>
    <row r="181" spans="1:12" ht="12.75" customHeight="1">
      <c r="A181" s="1" t="s">
        <v>8</v>
      </c>
      <c r="C181" s="9" t="str">
        <f t="shared" si="11"/>
        <v>-</v>
      </c>
      <c r="E181" s="9" t="str">
        <f t="shared" si="11"/>
        <v>-</v>
      </c>
      <c r="G181" s="20" t="str">
        <f t="shared" si="11"/>
        <v>-</v>
      </c>
      <c r="H181" s="9" t="str">
        <f t="shared" si="11"/>
        <v>-</v>
      </c>
      <c r="J181" s="24" t="str">
        <f t="shared" si="11"/>
        <v>-</v>
      </c>
      <c r="L181" s="37" t="str">
        <f t="shared" si="12"/>
        <v>-</v>
      </c>
    </row>
    <row r="182" spans="1:12" ht="12.75" customHeight="1">
      <c r="A182" s="1" t="s">
        <v>9</v>
      </c>
      <c r="C182" s="9" t="str">
        <f t="shared" si="11"/>
        <v>-</v>
      </c>
      <c r="E182" s="9" t="str">
        <f t="shared" si="11"/>
        <v>-</v>
      </c>
      <c r="G182" s="20" t="str">
        <f t="shared" si="11"/>
        <v>-</v>
      </c>
      <c r="H182" s="9" t="str">
        <f t="shared" si="11"/>
        <v>-</v>
      </c>
      <c r="J182" s="24" t="str">
        <f t="shared" si="11"/>
        <v>-</v>
      </c>
      <c r="L182" s="37" t="str">
        <f t="shared" si="12"/>
        <v>-</v>
      </c>
    </row>
    <row r="183" spans="1:12" ht="12.75" customHeight="1">
      <c r="A183" s="1" t="s">
        <v>10</v>
      </c>
      <c r="C183" s="32">
        <v>6500</v>
      </c>
      <c r="D183" s="31"/>
      <c r="E183" s="19">
        <v>339288</v>
      </c>
      <c r="F183" s="31"/>
      <c r="G183" s="20">
        <f>H183*100000/E183</f>
        <v>31.241894791445617</v>
      </c>
      <c r="H183" s="18">
        <v>106</v>
      </c>
      <c r="J183" s="24">
        <f t="shared" ref="J183:J190" si="13">G183*C183</f>
        <v>203072.31614439652</v>
      </c>
      <c r="L183" s="37">
        <f>(G183*C183*C183*100000/E183)</f>
        <v>389041184.75707287</v>
      </c>
    </row>
    <row r="184" spans="1:12" ht="12.75" customHeight="1">
      <c r="A184" s="1" t="s">
        <v>11</v>
      </c>
      <c r="C184" s="32">
        <v>6000</v>
      </c>
      <c r="D184" s="31"/>
      <c r="E184" s="19">
        <v>322638</v>
      </c>
      <c r="F184" s="31"/>
      <c r="G184" s="20">
        <f t="shared" ref="G184:G190" si="14">H184*100000/E184</f>
        <v>18.286748616096059</v>
      </c>
      <c r="H184" s="18">
        <v>59</v>
      </c>
      <c r="J184" s="24">
        <f t="shared" si="13"/>
        <v>109720.49169657636</v>
      </c>
      <c r="L184" s="37">
        <f t="shared" ref="L184:L190" si="15">(G184*C184*C184*100000/E184)</f>
        <v>204043835.56166914</v>
      </c>
    </row>
    <row r="185" spans="1:12" ht="12.75" customHeight="1">
      <c r="A185" s="1" t="s">
        <v>12</v>
      </c>
      <c r="C185" s="32">
        <v>5500</v>
      </c>
      <c r="D185" s="31"/>
      <c r="E185" s="19">
        <v>285732</v>
      </c>
      <c r="F185" s="31"/>
      <c r="G185" s="20">
        <f t="shared" si="14"/>
        <v>10.499349040359498</v>
      </c>
      <c r="H185" s="18">
        <v>30</v>
      </c>
      <c r="J185" s="24">
        <f t="shared" si="13"/>
        <v>57746.41972197724</v>
      </c>
      <c r="L185" s="37">
        <f t="shared" si="15"/>
        <v>111154966.35689206</v>
      </c>
    </row>
    <row r="186" spans="1:12" ht="12.75" customHeight="1">
      <c r="A186" s="1" t="s">
        <v>13</v>
      </c>
      <c r="C186" s="32">
        <v>5000</v>
      </c>
      <c r="D186" s="31"/>
      <c r="E186" s="19">
        <v>221533</v>
      </c>
      <c r="F186" s="31"/>
      <c r="G186" s="20">
        <f t="shared" si="14"/>
        <v>5.8682002229916082</v>
      </c>
      <c r="H186" s="18">
        <v>13</v>
      </c>
      <c r="J186" s="24">
        <f t="shared" si="13"/>
        <v>29341.001114958042</v>
      </c>
      <c r="L186" s="37">
        <f t="shared" si="15"/>
        <v>66222642.032920703</v>
      </c>
    </row>
    <row r="187" spans="1:12" ht="12.75" customHeight="1">
      <c r="A187" s="1" t="s">
        <v>14</v>
      </c>
      <c r="C187" s="32">
        <v>4000</v>
      </c>
      <c r="D187" s="31"/>
      <c r="E187" s="19">
        <v>180611</v>
      </c>
      <c r="F187" s="31"/>
      <c r="G187" s="20">
        <f t="shared" si="14"/>
        <v>4.9830851941465362</v>
      </c>
      <c r="H187" s="18">
        <v>9</v>
      </c>
      <c r="J187" s="24">
        <f t="shared" si="13"/>
        <v>19932.340776586145</v>
      </c>
      <c r="L187" s="37">
        <f t="shared" si="15"/>
        <v>44144245.425995417</v>
      </c>
    </row>
    <row r="188" spans="1:12" ht="12.75" customHeight="1">
      <c r="A188" s="1" t="s">
        <v>15</v>
      </c>
      <c r="C188" s="32">
        <v>2500</v>
      </c>
      <c r="D188" s="31"/>
      <c r="E188" s="19">
        <v>128633</v>
      </c>
      <c r="F188" s="31"/>
      <c r="G188" s="20">
        <f t="shared" si="14"/>
        <v>10.883676816990974</v>
      </c>
      <c r="H188" s="18">
        <v>14</v>
      </c>
      <c r="J188" s="24">
        <f t="shared" si="13"/>
        <v>27209.192042477436</v>
      </c>
      <c r="L188" s="37">
        <f t="shared" si="15"/>
        <v>52881437.971744098</v>
      </c>
    </row>
    <row r="189" spans="1:12" ht="12.75" customHeight="1">
      <c r="A189" s="1" t="s">
        <v>44</v>
      </c>
      <c r="C189" s="32">
        <v>1500</v>
      </c>
      <c r="D189" s="31"/>
      <c r="E189" s="55">
        <v>72337</v>
      </c>
      <c r="F189" s="31"/>
      <c r="G189" s="20">
        <f t="shared" si="14"/>
        <v>6.9120920137688877</v>
      </c>
      <c r="H189" s="26">
        <v>5</v>
      </c>
      <c r="J189" s="24">
        <f t="shared" si="13"/>
        <v>10368.138020653332</v>
      </c>
      <c r="L189" s="37">
        <f t="shared" si="15"/>
        <v>21499657.203063436</v>
      </c>
    </row>
    <row r="190" spans="1:12" ht="12.75" customHeight="1">
      <c r="A190" s="14" t="s">
        <v>45</v>
      </c>
      <c r="B190" s="14"/>
      <c r="C190" s="35">
        <v>1000</v>
      </c>
      <c r="D190" s="36"/>
      <c r="E190" s="43">
        <v>36905</v>
      </c>
      <c r="F190" s="36"/>
      <c r="G190" s="21">
        <f t="shared" si="14"/>
        <v>10.838639750711286</v>
      </c>
      <c r="H190" s="41">
        <v>4</v>
      </c>
      <c r="I190" s="14"/>
      <c r="J190" s="25">
        <f t="shared" si="13"/>
        <v>10838.639750711285</v>
      </c>
      <c r="K190" s="14"/>
      <c r="L190" s="38">
        <f t="shared" si="15"/>
        <v>29369027.911424696</v>
      </c>
    </row>
    <row r="191" spans="1:12" ht="12.75" customHeight="1">
      <c r="C191" s="32"/>
      <c r="D191" s="31"/>
      <c r="E191" s="34"/>
      <c r="F191" s="31"/>
      <c r="G191" s="34"/>
      <c r="H191" s="34"/>
      <c r="J191" s="24"/>
      <c r="L191" s="10"/>
    </row>
    <row r="192" spans="1:12" ht="12.75" customHeight="1">
      <c r="A192" s="1" t="s">
        <v>30</v>
      </c>
      <c r="C192" s="32">
        <f>SUM(C172:C190)</f>
        <v>32000</v>
      </c>
      <c r="D192" s="31"/>
      <c r="E192" s="34">
        <f>SUM(E172:E190)</f>
        <v>1587677</v>
      </c>
      <c r="F192" s="31"/>
      <c r="G192" s="56">
        <f>H192*100000/E192</f>
        <v>15.116424814367154</v>
      </c>
      <c r="H192" s="34">
        <f>SUM(H172:H190)</f>
        <v>240</v>
      </c>
      <c r="J192" s="24">
        <f>SUM(J172:J190)</f>
        <v>468228.53926833638</v>
      </c>
      <c r="K192" s="3" t="s">
        <v>31</v>
      </c>
      <c r="L192" s="354">
        <f>SUM(L172:L190)/(C192*C192)</f>
        <v>0.89683300509842045</v>
      </c>
    </row>
    <row r="193" spans="3:14" ht="12.75" customHeight="1">
      <c r="C193" s="4"/>
      <c r="F193" s="4"/>
      <c r="G193" s="28"/>
      <c r="I193" s="4"/>
      <c r="K193" s="3"/>
      <c r="L193" s="10"/>
    </row>
    <row r="194" spans="3:14" ht="12.75" customHeight="1">
      <c r="C194" s="4"/>
      <c r="E194" s="39" t="s">
        <v>69</v>
      </c>
      <c r="F194" s="47"/>
      <c r="G194" s="47"/>
      <c r="H194" s="39"/>
      <c r="I194" s="47"/>
      <c r="J194" s="39"/>
      <c r="K194" s="48" t="s">
        <v>32</v>
      </c>
      <c r="L194" s="49">
        <f>SQRT(L192)</f>
        <v>0.94701267420157609</v>
      </c>
    </row>
    <row r="195" spans="3:14" ht="12.75" customHeight="1">
      <c r="C195" s="4"/>
      <c r="E195" s="69" t="s">
        <v>68</v>
      </c>
      <c r="F195" s="345">
        <f>(H192/E192)*100000</f>
        <v>15.116424814367154</v>
      </c>
      <c r="G195" s="346" t="s">
        <v>42</v>
      </c>
      <c r="H195" s="69"/>
      <c r="I195" s="47"/>
      <c r="J195" s="44"/>
      <c r="K195" s="39"/>
      <c r="L195" s="39"/>
    </row>
    <row r="196" spans="3:14" s="2" customFormat="1" ht="12.75" customHeight="1">
      <c r="C196" s="8"/>
      <c r="E196" s="50"/>
      <c r="F196" s="51"/>
      <c r="G196" s="51"/>
      <c r="H196" s="50"/>
      <c r="I196" s="51"/>
      <c r="J196" s="52" t="s">
        <v>35</v>
      </c>
      <c r="K196" s="53"/>
      <c r="L196" s="50"/>
      <c r="M196" s="1"/>
      <c r="N196" s="1"/>
    </row>
    <row r="197" spans="3:14" ht="12.75" customHeight="1">
      <c r="C197" s="4"/>
      <c r="E197" s="39" t="s">
        <v>70</v>
      </c>
      <c r="F197" s="59" t="s">
        <v>71</v>
      </c>
      <c r="G197" s="47"/>
      <c r="H197" s="39"/>
      <c r="I197" s="47"/>
      <c r="J197" s="54" t="s">
        <v>38</v>
      </c>
      <c r="K197" s="347">
        <f>F198-1.96*L194</f>
        <v>12.775997010700422</v>
      </c>
      <c r="L197" s="44" t="s">
        <v>42</v>
      </c>
    </row>
    <row r="198" spans="3:14" s="2" customFormat="1" ht="12.75" customHeight="1">
      <c r="C198" s="8"/>
      <c r="E198" s="69" t="s">
        <v>70</v>
      </c>
      <c r="F198" s="345">
        <f>J192/C192</f>
        <v>14.632141852135511</v>
      </c>
      <c r="G198" s="70" t="s">
        <v>42</v>
      </c>
      <c r="H198" s="73"/>
      <c r="I198" s="51"/>
      <c r="J198" s="54" t="s">
        <v>39</v>
      </c>
      <c r="K198" s="347">
        <f>F198+1.96*L194</f>
        <v>16.488286693570601</v>
      </c>
      <c r="L198" s="44" t="s">
        <v>42</v>
      </c>
      <c r="M198" s="1"/>
      <c r="N198" s="1"/>
    </row>
    <row r="201" spans="3:14">
      <c r="L201" s="30"/>
    </row>
    <row r="202" spans="3:14">
      <c r="L202" s="29"/>
    </row>
    <row r="203" spans="3:14">
      <c r="L203" s="30"/>
    </row>
  </sheetData>
  <mergeCells count="4">
    <mergeCell ref="E48:H48"/>
    <mergeCell ref="E169:H169"/>
    <mergeCell ref="E86:H86"/>
    <mergeCell ref="E121:H121"/>
  </mergeCells>
  <phoneticPr fontId="0" type="noConversion"/>
  <pageMargins left="0.15748031496062992" right="0.15748031496062992" top="0.98425196850393704" bottom="0.98425196850393704" header="0.51181102362204722" footer="0.51181102362204722"/>
  <pageSetup paperSize="9" scale="90" orientation="landscape" r:id="rId1"/>
  <headerFooter alignWithMargins="0"/>
  <rowBreaks count="1" manualBreakCount="1">
    <brk id="29" max="65535" man="1"/>
  </rowBreaks>
  <ignoredErrors>
    <ignoredError sqref="A18 A53" twoDigitTextYear="1"/>
    <ignoredError sqref="J68:J69 L68:L69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58"/>
  <sheetViews>
    <sheetView topLeftCell="A10" zoomScaleNormal="100" workbookViewId="0">
      <selection activeCell="D29" sqref="D29"/>
    </sheetView>
  </sheetViews>
  <sheetFormatPr defaultRowHeight="12.75"/>
  <cols>
    <col min="1" max="1" width="7.7109375" style="1" customWidth="1"/>
    <col min="2" max="2" width="11.28515625" style="1" bestFit="1" customWidth="1"/>
    <col min="3" max="3" width="11.140625" style="1" customWidth="1"/>
    <col min="4" max="4" width="16.28515625" style="1" customWidth="1"/>
    <col min="5" max="5" width="13.140625" style="1" bestFit="1" customWidth="1"/>
    <col min="6" max="6" width="11.28515625" style="1" bestFit="1" customWidth="1"/>
    <col min="7" max="7" width="14.7109375" style="1" customWidth="1"/>
    <col min="8" max="8" width="14.42578125" style="1" customWidth="1"/>
    <col min="9" max="9" width="8.140625" style="1" customWidth="1"/>
    <col min="10" max="10" width="11.28515625" style="1" bestFit="1" customWidth="1"/>
    <col min="11" max="12" width="15" style="1" customWidth="1"/>
    <col min="13" max="13" width="6.28515625" style="1" customWidth="1"/>
    <col min="14" max="14" width="8.28515625" style="1" customWidth="1"/>
    <col min="15" max="15" width="3.28515625" style="1" customWidth="1"/>
    <col min="16" max="16" width="11.5703125" style="1" bestFit="1" customWidth="1"/>
    <col min="17" max="17" width="11.28515625" style="1" bestFit="1" customWidth="1"/>
    <col min="18" max="19" width="11.5703125" style="1" bestFit="1" customWidth="1"/>
    <col min="20" max="16384" width="9.140625" style="1"/>
  </cols>
  <sheetData>
    <row r="1" spans="1:19" ht="15.75">
      <c r="A1" s="5" t="s">
        <v>141</v>
      </c>
    </row>
    <row r="2" spans="1:19" ht="12.75" customHeight="1"/>
    <row r="3" spans="1:19" ht="15.75" customHeight="1">
      <c r="A3" s="5" t="s">
        <v>77</v>
      </c>
      <c r="B3" s="84"/>
      <c r="C3" s="84"/>
      <c r="D3" s="84"/>
      <c r="E3" s="84"/>
      <c r="F3" s="84"/>
      <c r="G3" s="84"/>
    </row>
    <row r="4" spans="1:19" ht="15.75" customHeight="1">
      <c r="A4" s="85" t="s">
        <v>78</v>
      </c>
      <c r="B4" s="84"/>
      <c r="C4" s="84"/>
      <c r="D4" s="84"/>
      <c r="E4" s="84"/>
      <c r="F4" s="84"/>
      <c r="G4" s="84"/>
    </row>
    <row r="5" spans="1:19" ht="15.75" customHeight="1">
      <c r="B5" s="86"/>
    </row>
    <row r="6" spans="1:19" s="2" customFormat="1" ht="15.75" customHeight="1">
      <c r="A6" s="87"/>
      <c r="B6" s="374" t="s">
        <v>79</v>
      </c>
      <c r="C6" s="375"/>
      <c r="D6" s="375"/>
      <c r="E6" s="87"/>
      <c r="F6" s="88"/>
      <c r="G6" s="89" t="s">
        <v>80</v>
      </c>
      <c r="H6" s="88"/>
      <c r="J6" s="88"/>
      <c r="K6" s="89" t="s">
        <v>81</v>
      </c>
      <c r="L6" s="88"/>
    </row>
    <row r="7" spans="1:19" s="92" customFormat="1" ht="38.25">
      <c r="A7" s="90" t="s">
        <v>0</v>
      </c>
      <c r="B7" s="17" t="s">
        <v>18</v>
      </c>
      <c r="C7" s="17" t="s">
        <v>23</v>
      </c>
      <c r="D7" s="91" t="s">
        <v>82</v>
      </c>
      <c r="E7" s="90"/>
      <c r="F7" s="17" t="s">
        <v>18</v>
      </c>
      <c r="G7" s="17" t="s">
        <v>83</v>
      </c>
      <c r="H7" s="17" t="s">
        <v>84</v>
      </c>
      <c r="J7" s="17" t="s">
        <v>18</v>
      </c>
      <c r="K7" s="17" t="s">
        <v>83</v>
      </c>
      <c r="L7" s="17" t="s">
        <v>84</v>
      </c>
    </row>
    <row r="8" spans="1:19" ht="15.75" customHeight="1">
      <c r="B8" s="4"/>
      <c r="C8" s="4"/>
      <c r="D8" s="4"/>
      <c r="F8" s="4"/>
      <c r="G8" s="4"/>
      <c r="H8" s="4"/>
      <c r="J8" s="4"/>
      <c r="K8" s="4"/>
      <c r="L8" s="4"/>
    </row>
    <row r="9" spans="1:19" ht="15.75" customHeight="1">
      <c r="A9" s="1" t="s">
        <v>1</v>
      </c>
      <c r="B9" s="93">
        <v>1651611</v>
      </c>
      <c r="C9" s="26">
        <v>0</v>
      </c>
      <c r="D9" s="94">
        <f t="shared" ref="D9:D27" si="0">100000*C9/B9</f>
        <v>0</v>
      </c>
      <c r="E9" s="95"/>
      <c r="F9" s="81">
        <v>305027</v>
      </c>
      <c r="G9" s="94">
        <f t="shared" ref="G9:G27" si="1">D9*F9/100000</f>
        <v>0</v>
      </c>
      <c r="H9" s="96">
        <v>0</v>
      </c>
      <c r="J9" s="97">
        <v>234938</v>
      </c>
      <c r="K9" s="94">
        <f t="shared" ref="K9:K27" si="2">D9*J9/100000</f>
        <v>0</v>
      </c>
      <c r="L9" s="96">
        <v>0</v>
      </c>
      <c r="N9" s="98"/>
      <c r="Q9" s="337"/>
    </row>
    <row r="10" spans="1:19" ht="15.75" customHeight="1">
      <c r="A10" s="99" t="str">
        <f>"5-9"</f>
        <v>5-9</v>
      </c>
      <c r="B10" s="93">
        <v>1642813</v>
      </c>
      <c r="C10" s="26">
        <v>0</v>
      </c>
      <c r="D10" s="94">
        <f t="shared" si="0"/>
        <v>0</v>
      </c>
      <c r="E10" s="95"/>
      <c r="F10" s="81">
        <v>291668</v>
      </c>
      <c r="G10" s="94">
        <f t="shared" si="1"/>
        <v>0</v>
      </c>
      <c r="H10" s="96">
        <v>0</v>
      </c>
      <c r="J10" s="97">
        <v>220416</v>
      </c>
      <c r="K10" s="94">
        <f t="shared" si="2"/>
        <v>0</v>
      </c>
      <c r="L10" s="96">
        <v>0</v>
      </c>
      <c r="N10" s="98"/>
      <c r="Q10" s="337"/>
      <c r="R10" s="95"/>
      <c r="S10" s="95"/>
    </row>
    <row r="11" spans="1:19" ht="15.75" customHeight="1">
      <c r="A11" s="1" t="str">
        <f>"10-14"</f>
        <v>10-14</v>
      </c>
      <c r="B11" s="93">
        <v>1632195</v>
      </c>
      <c r="C11" s="26">
        <v>0</v>
      </c>
      <c r="D11" s="94">
        <f t="shared" si="0"/>
        <v>0</v>
      </c>
      <c r="E11" s="95"/>
      <c r="F11" s="81">
        <v>277204</v>
      </c>
      <c r="G11" s="94">
        <f t="shared" si="1"/>
        <v>0</v>
      </c>
      <c r="H11" s="96">
        <v>0</v>
      </c>
      <c r="J11" s="97">
        <v>216248</v>
      </c>
      <c r="K11" s="94">
        <f t="shared" si="2"/>
        <v>0</v>
      </c>
      <c r="L11" s="96">
        <v>0</v>
      </c>
      <c r="N11" s="98"/>
      <c r="Q11" s="337"/>
      <c r="S11" s="95"/>
    </row>
    <row r="12" spans="1:19" ht="15.75" customHeight="1">
      <c r="A12" s="1" t="s">
        <v>2</v>
      </c>
      <c r="B12" s="93">
        <v>1792083</v>
      </c>
      <c r="C12" s="26">
        <v>1</v>
      </c>
      <c r="D12" s="94">
        <f t="shared" si="0"/>
        <v>5.5800986896254248E-2</v>
      </c>
      <c r="E12" s="95"/>
      <c r="F12" s="81">
        <v>316514</v>
      </c>
      <c r="G12" s="94">
        <f t="shared" si="1"/>
        <v>0.17661793566481018</v>
      </c>
      <c r="H12" s="96">
        <v>0</v>
      </c>
      <c r="J12" s="97">
        <v>253185</v>
      </c>
      <c r="K12" s="94">
        <f t="shared" si="2"/>
        <v>0.14127972867328131</v>
      </c>
      <c r="L12" s="96">
        <v>0</v>
      </c>
      <c r="N12" s="98"/>
      <c r="Q12" s="337"/>
      <c r="S12" s="95"/>
    </row>
    <row r="13" spans="1:19" ht="15.75" customHeight="1">
      <c r="A13" s="1" t="s">
        <v>3</v>
      </c>
      <c r="B13" s="93">
        <v>2046703</v>
      </c>
      <c r="C13" s="26">
        <v>5</v>
      </c>
      <c r="D13" s="94">
        <f t="shared" si="0"/>
        <v>0.2442953374280489</v>
      </c>
      <c r="E13" s="95"/>
      <c r="F13" s="81">
        <v>393971</v>
      </c>
      <c r="G13" s="94">
        <f t="shared" si="1"/>
        <v>0.96245278381865851</v>
      </c>
      <c r="H13" s="96">
        <v>1</v>
      </c>
      <c r="J13" s="97">
        <v>327100</v>
      </c>
      <c r="K13" s="94">
        <f t="shared" si="2"/>
        <v>0.79909004872714795</v>
      </c>
      <c r="L13" s="96">
        <v>1</v>
      </c>
      <c r="N13" s="98"/>
      <c r="Q13" s="337"/>
      <c r="S13" s="95"/>
    </row>
    <row r="14" spans="1:19" ht="15.75" customHeight="1">
      <c r="A14" s="1" t="s">
        <v>4</v>
      </c>
      <c r="B14" s="93">
        <v>2022557</v>
      </c>
      <c r="C14" s="26">
        <v>11</v>
      </c>
      <c r="D14" s="94">
        <f t="shared" si="0"/>
        <v>0.54386600723737333</v>
      </c>
      <c r="E14" s="95"/>
      <c r="F14" s="81">
        <v>390574</v>
      </c>
      <c r="G14" s="94">
        <f t="shared" si="1"/>
        <v>2.1241992191072985</v>
      </c>
      <c r="H14" s="96">
        <v>3</v>
      </c>
      <c r="J14" s="97">
        <v>322908</v>
      </c>
      <c r="K14" s="94">
        <f t="shared" si="2"/>
        <v>1.7561868466500574</v>
      </c>
      <c r="L14" s="96">
        <v>1</v>
      </c>
      <c r="N14" s="98"/>
      <c r="Q14" s="337"/>
      <c r="S14" s="95"/>
    </row>
    <row r="15" spans="1:19" ht="15.75" customHeight="1">
      <c r="A15" s="1" t="s">
        <v>5</v>
      </c>
      <c r="B15" s="93">
        <v>1869892</v>
      </c>
      <c r="C15" s="26">
        <v>28</v>
      </c>
      <c r="D15" s="94">
        <f t="shared" si="0"/>
        <v>1.497412684796769</v>
      </c>
      <c r="E15" s="95"/>
      <c r="F15" s="81">
        <v>344642</v>
      </c>
      <c r="G15" s="94">
        <f t="shared" si="1"/>
        <v>5.160713025137281</v>
      </c>
      <c r="H15" s="96">
        <v>5</v>
      </c>
      <c r="J15" s="97">
        <v>289615</v>
      </c>
      <c r="K15" s="94">
        <f t="shared" si="2"/>
        <v>4.3367317470741629</v>
      </c>
      <c r="L15" s="96">
        <v>4</v>
      </c>
      <c r="N15" s="98"/>
      <c r="P15" s="95"/>
      <c r="Q15" s="337"/>
      <c r="S15" s="95"/>
    </row>
    <row r="16" spans="1:19" ht="15.75" customHeight="1">
      <c r="A16" s="1" t="s">
        <v>6</v>
      </c>
      <c r="B16" s="93">
        <v>1730250</v>
      </c>
      <c r="C16" s="26">
        <v>84</v>
      </c>
      <c r="D16" s="94">
        <f t="shared" si="0"/>
        <v>4.8547897702644125</v>
      </c>
      <c r="E16" s="95"/>
      <c r="F16" s="81">
        <v>295071</v>
      </c>
      <c r="G16" s="94">
        <f t="shared" si="1"/>
        <v>14.325076723016906</v>
      </c>
      <c r="H16" s="96">
        <v>24</v>
      </c>
      <c r="J16" s="97">
        <v>259305</v>
      </c>
      <c r="K16" s="94">
        <f t="shared" si="2"/>
        <v>12.588712613784136</v>
      </c>
      <c r="L16" s="96">
        <v>14</v>
      </c>
      <c r="N16" s="98"/>
      <c r="Q16" s="337"/>
      <c r="S16" s="95"/>
    </row>
    <row r="17" spans="1:19" ht="15.75" customHeight="1">
      <c r="A17" s="1" t="s">
        <v>7</v>
      </c>
      <c r="B17" s="93">
        <v>1673215</v>
      </c>
      <c r="C17" s="26">
        <v>258</v>
      </c>
      <c r="D17" s="94">
        <f t="shared" si="0"/>
        <v>15.419417110174125</v>
      </c>
      <c r="E17" s="95"/>
      <c r="F17" s="81">
        <v>269057</v>
      </c>
      <c r="G17" s="94">
        <f t="shared" si="1"/>
        <v>41.487021094121197</v>
      </c>
      <c r="H17" s="96">
        <v>67</v>
      </c>
      <c r="J17" s="97">
        <v>245164</v>
      </c>
      <c r="K17" s="94">
        <f t="shared" si="2"/>
        <v>37.802859763987293</v>
      </c>
      <c r="L17" s="96">
        <v>33</v>
      </c>
      <c r="N17" s="98"/>
      <c r="Q17" s="337"/>
      <c r="S17" s="95"/>
    </row>
    <row r="18" spans="1:19" ht="15.75" customHeight="1">
      <c r="A18" s="1" t="s">
        <v>8</v>
      </c>
      <c r="B18" s="93">
        <v>1528606</v>
      </c>
      <c r="C18" s="26">
        <v>638</v>
      </c>
      <c r="D18" s="94">
        <f t="shared" si="0"/>
        <v>41.73737379023764</v>
      </c>
      <c r="E18" s="95"/>
      <c r="F18" s="81">
        <v>251238</v>
      </c>
      <c r="G18" s="94">
        <f t="shared" si="1"/>
        <v>104.86014316311724</v>
      </c>
      <c r="H18" s="96">
        <v>161</v>
      </c>
      <c r="J18" s="97">
        <v>218796</v>
      </c>
      <c r="K18" s="94">
        <f t="shared" si="2"/>
        <v>91.319704358088359</v>
      </c>
      <c r="L18" s="96">
        <v>97</v>
      </c>
      <c r="N18" s="98"/>
      <c r="Q18" s="337"/>
      <c r="S18" s="95"/>
    </row>
    <row r="19" spans="1:19" ht="15.75" customHeight="1">
      <c r="A19" s="1" t="s">
        <v>9</v>
      </c>
      <c r="B19" s="93">
        <v>1377423</v>
      </c>
      <c r="C19" s="26">
        <v>1231</v>
      </c>
      <c r="D19" s="94">
        <f t="shared" si="0"/>
        <v>89.369786913678666</v>
      </c>
      <c r="E19" s="95"/>
      <c r="F19" s="81">
        <v>240068</v>
      </c>
      <c r="G19" s="94">
        <f t="shared" si="1"/>
        <v>214.54826004793011</v>
      </c>
      <c r="H19" s="96">
        <v>337</v>
      </c>
      <c r="J19" s="97">
        <v>195244</v>
      </c>
      <c r="K19" s="94">
        <f t="shared" si="2"/>
        <v>174.4891467617428</v>
      </c>
      <c r="L19" s="96">
        <v>167</v>
      </c>
      <c r="N19" s="98"/>
      <c r="Q19" s="337"/>
      <c r="S19" s="95"/>
    </row>
    <row r="20" spans="1:19" ht="15.75" customHeight="1">
      <c r="A20" s="1" t="s">
        <v>10</v>
      </c>
      <c r="B20" s="93">
        <v>1319079</v>
      </c>
      <c r="C20" s="26">
        <v>2564</v>
      </c>
      <c r="D20" s="94">
        <f t="shared" si="0"/>
        <v>194.37804710711035</v>
      </c>
      <c r="E20" s="95"/>
      <c r="F20" s="81">
        <v>240782</v>
      </c>
      <c r="G20" s="94">
        <f t="shared" si="1"/>
        <v>468.02734938544245</v>
      </c>
      <c r="H20" s="96">
        <v>670</v>
      </c>
      <c r="J20" s="97">
        <v>185190</v>
      </c>
      <c r="K20" s="94">
        <f t="shared" si="2"/>
        <v>359.96870543765766</v>
      </c>
      <c r="L20" s="96">
        <v>342</v>
      </c>
      <c r="N20" s="98"/>
      <c r="Q20" s="337"/>
      <c r="S20" s="95"/>
    </row>
    <row r="21" spans="1:19" ht="15.75" customHeight="1">
      <c r="A21" s="1" t="s">
        <v>11</v>
      </c>
      <c r="B21" s="93">
        <v>1241165</v>
      </c>
      <c r="C21" s="26">
        <v>4510</v>
      </c>
      <c r="D21" s="94">
        <f t="shared" si="0"/>
        <v>363.3682870528898</v>
      </c>
      <c r="E21" s="95"/>
      <c r="F21" s="81">
        <v>230205</v>
      </c>
      <c r="G21" s="94">
        <f t="shared" si="1"/>
        <v>836.49196521010504</v>
      </c>
      <c r="H21" s="96">
        <v>1154</v>
      </c>
      <c r="J21" s="97">
        <v>173589</v>
      </c>
      <c r="K21" s="94">
        <f t="shared" si="2"/>
        <v>630.76737581224086</v>
      </c>
      <c r="L21" s="96">
        <v>635</v>
      </c>
      <c r="N21" s="98"/>
      <c r="Q21" s="337"/>
      <c r="S21" s="95"/>
    </row>
    <row r="22" spans="1:19" ht="15.75" customHeight="1">
      <c r="A22" s="1" t="s">
        <v>12</v>
      </c>
      <c r="B22" s="93">
        <v>1089820</v>
      </c>
      <c r="C22" s="26">
        <v>5917</v>
      </c>
      <c r="D22" s="94">
        <f t="shared" si="0"/>
        <v>542.93369547264683</v>
      </c>
      <c r="E22" s="95"/>
      <c r="F22" s="81">
        <v>199367</v>
      </c>
      <c r="G22" s="94">
        <f t="shared" si="1"/>
        <v>1082.4306206529518</v>
      </c>
      <c r="H22" s="96">
        <v>1440</v>
      </c>
      <c r="J22" s="97">
        <v>154459</v>
      </c>
      <c r="K22" s="94">
        <f t="shared" si="2"/>
        <v>838.60995669009549</v>
      </c>
      <c r="L22" s="96">
        <v>852</v>
      </c>
      <c r="N22" s="98"/>
      <c r="Q22" s="337"/>
      <c r="S22" s="95"/>
    </row>
    <row r="23" spans="1:19" ht="15.75" customHeight="1">
      <c r="A23" s="1" t="s">
        <v>13</v>
      </c>
      <c r="B23" s="93">
        <v>827641</v>
      </c>
      <c r="C23" s="26">
        <v>5839</v>
      </c>
      <c r="D23" s="94">
        <f t="shared" si="0"/>
        <v>705.49912341220409</v>
      </c>
      <c r="E23" s="95"/>
      <c r="F23" s="81">
        <v>150158</v>
      </c>
      <c r="G23" s="94">
        <f t="shared" si="1"/>
        <v>1059.3633737332975</v>
      </c>
      <c r="H23" s="96">
        <v>1348</v>
      </c>
      <c r="J23" s="97">
        <v>117443</v>
      </c>
      <c r="K23" s="94">
        <f t="shared" si="2"/>
        <v>828.55933550899488</v>
      </c>
      <c r="L23" s="96">
        <v>816</v>
      </c>
      <c r="N23" s="98"/>
      <c r="Q23" s="337"/>
      <c r="S23" s="95"/>
    </row>
    <row r="24" spans="1:19" ht="15.75" customHeight="1">
      <c r="A24" s="1" t="s">
        <v>14</v>
      </c>
      <c r="B24" s="93">
        <v>568331</v>
      </c>
      <c r="C24" s="26">
        <v>4734</v>
      </c>
      <c r="D24" s="94">
        <f t="shared" si="0"/>
        <v>832.96529663171634</v>
      </c>
      <c r="E24" s="95"/>
      <c r="F24" s="81">
        <v>101731</v>
      </c>
      <c r="G24" s="94">
        <f t="shared" si="1"/>
        <v>847.38392591641127</v>
      </c>
      <c r="H24" s="96">
        <v>1157</v>
      </c>
      <c r="J24" s="97">
        <v>82053</v>
      </c>
      <c r="K24" s="94">
        <f t="shared" si="2"/>
        <v>683.47301484522222</v>
      </c>
      <c r="L24" s="96">
        <v>730</v>
      </c>
      <c r="N24" s="98"/>
      <c r="Q24" s="337"/>
      <c r="S24" s="95"/>
    </row>
    <row r="25" spans="1:19" ht="15.75" customHeight="1">
      <c r="A25" s="1" t="s">
        <v>15</v>
      </c>
      <c r="B25" s="93">
        <v>323911</v>
      </c>
      <c r="C25" s="26">
        <v>2955</v>
      </c>
      <c r="D25" s="94">
        <f t="shared" si="0"/>
        <v>912.28763456628519</v>
      </c>
      <c r="E25" s="95"/>
      <c r="F25" s="81">
        <v>56291</v>
      </c>
      <c r="G25" s="94">
        <f t="shared" si="1"/>
        <v>513.53583237370765</v>
      </c>
      <c r="H25" s="96">
        <v>697</v>
      </c>
      <c r="J25" s="97">
        <v>48101</v>
      </c>
      <c r="K25" s="94">
        <f t="shared" si="2"/>
        <v>438.8194751027288</v>
      </c>
      <c r="L25" s="96">
        <v>447</v>
      </c>
      <c r="N25" s="98"/>
      <c r="Q25" s="337"/>
      <c r="S25" s="95"/>
    </row>
    <row r="26" spans="1:19" ht="15.75" customHeight="1">
      <c r="A26" s="100" t="s">
        <v>44</v>
      </c>
      <c r="B26" s="101">
        <v>121745</v>
      </c>
      <c r="C26" s="102">
        <v>1004</v>
      </c>
      <c r="D26" s="103">
        <f t="shared" si="0"/>
        <v>824.67452462113431</v>
      </c>
      <c r="E26" s="104"/>
      <c r="F26" s="105">
        <v>20410</v>
      </c>
      <c r="G26" s="103">
        <f t="shared" si="1"/>
        <v>168.31607047517352</v>
      </c>
      <c r="H26" s="106">
        <v>258</v>
      </c>
      <c r="I26" s="100"/>
      <c r="J26" s="107">
        <v>18003</v>
      </c>
      <c r="K26" s="103">
        <f t="shared" si="2"/>
        <v>148.46615466754281</v>
      </c>
      <c r="L26" s="106">
        <v>204</v>
      </c>
      <c r="N26" s="98"/>
      <c r="Q26" s="337"/>
      <c r="S26" s="95"/>
    </row>
    <row r="27" spans="1:19" ht="15.75" customHeight="1">
      <c r="A27" s="14" t="s">
        <v>45</v>
      </c>
      <c r="B27" s="108">
        <v>34924</v>
      </c>
      <c r="C27" s="41">
        <v>347</v>
      </c>
      <c r="D27" s="109">
        <f t="shared" si="0"/>
        <v>993.58607261482075</v>
      </c>
      <c r="E27" s="110"/>
      <c r="F27" s="111">
        <v>5198</v>
      </c>
      <c r="G27" s="109">
        <f t="shared" si="1"/>
        <v>51.646604054518377</v>
      </c>
      <c r="H27" s="112">
        <v>41</v>
      </c>
      <c r="J27" s="113">
        <v>4947</v>
      </c>
      <c r="K27" s="109">
        <f t="shared" si="2"/>
        <v>49.152703012255181</v>
      </c>
      <c r="L27" s="112">
        <v>33</v>
      </c>
      <c r="N27" s="98"/>
      <c r="Q27" s="337"/>
      <c r="S27" s="95"/>
    </row>
    <row r="28" spans="1:19" ht="15.75" customHeight="1">
      <c r="A28" s="100"/>
      <c r="B28" s="101"/>
      <c r="C28" s="102"/>
      <c r="D28" s="103"/>
      <c r="E28" s="114"/>
      <c r="F28" s="105"/>
      <c r="G28" s="103"/>
      <c r="H28" s="106"/>
      <c r="J28" s="107"/>
      <c r="K28" s="103"/>
      <c r="L28" s="106"/>
      <c r="N28" s="98"/>
      <c r="Q28" s="337"/>
      <c r="S28" s="95"/>
    </row>
    <row r="29" spans="1:19" ht="15.75" customHeight="1">
      <c r="A29" s="1" t="s">
        <v>16</v>
      </c>
      <c r="B29" s="81">
        <f>SUM(B9:B27)</f>
        <v>24493964</v>
      </c>
      <c r="C29" s="26">
        <f>SUM(C9:C27)</f>
        <v>30126</v>
      </c>
      <c r="D29" s="94">
        <f>100000*C29/B29</f>
        <v>122.99356690489134</v>
      </c>
      <c r="F29" s="81">
        <f>SUM(F9:F27)</f>
        <v>4379176</v>
      </c>
      <c r="G29" s="94">
        <f>SUM(G9:G27)</f>
        <v>5410.8402257935204</v>
      </c>
      <c r="H29" s="96">
        <f>SUM(H9:H27)</f>
        <v>7363</v>
      </c>
      <c r="I29" s="115"/>
      <c r="J29" s="116">
        <f>SUM(J9:J27)</f>
        <v>3566704</v>
      </c>
      <c r="K29" s="94">
        <f>SUM(K9:K27)</f>
        <v>4301.0504329454652</v>
      </c>
      <c r="L29" s="96">
        <f>SUM(L9:L27)</f>
        <v>4376</v>
      </c>
      <c r="M29" s="115"/>
      <c r="N29" s="117"/>
    </row>
    <row r="30" spans="1:19" ht="15.75" customHeight="1">
      <c r="B30" s="118"/>
      <c r="D30" s="356"/>
      <c r="F30" s="119"/>
      <c r="I30" s="120"/>
      <c r="J30" s="119"/>
      <c r="M30" s="120"/>
      <c r="N30" s="114"/>
    </row>
    <row r="31" spans="1:19" ht="15.75" customHeight="1">
      <c r="B31" s="118"/>
      <c r="C31" s="1" t="s">
        <v>150</v>
      </c>
      <c r="D31" s="121"/>
      <c r="F31" s="119"/>
      <c r="G31" s="3" t="s">
        <v>85</v>
      </c>
      <c r="H31" s="122" t="s">
        <v>142</v>
      </c>
      <c r="I31" s="120"/>
      <c r="J31" s="119"/>
      <c r="K31" s="3" t="s">
        <v>85</v>
      </c>
      <c r="L31" s="1" t="s">
        <v>86</v>
      </c>
      <c r="M31" s="120"/>
      <c r="N31" s="114"/>
    </row>
    <row r="32" spans="1:19" ht="15.75" customHeight="1">
      <c r="A32" s="123"/>
      <c r="B32" s="118"/>
      <c r="C32" s="11" t="s">
        <v>36</v>
      </c>
      <c r="D32" s="349">
        <f>C29/B29*100000</f>
        <v>122.99356690489134</v>
      </c>
      <c r="E32" s="340" t="s">
        <v>149</v>
      </c>
      <c r="F32" s="119"/>
      <c r="G32" s="124" t="s">
        <v>85</v>
      </c>
      <c r="H32" s="357">
        <f>H29/G29*100</f>
        <v>136.07868081006197</v>
      </c>
      <c r="I32" s="98"/>
      <c r="J32" s="358"/>
      <c r="K32" s="359" t="s">
        <v>85</v>
      </c>
      <c r="L32" s="357">
        <f>L29/K29*100</f>
        <v>101.74258749631093</v>
      </c>
    </row>
    <row r="33" spans="2:14" ht="15.75" customHeight="1">
      <c r="B33" s="118"/>
      <c r="D33" s="125"/>
      <c r="F33" s="119"/>
      <c r="H33" s="98"/>
      <c r="I33" s="98"/>
      <c r="J33" s="358"/>
      <c r="K33" s="98"/>
      <c r="L33" s="98"/>
    </row>
    <row r="34" spans="2:14" ht="15.75" customHeight="1">
      <c r="B34" s="118"/>
      <c r="D34" s="125"/>
      <c r="F34" s="119"/>
      <c r="G34" s="126" t="s">
        <v>87</v>
      </c>
      <c r="H34" s="360"/>
      <c r="I34" s="98"/>
      <c r="J34" s="358"/>
      <c r="K34" s="361" t="s">
        <v>87</v>
      </c>
      <c r="L34" s="360"/>
      <c r="N34" s="100"/>
    </row>
    <row r="35" spans="2:14" ht="15.75" customHeight="1">
      <c r="B35" s="118"/>
      <c r="D35" s="125"/>
      <c r="F35" s="119"/>
      <c r="G35" s="27" t="s">
        <v>88</v>
      </c>
      <c r="H35" s="362">
        <f>H32-1.96*(100*SQRT(H29)/G29)</f>
        <v>132.97041063271624</v>
      </c>
      <c r="I35" s="98"/>
      <c r="J35" s="358"/>
      <c r="K35" s="363" t="s">
        <v>88</v>
      </c>
      <c r="L35" s="362">
        <f>L32-1.96*(100*SQRT(L29)/K29)</f>
        <v>98.728053451096983</v>
      </c>
      <c r="N35" s="100"/>
    </row>
    <row r="36" spans="2:14" ht="15.75" customHeight="1">
      <c r="B36" s="118"/>
      <c r="D36" s="125"/>
      <c r="F36" s="119"/>
      <c r="G36" s="27" t="s">
        <v>89</v>
      </c>
      <c r="H36" s="362">
        <f>H32+1.96*(100*SQRT(H29)/G29)</f>
        <v>139.1869509874077</v>
      </c>
      <c r="I36" s="98"/>
      <c r="J36" s="358"/>
      <c r="K36" s="363" t="s">
        <v>89</v>
      </c>
      <c r="L36" s="362">
        <f>L32+1.96*(100*SQRT(L29)/K29)</f>
        <v>104.75712154152488</v>
      </c>
      <c r="N36" s="100"/>
    </row>
    <row r="37" spans="2:14" ht="12.75" customHeight="1">
      <c r="B37" s="118"/>
      <c r="D37" s="125"/>
      <c r="F37" s="119"/>
      <c r="G37" s="27"/>
      <c r="H37" s="117"/>
      <c r="J37" s="119"/>
      <c r="K37" s="27"/>
      <c r="L37" s="117"/>
      <c r="N37" s="100"/>
    </row>
    <row r="38" spans="2:14" ht="12.75" customHeight="1">
      <c r="B38" s="118"/>
      <c r="C38" s="355"/>
      <c r="F38" s="119"/>
      <c r="G38" s="27"/>
      <c r="H38" s="117"/>
      <c r="J38" s="119"/>
      <c r="K38" s="27"/>
      <c r="L38" s="117"/>
      <c r="N38" s="100"/>
    </row>
    <row r="39" spans="2:14" ht="12.75" customHeight="1">
      <c r="B39" s="128"/>
      <c r="C39" s="355"/>
      <c r="F39" s="128"/>
      <c r="G39" s="120"/>
      <c r="H39" s="114"/>
      <c r="J39" s="128"/>
      <c r="K39" s="120"/>
      <c r="L39" s="114"/>
    </row>
    <row r="40" spans="2:14" ht="12.75" customHeight="1">
      <c r="B40" s="128"/>
      <c r="C40" s="355"/>
      <c r="F40" s="128"/>
      <c r="G40" s="127"/>
      <c r="H40" s="127"/>
      <c r="J40" s="128"/>
      <c r="K40" s="127"/>
      <c r="L40" s="127"/>
      <c r="N40" s="100"/>
    </row>
    <row r="41" spans="2:14" ht="12.75" customHeight="1">
      <c r="B41" s="128"/>
      <c r="C41" s="355"/>
      <c r="F41" s="128"/>
      <c r="G41" s="27"/>
      <c r="H41" s="117"/>
      <c r="J41" s="128"/>
      <c r="K41" s="27"/>
      <c r="L41" s="117"/>
      <c r="N41" s="100"/>
    </row>
    <row r="42" spans="2:14" ht="12.75" customHeight="1">
      <c r="B42" s="128"/>
      <c r="C42" s="355"/>
      <c r="F42" s="128"/>
      <c r="G42" s="27"/>
      <c r="H42" s="117"/>
      <c r="K42" s="27"/>
      <c r="L42" s="117"/>
      <c r="N42" s="100"/>
    </row>
    <row r="43" spans="2:14" ht="12.75" customHeight="1">
      <c r="B43" s="128"/>
      <c r="C43" s="355"/>
      <c r="F43" s="128"/>
    </row>
    <row r="44" spans="2:14" ht="12.75" customHeight="1">
      <c r="B44" s="128"/>
      <c r="C44" s="355"/>
      <c r="F44" s="128"/>
    </row>
    <row r="45" spans="2:14" ht="12.75" customHeight="1">
      <c r="B45" s="128"/>
      <c r="C45" s="355"/>
      <c r="F45" s="128"/>
    </row>
    <row r="46" spans="2:14" ht="12.75" customHeight="1">
      <c r="B46" s="128"/>
      <c r="C46" s="355"/>
      <c r="F46" s="128"/>
    </row>
    <row r="47" spans="2:14" ht="12.75" customHeight="1">
      <c r="B47" s="128"/>
      <c r="C47" s="355"/>
      <c r="F47" s="128"/>
    </row>
    <row r="48" spans="2:14" ht="12.75" customHeight="1">
      <c r="B48" s="128"/>
      <c r="C48" s="355"/>
      <c r="F48" s="128"/>
    </row>
    <row r="49" spans="2:6" ht="12.75" customHeight="1">
      <c r="B49" s="128"/>
      <c r="C49" s="355"/>
      <c r="F49" s="128"/>
    </row>
    <row r="50" spans="2:6" ht="12.75" customHeight="1">
      <c r="B50" s="128"/>
      <c r="C50" s="355"/>
      <c r="F50" s="128"/>
    </row>
    <row r="51" spans="2:6" ht="12.75" customHeight="1">
      <c r="B51" s="128"/>
      <c r="C51" s="355"/>
      <c r="F51" s="128"/>
    </row>
    <row r="52" spans="2:6" ht="12.75" customHeight="1">
      <c r="B52" s="128"/>
      <c r="C52" s="355"/>
      <c r="F52" s="128"/>
    </row>
    <row r="53" spans="2:6" ht="12.75" customHeight="1">
      <c r="B53" s="128"/>
      <c r="C53" s="355"/>
      <c r="F53" s="128"/>
    </row>
    <row r="54" spans="2:6" ht="12.75" customHeight="1">
      <c r="B54" s="128"/>
      <c r="C54" s="355"/>
      <c r="F54" s="128"/>
    </row>
    <row r="55" spans="2:6" ht="12.75" customHeight="1">
      <c r="B55" s="128"/>
      <c r="C55" s="355"/>
      <c r="F55" s="128"/>
    </row>
    <row r="56" spans="2:6" ht="12.75" customHeight="1">
      <c r="B56" s="128"/>
      <c r="C56" s="355"/>
      <c r="F56" s="128"/>
    </row>
    <row r="57" spans="2:6" ht="12.75" customHeight="1">
      <c r="B57" s="128"/>
      <c r="F57" s="128"/>
    </row>
    <row r="58" spans="2:6" ht="12.75" customHeight="1">
      <c r="B58" s="128"/>
      <c r="F58" s="128"/>
    </row>
  </sheetData>
  <mergeCells count="1">
    <mergeCell ref="B6:D6"/>
  </mergeCells>
  <pageMargins left="0.23" right="0.19" top="0.38" bottom="0.39" header="0.5" footer="0.5"/>
  <pageSetup paperSize="9" orientation="landscape" r:id="rId1"/>
  <headerFooter alignWithMargins="0"/>
  <ignoredErrors>
    <ignoredError sqref="F29 J29 B29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D30" sqref="D30"/>
    </sheetView>
  </sheetViews>
  <sheetFormatPr defaultRowHeight="12.75"/>
  <cols>
    <col min="1" max="1" width="9.140625" style="132"/>
    <col min="2" max="2" width="7.140625" style="132" bestFit="1" customWidth="1"/>
    <col min="3" max="3" width="9.140625" style="132"/>
    <col min="4" max="4" width="14.140625" style="132" customWidth="1"/>
    <col min="5" max="5" width="12.85546875" style="132" bestFit="1" customWidth="1"/>
    <col min="6" max="6" width="13.7109375" style="132" bestFit="1" customWidth="1"/>
    <col min="7" max="7" width="10.140625" style="132" bestFit="1" customWidth="1"/>
    <col min="8" max="16384" width="9.140625" style="132"/>
  </cols>
  <sheetData>
    <row r="1" spans="1:7" ht="15.75">
      <c r="A1" s="129" t="s">
        <v>91</v>
      </c>
      <c r="B1" s="130"/>
      <c r="C1" s="131"/>
      <c r="D1" s="130"/>
      <c r="E1" s="131"/>
      <c r="F1" s="130"/>
      <c r="G1" s="130"/>
    </row>
    <row r="2" spans="1:7">
      <c r="A2" s="133"/>
      <c r="B2" s="133"/>
      <c r="C2" s="134"/>
      <c r="D2" s="133"/>
      <c r="E2" s="134"/>
      <c r="F2" s="133"/>
      <c r="G2" s="133"/>
    </row>
    <row r="3" spans="1:7" ht="38.25">
      <c r="A3" s="133"/>
      <c r="B3" s="133"/>
      <c r="C3" s="134"/>
      <c r="D3" s="335" t="s">
        <v>139</v>
      </c>
      <c r="E3" s="134"/>
      <c r="F3" s="336" t="s">
        <v>140</v>
      </c>
      <c r="G3" s="133"/>
    </row>
    <row r="4" spans="1:7">
      <c r="A4" s="133"/>
      <c r="B4" s="130"/>
      <c r="C4" s="131"/>
      <c r="D4" s="130"/>
      <c r="E4" s="131"/>
      <c r="F4" s="130"/>
      <c r="G4" s="130"/>
    </row>
    <row r="5" spans="1:7" ht="25.5">
      <c r="A5" s="135" t="s">
        <v>0</v>
      </c>
      <c r="B5" s="135" t="s">
        <v>92</v>
      </c>
      <c r="C5" s="135" t="s">
        <v>46</v>
      </c>
      <c r="D5" s="135" t="s">
        <v>93</v>
      </c>
      <c r="E5" s="135" t="s">
        <v>94</v>
      </c>
      <c r="F5" s="135" t="s">
        <v>23</v>
      </c>
      <c r="G5" s="135" t="s">
        <v>95</v>
      </c>
    </row>
    <row r="6" spans="1:7">
      <c r="A6" s="136" t="s">
        <v>1</v>
      </c>
      <c r="B6" s="137">
        <v>1</v>
      </c>
      <c r="C6" s="138">
        <v>5000</v>
      </c>
      <c r="D6" s="139">
        <v>137389</v>
      </c>
      <c r="E6" s="140">
        <f>(F6/D6)*100000</f>
        <v>1.4557206180989744</v>
      </c>
      <c r="F6" s="141">
        <v>2</v>
      </c>
      <c r="G6" s="140">
        <f t="shared" ref="G6:G24" si="0">E6*C6</f>
        <v>7278.603090494872</v>
      </c>
    </row>
    <row r="7" spans="1:7">
      <c r="A7" s="137" t="str">
        <f>"5-9"</f>
        <v>5-9</v>
      </c>
      <c r="B7" s="137">
        <v>2</v>
      </c>
      <c r="C7" s="138">
        <v>5500</v>
      </c>
      <c r="D7" s="139">
        <v>143221</v>
      </c>
      <c r="E7" s="140">
        <f t="shared" ref="E7:E24" si="1">(F7/D7)*100000</f>
        <v>4.8875514065674732</v>
      </c>
      <c r="F7" s="141">
        <v>7</v>
      </c>
      <c r="G7" s="140">
        <f t="shared" si="0"/>
        <v>26881.532736121102</v>
      </c>
    </row>
    <row r="8" spans="1:7">
      <c r="A8" s="137" t="str">
        <f>"10-14"</f>
        <v>10-14</v>
      </c>
      <c r="B8" s="137">
        <v>3</v>
      </c>
      <c r="C8" s="138">
        <v>5500</v>
      </c>
      <c r="D8" s="139">
        <v>157404</v>
      </c>
      <c r="E8" s="140">
        <f t="shared" si="1"/>
        <v>6.9883865721328551</v>
      </c>
      <c r="F8" s="141">
        <v>11</v>
      </c>
      <c r="G8" s="140">
        <f t="shared" si="0"/>
        <v>38436.126146730705</v>
      </c>
    </row>
    <row r="9" spans="1:7">
      <c r="A9" s="137" t="s">
        <v>2</v>
      </c>
      <c r="B9" s="137">
        <v>4</v>
      </c>
      <c r="C9" s="138">
        <v>5500</v>
      </c>
      <c r="D9" s="139">
        <v>168880</v>
      </c>
      <c r="E9" s="140">
        <f t="shared" si="1"/>
        <v>114.28233064898154</v>
      </c>
      <c r="F9" s="141">
        <v>193</v>
      </c>
      <c r="G9" s="140">
        <f t="shared" si="0"/>
        <v>628552.81856939849</v>
      </c>
    </row>
    <row r="10" spans="1:7">
      <c r="A10" s="137" t="s">
        <v>3</v>
      </c>
      <c r="B10" s="137">
        <v>5</v>
      </c>
      <c r="C10" s="138">
        <v>6000</v>
      </c>
      <c r="D10" s="139">
        <v>171019</v>
      </c>
      <c r="E10" s="140">
        <f t="shared" si="1"/>
        <v>257.28135470327862</v>
      </c>
      <c r="F10" s="141">
        <v>440</v>
      </c>
      <c r="G10" s="140">
        <f t="shared" si="0"/>
        <v>1543688.1282196718</v>
      </c>
    </row>
    <row r="11" spans="1:7">
      <c r="A11" s="137" t="s">
        <v>4</v>
      </c>
      <c r="B11" s="137">
        <v>6</v>
      </c>
      <c r="C11" s="138">
        <v>6000</v>
      </c>
      <c r="D11" s="139">
        <v>156422</v>
      </c>
      <c r="E11" s="140">
        <f t="shared" si="1"/>
        <v>433.4428660930048</v>
      </c>
      <c r="F11" s="141">
        <v>678</v>
      </c>
      <c r="G11" s="140">
        <f t="shared" si="0"/>
        <v>2600657.1965580289</v>
      </c>
    </row>
    <row r="12" spans="1:7">
      <c r="A12" s="137" t="s">
        <v>5</v>
      </c>
      <c r="B12" s="137">
        <v>7</v>
      </c>
      <c r="C12" s="138">
        <v>6500</v>
      </c>
      <c r="D12" s="139">
        <v>153686</v>
      </c>
      <c r="E12" s="140">
        <f t="shared" si="1"/>
        <v>448.96737503741389</v>
      </c>
      <c r="F12" s="141">
        <v>690</v>
      </c>
      <c r="G12" s="140">
        <f t="shared" si="0"/>
        <v>2918287.9377431902</v>
      </c>
    </row>
    <row r="13" spans="1:7">
      <c r="A13" s="137" t="s">
        <v>6</v>
      </c>
      <c r="B13" s="137">
        <v>8</v>
      </c>
      <c r="C13" s="138">
        <v>7000</v>
      </c>
      <c r="D13" s="139">
        <v>185147</v>
      </c>
      <c r="E13" s="140">
        <f t="shared" si="1"/>
        <v>345.13116604643881</v>
      </c>
      <c r="F13" s="141">
        <v>639</v>
      </c>
      <c r="G13" s="140">
        <f t="shared" si="0"/>
        <v>2415918.1623250716</v>
      </c>
    </row>
    <row r="14" spans="1:7">
      <c r="A14" s="137" t="s">
        <v>7</v>
      </c>
      <c r="B14" s="137">
        <v>9</v>
      </c>
      <c r="C14" s="138">
        <v>7000</v>
      </c>
      <c r="D14" s="139">
        <v>194867</v>
      </c>
      <c r="E14" s="140">
        <f t="shared" si="1"/>
        <v>216.04478952311064</v>
      </c>
      <c r="F14" s="141">
        <v>421</v>
      </c>
      <c r="G14" s="140">
        <f t="shared" si="0"/>
        <v>1512313.5266617744</v>
      </c>
    </row>
    <row r="15" spans="1:7">
      <c r="A15" s="137" t="s">
        <v>8</v>
      </c>
      <c r="B15" s="137">
        <v>10</v>
      </c>
      <c r="C15" s="138">
        <v>7000</v>
      </c>
      <c r="D15" s="139">
        <v>183306</v>
      </c>
      <c r="E15" s="140">
        <f t="shared" si="1"/>
        <v>72.010736146116329</v>
      </c>
      <c r="F15" s="141">
        <v>132</v>
      </c>
      <c r="G15" s="140">
        <f t="shared" si="0"/>
        <v>504075.15302281431</v>
      </c>
    </row>
    <row r="16" spans="1:7">
      <c r="A16" s="137" t="s">
        <v>9</v>
      </c>
      <c r="B16" s="137">
        <v>11</v>
      </c>
      <c r="C16" s="138">
        <v>7000</v>
      </c>
      <c r="D16" s="139">
        <v>164736</v>
      </c>
      <c r="E16" s="140">
        <f t="shared" si="1"/>
        <v>43.706293706293707</v>
      </c>
      <c r="F16" s="141">
        <v>72</v>
      </c>
      <c r="G16" s="140">
        <f t="shared" si="0"/>
        <v>305944.05594405596</v>
      </c>
    </row>
    <row r="17" spans="1:10">
      <c r="A17" s="137" t="s">
        <v>10</v>
      </c>
      <c r="B17" s="137">
        <v>12</v>
      </c>
      <c r="C17" s="138">
        <v>6500</v>
      </c>
      <c r="D17" s="139">
        <v>169377</v>
      </c>
      <c r="E17" s="140">
        <f t="shared" si="1"/>
        <v>18.302366909320629</v>
      </c>
      <c r="F17" s="141">
        <v>31</v>
      </c>
      <c r="G17" s="140">
        <f t="shared" si="0"/>
        <v>118965.38491058409</v>
      </c>
    </row>
    <row r="18" spans="1:10">
      <c r="A18" s="137" t="s">
        <v>11</v>
      </c>
      <c r="B18" s="137">
        <v>13</v>
      </c>
      <c r="C18" s="138">
        <v>6000</v>
      </c>
      <c r="D18" s="139">
        <v>135028</v>
      </c>
      <c r="E18" s="140">
        <f t="shared" si="1"/>
        <v>11.108807062238942</v>
      </c>
      <c r="F18" s="141">
        <v>15</v>
      </c>
      <c r="G18" s="140">
        <f t="shared" si="0"/>
        <v>66652.842373433654</v>
      </c>
    </row>
    <row r="19" spans="1:10">
      <c r="A19" s="137" t="s">
        <v>12</v>
      </c>
      <c r="B19" s="137">
        <v>14</v>
      </c>
      <c r="C19" s="138">
        <v>5500</v>
      </c>
      <c r="D19" s="139">
        <v>113650</v>
      </c>
      <c r="E19" s="140">
        <f t="shared" si="1"/>
        <v>9.6788385393752758</v>
      </c>
      <c r="F19" s="141">
        <v>11</v>
      </c>
      <c r="G19" s="140">
        <f t="shared" si="0"/>
        <v>53233.611966564014</v>
      </c>
    </row>
    <row r="20" spans="1:10">
      <c r="A20" s="137" t="s">
        <v>13</v>
      </c>
      <c r="B20" s="137">
        <v>15</v>
      </c>
      <c r="C20" s="138">
        <v>5000</v>
      </c>
      <c r="D20" s="139">
        <v>94702</v>
      </c>
      <c r="E20" s="140">
        <f t="shared" si="1"/>
        <v>9.5034951743363401</v>
      </c>
      <c r="F20" s="141">
        <v>9</v>
      </c>
      <c r="G20" s="140">
        <f t="shared" si="0"/>
        <v>47517.475871681701</v>
      </c>
    </row>
    <row r="21" spans="1:10">
      <c r="A21" s="137" t="s">
        <v>14</v>
      </c>
      <c r="B21" s="137">
        <v>16</v>
      </c>
      <c r="C21" s="138">
        <v>4000</v>
      </c>
      <c r="D21" s="139">
        <v>69739</v>
      </c>
      <c r="E21" s="140">
        <f t="shared" si="1"/>
        <v>12.905261044752578</v>
      </c>
      <c r="F21" s="141">
        <v>9</v>
      </c>
      <c r="G21" s="140">
        <f t="shared" si="0"/>
        <v>51621.044179010314</v>
      </c>
    </row>
    <row r="22" spans="1:10">
      <c r="A22" s="137" t="s">
        <v>15</v>
      </c>
      <c r="B22" s="137">
        <v>17</v>
      </c>
      <c r="C22" s="138">
        <v>2500</v>
      </c>
      <c r="D22" s="139">
        <v>43643</v>
      </c>
      <c r="E22" s="140">
        <f t="shared" si="1"/>
        <v>11.456590976788947</v>
      </c>
      <c r="F22" s="141">
        <v>5</v>
      </c>
      <c r="G22" s="140">
        <f t="shared" si="0"/>
        <v>28641.477441972369</v>
      </c>
    </row>
    <row r="23" spans="1:10">
      <c r="A23" s="137" t="s">
        <v>44</v>
      </c>
      <c r="B23" s="137">
        <v>18</v>
      </c>
      <c r="C23" s="138">
        <v>1500</v>
      </c>
      <c r="D23" s="139">
        <v>27191</v>
      </c>
      <c r="E23" s="140">
        <f t="shared" si="1"/>
        <v>7.3553749402375788</v>
      </c>
      <c r="F23" s="141">
        <v>2</v>
      </c>
      <c r="G23" s="140">
        <f t="shared" si="0"/>
        <v>11033.062410356368</v>
      </c>
    </row>
    <row r="24" spans="1:10">
      <c r="A24" s="142" t="s">
        <v>45</v>
      </c>
      <c r="B24" s="143">
        <v>19</v>
      </c>
      <c r="C24" s="138">
        <v>1000</v>
      </c>
      <c r="D24" s="139">
        <v>5479</v>
      </c>
      <c r="E24" s="140">
        <f t="shared" si="1"/>
        <v>18.251505749224311</v>
      </c>
      <c r="F24" s="141">
        <v>1</v>
      </c>
      <c r="G24" s="140">
        <f t="shared" si="0"/>
        <v>18251.50574922431</v>
      </c>
    </row>
    <row r="25" spans="1:10">
      <c r="A25" s="144" t="s">
        <v>16</v>
      </c>
      <c r="B25" s="144"/>
      <c r="C25" s="145">
        <f>SUM(C6:C24)</f>
        <v>100000</v>
      </c>
      <c r="D25" s="146">
        <f>SUM(D6:D24)</f>
        <v>2474886</v>
      </c>
      <c r="E25" s="147">
        <f>(F25/D25)*100000</f>
        <v>136.08707633402105</v>
      </c>
      <c r="F25" s="148">
        <f>SUM(F6:F24)</f>
        <v>3368</v>
      </c>
      <c r="G25" s="147">
        <f>SUM(G6:G23)</f>
        <v>12879698.140170954</v>
      </c>
    </row>
    <row r="26" spans="1:10" ht="13.5" thickBot="1">
      <c r="A26" s="130"/>
      <c r="B26" s="130"/>
      <c r="C26" s="131"/>
      <c r="D26" s="130"/>
      <c r="E26" s="149"/>
      <c r="F26" s="130"/>
      <c r="G26" s="150"/>
    </row>
    <row r="27" spans="1:10" ht="14.25" thickTop="1" thickBot="1">
      <c r="A27" s="130"/>
      <c r="B27" s="130"/>
      <c r="C27" s="151"/>
      <c r="E27" s="131"/>
      <c r="F27" s="152" t="s">
        <v>96</v>
      </c>
      <c r="G27" s="153">
        <f>G25/C25</f>
        <v>128.79698140170953</v>
      </c>
      <c r="H27" s="376" t="s">
        <v>42</v>
      </c>
      <c r="I27" s="377"/>
      <c r="J27" s="377"/>
    </row>
    <row r="28" spans="1:10" ht="13.5" thickTop="1">
      <c r="A28" s="130"/>
      <c r="B28" s="130"/>
      <c r="C28" s="131"/>
      <c r="D28" s="154"/>
      <c r="E28" s="155"/>
      <c r="F28" s="130"/>
      <c r="G28" s="155"/>
    </row>
    <row r="29" spans="1:10">
      <c r="A29" s="130"/>
      <c r="B29" s="130"/>
      <c r="C29" s="131"/>
      <c r="E29" s="131"/>
      <c r="F29" s="130"/>
      <c r="G29" s="130"/>
    </row>
    <row r="30" spans="1:10">
      <c r="D30" s="130"/>
    </row>
    <row r="31" spans="1:10">
      <c r="D31" s="130"/>
    </row>
    <row r="32" spans="1:10">
      <c r="D32" s="130"/>
    </row>
    <row r="33" spans="4:4">
      <c r="D33" s="130"/>
    </row>
    <row r="34" spans="4:4">
      <c r="D34" s="130"/>
    </row>
  </sheetData>
  <mergeCells count="1">
    <mergeCell ref="H27:J27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B50"/>
  <sheetViews>
    <sheetView topLeftCell="A13" zoomScaleNormal="100" workbookViewId="0">
      <selection activeCell="R24" sqref="R24"/>
    </sheetView>
  </sheetViews>
  <sheetFormatPr defaultRowHeight="12.75"/>
  <cols>
    <col min="1" max="1" width="8.7109375" style="133" customWidth="1"/>
    <col min="2" max="2" width="11.5703125" style="132" customWidth="1"/>
    <col min="3" max="3" width="11.42578125" style="132" bestFit="1" customWidth="1"/>
    <col min="4" max="4" width="11.85546875" style="132" customWidth="1"/>
    <col min="5" max="5" width="8.7109375" style="132" customWidth="1"/>
    <col min="6" max="6" width="8.7109375" style="132" bestFit="1" customWidth="1"/>
    <col min="7" max="7" width="10" style="132" customWidth="1"/>
    <col min="8" max="8" width="6.140625" style="132" customWidth="1"/>
    <col min="9" max="9" width="8.5703125" style="133" customWidth="1"/>
    <col min="10" max="10" width="12.7109375" style="132" customWidth="1"/>
    <col min="11" max="11" width="11.28515625" style="132" customWidth="1"/>
    <col min="12" max="12" width="12.5703125" style="132" customWidth="1"/>
    <col min="13" max="13" width="9" style="132" customWidth="1"/>
    <col min="14" max="14" width="10.85546875" style="132" customWidth="1"/>
    <col min="15" max="15" width="10" style="132" customWidth="1"/>
    <col min="16" max="16" width="8.28515625" style="132" customWidth="1"/>
    <col min="17" max="17" width="9.140625" style="132"/>
    <col min="18" max="18" width="9.85546875" style="132" customWidth="1"/>
    <col min="19" max="16384" width="9.140625" style="132"/>
  </cols>
  <sheetData>
    <row r="1" spans="1:17" ht="15.75">
      <c r="A1" s="156" t="s">
        <v>97</v>
      </c>
      <c r="B1" s="130"/>
      <c r="C1" s="130"/>
      <c r="D1" s="130"/>
      <c r="E1" s="130"/>
      <c r="F1" s="130"/>
      <c r="G1" s="130"/>
      <c r="H1" s="130"/>
      <c r="J1" s="130"/>
      <c r="K1" s="130"/>
      <c r="L1" s="130"/>
      <c r="M1" s="130"/>
      <c r="N1" s="130"/>
      <c r="O1" s="130"/>
      <c r="P1" s="130"/>
    </row>
    <row r="2" spans="1:17" ht="15.75">
      <c r="A2" s="156" t="s">
        <v>98</v>
      </c>
      <c r="B2" s="130"/>
      <c r="C2" s="130"/>
      <c r="D2" s="130"/>
      <c r="E2" s="130"/>
      <c r="F2" s="130"/>
      <c r="G2" s="130"/>
      <c r="H2" s="130"/>
      <c r="J2" s="130"/>
      <c r="K2" s="130"/>
      <c r="L2" s="130"/>
      <c r="M2" s="130"/>
      <c r="N2" s="130"/>
      <c r="O2" s="130"/>
      <c r="P2" s="130"/>
    </row>
    <row r="3" spans="1:17" ht="8.25" customHeight="1">
      <c r="B3" s="130"/>
      <c r="C3" s="130"/>
      <c r="D3" s="130"/>
      <c r="E3" s="130"/>
      <c r="F3" s="130"/>
      <c r="G3" s="130"/>
      <c r="H3" s="130"/>
      <c r="J3" s="130"/>
      <c r="K3" s="130"/>
      <c r="L3" s="130"/>
      <c r="M3" s="130"/>
      <c r="N3" s="130"/>
      <c r="O3" s="130"/>
      <c r="P3" s="130"/>
    </row>
    <row r="4" spans="1:17" ht="12" customHeight="1">
      <c r="A4" s="133" t="s">
        <v>99</v>
      </c>
      <c r="B4" s="130"/>
      <c r="C4" s="130"/>
      <c r="D4" s="130"/>
      <c r="E4" s="130"/>
      <c r="F4" s="130"/>
      <c r="G4" s="130"/>
      <c r="H4" s="130"/>
      <c r="I4" s="133" t="s">
        <v>100</v>
      </c>
      <c r="J4" s="130"/>
      <c r="K4" s="130"/>
      <c r="L4" s="130"/>
      <c r="M4" s="130"/>
      <c r="N4" s="130"/>
      <c r="O4" s="130"/>
      <c r="P4" s="130"/>
    </row>
    <row r="5" spans="1:17" ht="12" customHeight="1">
      <c r="A5" s="133" t="s">
        <v>101</v>
      </c>
      <c r="B5" s="130"/>
      <c r="C5" s="130"/>
      <c r="D5" s="130"/>
      <c r="E5" s="130"/>
      <c r="F5" s="130"/>
      <c r="G5" s="130"/>
      <c r="H5" s="130"/>
      <c r="I5" s="133" t="s">
        <v>102</v>
      </c>
      <c r="J5" s="130"/>
      <c r="K5" s="130"/>
      <c r="L5" s="130"/>
      <c r="M5" s="130"/>
      <c r="N5" s="130"/>
      <c r="O5" s="130"/>
      <c r="P5" s="130"/>
    </row>
    <row r="6" spans="1:17" ht="12" customHeight="1">
      <c r="A6" s="157" t="s">
        <v>103</v>
      </c>
      <c r="B6" s="130"/>
      <c r="C6" s="130"/>
      <c r="D6" s="130"/>
      <c r="E6" s="130"/>
      <c r="F6" s="130"/>
      <c r="G6" s="130"/>
      <c r="H6" s="130"/>
      <c r="I6" s="133" t="s">
        <v>104</v>
      </c>
      <c r="J6" s="130"/>
      <c r="K6" s="130"/>
      <c r="L6" s="130"/>
      <c r="M6" s="130"/>
      <c r="N6" s="130"/>
      <c r="O6" s="130"/>
      <c r="P6" s="130"/>
    </row>
    <row r="7" spans="1:17" ht="12" customHeight="1">
      <c r="A7" s="157"/>
      <c r="B7" s="130"/>
      <c r="C7" s="130"/>
      <c r="D7" s="130"/>
      <c r="E7" s="130"/>
      <c r="F7" s="130"/>
      <c r="G7" s="130"/>
      <c r="H7" s="130"/>
      <c r="J7" s="130"/>
      <c r="K7" s="130"/>
      <c r="L7" s="130"/>
      <c r="M7" s="130"/>
      <c r="N7" s="130"/>
      <c r="O7" s="130"/>
      <c r="P7" s="130"/>
    </row>
    <row r="8" spans="1:17">
      <c r="B8" s="130"/>
      <c r="C8" s="130"/>
      <c r="D8" s="130"/>
      <c r="E8" s="130"/>
      <c r="F8" s="130"/>
      <c r="G8" s="130"/>
      <c r="H8" s="130"/>
      <c r="J8" s="130"/>
      <c r="K8" s="130"/>
      <c r="L8" s="130"/>
      <c r="M8" s="130"/>
      <c r="N8" s="130"/>
      <c r="O8" s="130"/>
      <c r="P8" s="130"/>
    </row>
    <row r="9" spans="1:17" s="166" customFormat="1" ht="24" customHeight="1">
      <c r="A9" s="158" t="s">
        <v>105</v>
      </c>
      <c r="B9" s="159" t="s">
        <v>106</v>
      </c>
      <c r="C9" s="158" t="s">
        <v>107</v>
      </c>
      <c r="D9" s="160" t="s">
        <v>108</v>
      </c>
      <c r="E9" s="159" t="s">
        <v>109</v>
      </c>
      <c r="F9" s="159" t="s">
        <v>46</v>
      </c>
      <c r="G9" s="161" t="s">
        <v>110</v>
      </c>
      <c r="H9" s="162"/>
      <c r="I9" s="158" t="s">
        <v>105</v>
      </c>
      <c r="J9" s="159" t="s">
        <v>106</v>
      </c>
      <c r="K9" s="163" t="s">
        <v>107</v>
      </c>
      <c r="L9" s="160" t="s">
        <v>108</v>
      </c>
      <c r="M9" s="163" t="s">
        <v>109</v>
      </c>
      <c r="N9" s="164" t="s">
        <v>46</v>
      </c>
      <c r="O9" s="165" t="s">
        <v>110</v>
      </c>
      <c r="Q9" s="167"/>
    </row>
    <row r="10" spans="1:17" s="180" customFormat="1" ht="12" customHeight="1">
      <c r="A10" s="168" t="s">
        <v>111</v>
      </c>
      <c r="B10" s="169" t="s">
        <v>12</v>
      </c>
      <c r="C10" s="170">
        <v>137334</v>
      </c>
      <c r="D10" s="171">
        <v>20</v>
      </c>
      <c r="E10" s="172">
        <f>(D10/C10)*100000</f>
        <v>14.563036101766496</v>
      </c>
      <c r="F10" s="173">
        <v>5500</v>
      </c>
      <c r="G10" s="174">
        <f>(E10*F10)/100000</f>
        <v>0.80096698559715729</v>
      </c>
      <c r="H10" s="175"/>
      <c r="I10" s="176" t="s">
        <v>111</v>
      </c>
      <c r="J10" s="169" t="s">
        <v>12</v>
      </c>
      <c r="K10" s="177">
        <f t="shared" ref="K10:L12" si="0">C10*$O$41</f>
        <v>137334</v>
      </c>
      <c r="L10" s="171">
        <f t="shared" si="0"/>
        <v>20</v>
      </c>
      <c r="M10" s="178">
        <f>(L10/K10)*100000</f>
        <v>14.563036101766496</v>
      </c>
      <c r="N10" s="179">
        <v>5500</v>
      </c>
      <c r="O10" s="174">
        <f>(M10*N10)/100000</f>
        <v>0.80096698559715729</v>
      </c>
    </row>
    <row r="11" spans="1:17" s="180" customFormat="1" ht="12" customHeight="1">
      <c r="A11" s="176"/>
      <c r="B11" s="181" t="s">
        <v>13</v>
      </c>
      <c r="C11" s="182">
        <v>101619</v>
      </c>
      <c r="D11" s="183">
        <v>7</v>
      </c>
      <c r="E11" s="184">
        <f t="shared" ref="E11:E21" si="1">(D11/C11)*100000</f>
        <v>6.8884755803540667</v>
      </c>
      <c r="F11" s="185">
        <v>5000</v>
      </c>
      <c r="G11" s="186">
        <f t="shared" ref="G11:G21" si="2">(E11*F11)/100000</f>
        <v>0.34442377901770332</v>
      </c>
      <c r="H11" s="175"/>
      <c r="I11" s="176"/>
      <c r="J11" s="181" t="s">
        <v>13</v>
      </c>
      <c r="K11" s="187">
        <f t="shared" si="0"/>
        <v>101619</v>
      </c>
      <c r="L11" s="183">
        <f t="shared" si="0"/>
        <v>7</v>
      </c>
      <c r="M11" s="188">
        <f t="shared" ref="M11:M21" si="3">(L11/K11)*100000</f>
        <v>6.8884755803540667</v>
      </c>
      <c r="N11" s="189">
        <v>5000</v>
      </c>
      <c r="O11" s="186">
        <f t="shared" ref="O11:O21" si="4">(M11*N11)/100000</f>
        <v>0.34442377901770332</v>
      </c>
    </row>
    <row r="12" spans="1:17" s="180" customFormat="1" ht="12" customHeight="1">
      <c r="A12" s="176"/>
      <c r="B12" s="181" t="s">
        <v>14</v>
      </c>
      <c r="C12" s="182">
        <v>78407</v>
      </c>
      <c r="D12" s="183">
        <v>6</v>
      </c>
      <c r="E12" s="184">
        <f t="shared" si="1"/>
        <v>7.6523779764561839</v>
      </c>
      <c r="F12" s="185">
        <v>4000</v>
      </c>
      <c r="G12" s="186">
        <f t="shared" si="2"/>
        <v>0.30609511905824738</v>
      </c>
      <c r="H12" s="175"/>
      <c r="I12" s="176"/>
      <c r="J12" s="181" t="s">
        <v>14</v>
      </c>
      <c r="K12" s="187">
        <f t="shared" si="0"/>
        <v>78407</v>
      </c>
      <c r="L12" s="183">
        <f t="shared" si="0"/>
        <v>6</v>
      </c>
      <c r="M12" s="188">
        <f t="shared" si="3"/>
        <v>7.6523779764561839</v>
      </c>
      <c r="N12" s="189">
        <v>4000</v>
      </c>
      <c r="O12" s="186">
        <f t="shared" si="4"/>
        <v>0.30609511905824738</v>
      </c>
      <c r="Q12" s="157"/>
    </row>
    <row r="13" spans="1:17" s="180" customFormat="1" ht="12" customHeight="1">
      <c r="A13" s="176"/>
      <c r="B13" s="181" t="s">
        <v>15</v>
      </c>
      <c r="C13" s="182">
        <v>50919</v>
      </c>
      <c r="D13" s="183">
        <v>5</v>
      </c>
      <c r="E13" s="184">
        <f t="shared" si="1"/>
        <v>9.8195172725308826</v>
      </c>
      <c r="F13" s="185">
        <v>2500</v>
      </c>
      <c r="G13" s="186">
        <f t="shared" si="2"/>
        <v>0.24548793181327208</v>
      </c>
      <c r="H13" s="175"/>
      <c r="I13" s="176"/>
      <c r="J13" s="181" t="s">
        <v>15</v>
      </c>
      <c r="K13" s="187">
        <f t="shared" ref="K13:L15" si="5">C13*$O$41*$O$42</f>
        <v>50919</v>
      </c>
      <c r="L13" s="183">
        <f t="shared" si="5"/>
        <v>5</v>
      </c>
      <c r="M13" s="188">
        <f t="shared" si="3"/>
        <v>9.8195172725308826</v>
      </c>
      <c r="N13" s="189">
        <v>2500</v>
      </c>
      <c r="O13" s="186">
        <f t="shared" si="4"/>
        <v>0.24548793181327208</v>
      </c>
      <c r="Q13" s="157"/>
    </row>
    <row r="14" spans="1:17" s="180" customFormat="1" ht="12" customHeight="1">
      <c r="A14" s="176"/>
      <c r="B14" s="181" t="s">
        <v>44</v>
      </c>
      <c r="C14" s="182">
        <v>24838</v>
      </c>
      <c r="D14" s="183">
        <v>3</v>
      </c>
      <c r="E14" s="184">
        <f t="shared" si="1"/>
        <v>12.078267171269829</v>
      </c>
      <c r="F14" s="185">
        <v>1500</v>
      </c>
      <c r="G14" s="186">
        <f t="shared" si="2"/>
        <v>0.18117400756904742</v>
      </c>
      <c r="H14" s="175"/>
      <c r="I14" s="176"/>
      <c r="J14" s="181" t="s">
        <v>44</v>
      </c>
      <c r="K14" s="187">
        <f t="shared" si="5"/>
        <v>24838</v>
      </c>
      <c r="L14" s="183">
        <f t="shared" si="5"/>
        <v>3</v>
      </c>
      <c r="M14" s="188">
        <f t="shared" si="3"/>
        <v>12.078267171269829</v>
      </c>
      <c r="N14" s="189">
        <v>1500</v>
      </c>
      <c r="O14" s="186">
        <f t="shared" si="4"/>
        <v>0.18117400756904742</v>
      </c>
    </row>
    <row r="15" spans="1:17" s="180" customFormat="1" ht="12" customHeight="1">
      <c r="A15" s="190"/>
      <c r="B15" s="191" t="s">
        <v>45</v>
      </c>
      <c r="C15" s="192">
        <v>9839</v>
      </c>
      <c r="D15" s="193">
        <v>2</v>
      </c>
      <c r="E15" s="184">
        <f t="shared" si="1"/>
        <v>20.327269031405631</v>
      </c>
      <c r="F15" s="194">
        <v>1000</v>
      </c>
      <c r="G15" s="186">
        <f t="shared" si="2"/>
        <v>0.20327269031405631</v>
      </c>
      <c r="H15" s="175"/>
      <c r="I15" s="190"/>
      <c r="J15" s="191" t="s">
        <v>45</v>
      </c>
      <c r="K15" s="195">
        <f t="shared" si="5"/>
        <v>9839</v>
      </c>
      <c r="L15" s="196">
        <f t="shared" si="5"/>
        <v>2</v>
      </c>
      <c r="M15" s="197">
        <f t="shared" si="3"/>
        <v>20.327269031405631</v>
      </c>
      <c r="N15" s="198">
        <v>1000</v>
      </c>
      <c r="O15" s="199">
        <f t="shared" si="4"/>
        <v>0.20327269031405631</v>
      </c>
    </row>
    <row r="16" spans="1:17" s="155" customFormat="1" ht="12" customHeight="1">
      <c r="A16" s="200" t="s">
        <v>112</v>
      </c>
      <c r="B16" s="201" t="s">
        <v>12</v>
      </c>
      <c r="C16" s="202">
        <v>148398</v>
      </c>
      <c r="D16" s="203">
        <v>10</v>
      </c>
      <c r="E16" s="204">
        <f t="shared" si="1"/>
        <v>6.7386352915807493</v>
      </c>
      <c r="F16" s="205">
        <v>5500</v>
      </c>
      <c r="G16" s="206">
        <f t="shared" si="2"/>
        <v>0.37062494103694121</v>
      </c>
      <c r="H16" s="207"/>
      <c r="I16" s="208" t="s">
        <v>112</v>
      </c>
      <c r="J16" s="201" t="s">
        <v>12</v>
      </c>
      <c r="K16" s="209">
        <f t="shared" ref="K16:L18" si="6">C16</f>
        <v>148398</v>
      </c>
      <c r="L16" s="203">
        <f t="shared" si="6"/>
        <v>10</v>
      </c>
      <c r="M16" s="210">
        <f t="shared" si="3"/>
        <v>6.7386352915807493</v>
      </c>
      <c r="N16" s="211">
        <v>5500</v>
      </c>
      <c r="O16" s="206">
        <f t="shared" si="4"/>
        <v>0.37062494103694121</v>
      </c>
    </row>
    <row r="17" spans="1:236" s="155" customFormat="1" ht="12" customHeight="1">
      <c r="A17" s="208"/>
      <c r="B17" s="212" t="s">
        <v>13</v>
      </c>
      <c r="C17" s="213">
        <v>119914</v>
      </c>
      <c r="D17" s="214">
        <v>6</v>
      </c>
      <c r="E17" s="215">
        <f t="shared" si="1"/>
        <v>5.0035859032306487</v>
      </c>
      <c r="F17" s="216">
        <v>5000</v>
      </c>
      <c r="G17" s="217">
        <f t="shared" si="2"/>
        <v>0.25017929516153242</v>
      </c>
      <c r="H17" s="207"/>
      <c r="I17" s="208"/>
      <c r="J17" s="212" t="s">
        <v>13</v>
      </c>
      <c r="K17" s="218">
        <f t="shared" si="6"/>
        <v>119914</v>
      </c>
      <c r="L17" s="214">
        <f t="shared" si="6"/>
        <v>6</v>
      </c>
      <c r="M17" s="219">
        <f t="shared" si="3"/>
        <v>5.0035859032306487</v>
      </c>
      <c r="N17" s="220">
        <v>5000</v>
      </c>
      <c r="O17" s="217">
        <f t="shared" si="4"/>
        <v>0.25017929516153242</v>
      </c>
    </row>
    <row r="18" spans="1:236" s="155" customFormat="1" ht="12" customHeight="1">
      <c r="A18" s="208"/>
      <c r="B18" s="212" t="s">
        <v>14</v>
      </c>
      <c r="C18" s="213">
        <v>102204</v>
      </c>
      <c r="D18" s="214">
        <v>3</v>
      </c>
      <c r="E18" s="215">
        <f t="shared" si="1"/>
        <v>2.9353058588704943</v>
      </c>
      <c r="F18" s="216">
        <v>4000</v>
      </c>
      <c r="G18" s="217">
        <f t="shared" si="2"/>
        <v>0.11741223435481977</v>
      </c>
      <c r="H18" s="207"/>
      <c r="I18" s="208"/>
      <c r="J18" s="212" t="s">
        <v>14</v>
      </c>
      <c r="K18" s="218">
        <f t="shared" si="6"/>
        <v>102204</v>
      </c>
      <c r="L18" s="214">
        <f t="shared" si="6"/>
        <v>3</v>
      </c>
      <c r="M18" s="219">
        <f t="shared" si="3"/>
        <v>2.9353058588704943</v>
      </c>
      <c r="N18" s="220">
        <v>4000</v>
      </c>
      <c r="O18" s="217">
        <f t="shared" si="4"/>
        <v>0.11741223435481977</v>
      </c>
    </row>
    <row r="19" spans="1:236" s="155" customFormat="1" ht="12" customHeight="1">
      <c r="A19" s="208"/>
      <c r="B19" s="212" t="s">
        <v>15</v>
      </c>
      <c r="C19" s="213">
        <v>77714</v>
      </c>
      <c r="D19" s="214">
        <v>9</v>
      </c>
      <c r="E19" s="215">
        <f t="shared" si="1"/>
        <v>11.580924929871065</v>
      </c>
      <c r="F19" s="216">
        <v>2500</v>
      </c>
      <c r="G19" s="217">
        <f t="shared" si="2"/>
        <v>0.28952312324677665</v>
      </c>
      <c r="H19" s="207"/>
      <c r="I19" s="208"/>
      <c r="J19" s="212" t="s">
        <v>15</v>
      </c>
      <c r="K19" s="218">
        <f t="shared" ref="K19:L21" si="7">C19*$O$42</f>
        <v>77714</v>
      </c>
      <c r="L19" s="214">
        <f t="shared" si="7"/>
        <v>9</v>
      </c>
      <c r="M19" s="219">
        <f t="shared" si="3"/>
        <v>11.580924929871065</v>
      </c>
      <c r="N19" s="220">
        <v>2500</v>
      </c>
      <c r="O19" s="217">
        <f t="shared" si="4"/>
        <v>0.28952312324677665</v>
      </c>
    </row>
    <row r="20" spans="1:236" s="155" customFormat="1" ht="12" customHeight="1">
      <c r="A20" s="208"/>
      <c r="B20" s="212" t="s">
        <v>44</v>
      </c>
      <c r="C20" s="213">
        <v>47499</v>
      </c>
      <c r="D20" s="214">
        <v>2</v>
      </c>
      <c r="E20" s="215">
        <f t="shared" si="1"/>
        <v>4.2106149603149543</v>
      </c>
      <c r="F20" s="216">
        <v>1500</v>
      </c>
      <c r="G20" s="217">
        <f t="shared" si="2"/>
        <v>6.3159224404724323E-2</v>
      </c>
      <c r="H20" s="221"/>
      <c r="I20" s="208"/>
      <c r="J20" s="212" t="s">
        <v>44</v>
      </c>
      <c r="K20" s="218">
        <f t="shared" si="7"/>
        <v>47499</v>
      </c>
      <c r="L20" s="214">
        <f t="shared" si="7"/>
        <v>2</v>
      </c>
      <c r="M20" s="219">
        <f t="shared" si="3"/>
        <v>4.2106149603149543</v>
      </c>
      <c r="N20" s="220">
        <v>1500</v>
      </c>
      <c r="O20" s="217">
        <f t="shared" si="4"/>
        <v>6.3159224404724323E-2</v>
      </c>
    </row>
    <row r="21" spans="1:236" s="155" customFormat="1" ht="12" customHeight="1">
      <c r="A21" s="222"/>
      <c r="B21" s="223" t="s">
        <v>45</v>
      </c>
      <c r="C21" s="224">
        <v>27066</v>
      </c>
      <c r="D21" s="225">
        <v>2</v>
      </c>
      <c r="E21" s="226">
        <f t="shared" si="1"/>
        <v>7.3893445651370726</v>
      </c>
      <c r="F21" s="227">
        <v>1000</v>
      </c>
      <c r="G21" s="228">
        <f t="shared" si="2"/>
        <v>7.3893445651370723E-2</v>
      </c>
      <c r="H21" s="221"/>
      <c r="I21" s="222"/>
      <c r="J21" s="223" t="s">
        <v>45</v>
      </c>
      <c r="K21" s="229">
        <f t="shared" si="7"/>
        <v>27066</v>
      </c>
      <c r="L21" s="225">
        <f t="shared" si="7"/>
        <v>2</v>
      </c>
      <c r="M21" s="230">
        <f t="shared" si="3"/>
        <v>7.3893445651370726</v>
      </c>
      <c r="N21" s="231">
        <v>1000</v>
      </c>
      <c r="O21" s="228">
        <f t="shared" si="4"/>
        <v>7.3893445651370723E-2</v>
      </c>
    </row>
    <row r="22" spans="1:236" s="242" customFormat="1" ht="12" customHeight="1">
      <c r="A22" s="232"/>
      <c r="B22" s="233" t="s">
        <v>113</v>
      </c>
      <c r="C22" s="234">
        <f>SUM(C10:C15)</f>
        <v>402956</v>
      </c>
      <c r="D22" s="235">
        <f>SUM(D10:D15)</f>
        <v>43</v>
      </c>
      <c r="E22" s="236">
        <f>(D22/C22)*100000</f>
        <v>10.671140273379724</v>
      </c>
      <c r="F22" s="237">
        <f>SUM(F10:F15)</f>
        <v>19500</v>
      </c>
      <c r="G22" s="238">
        <f>SUM(G10:G15)</f>
        <v>2.0814205133694839</v>
      </c>
      <c r="H22" s="239"/>
      <c r="I22" s="232"/>
      <c r="J22" s="233" t="s">
        <v>113</v>
      </c>
      <c r="K22" s="240">
        <f>SUM(K10:K15)</f>
        <v>402956</v>
      </c>
      <c r="L22" s="235">
        <f>SUM(L10:L15)</f>
        <v>43</v>
      </c>
      <c r="M22" s="241">
        <f>(L22/K22)*100000</f>
        <v>10.671140273379724</v>
      </c>
      <c r="N22" s="237">
        <f>SUM(N10:N15)</f>
        <v>19500</v>
      </c>
      <c r="O22" s="238">
        <f>SUM(O10:O15)</f>
        <v>2.0814205133694839</v>
      </c>
    </row>
    <row r="23" spans="1:236" s="155" customFormat="1" ht="12" customHeight="1">
      <c r="A23" s="208"/>
      <c r="B23" s="212" t="s">
        <v>114</v>
      </c>
      <c r="C23" s="243">
        <f>SUM(C16:C21)</f>
        <v>522795</v>
      </c>
      <c r="D23" s="220">
        <f>SUM(D16:D21)</f>
        <v>32</v>
      </c>
      <c r="E23" s="215">
        <f>(D23/C23)*100000</f>
        <v>6.120946068726747</v>
      </c>
      <c r="F23" s="216">
        <f>SUM(F16:F21)</f>
        <v>19500</v>
      </c>
      <c r="G23" s="244">
        <f>SUM(G16:G21)</f>
        <v>1.164792263856165</v>
      </c>
      <c r="H23" s="245"/>
      <c r="I23" s="208"/>
      <c r="J23" s="212" t="s">
        <v>114</v>
      </c>
      <c r="K23" s="246">
        <f>SUM(K16:K21)</f>
        <v>522795</v>
      </c>
      <c r="L23" s="220">
        <f>SUM(L16:L21)</f>
        <v>32</v>
      </c>
      <c r="M23" s="219">
        <f>(L23/K23)*100000</f>
        <v>6.120946068726747</v>
      </c>
      <c r="N23" s="216">
        <f>SUM(N16:N21)</f>
        <v>19500</v>
      </c>
      <c r="O23" s="244">
        <f>SUM(O16:O21)</f>
        <v>1.164792263856165</v>
      </c>
    </row>
    <row r="24" spans="1:236" ht="12" customHeight="1">
      <c r="A24" s="247"/>
      <c r="B24" s="248" t="s">
        <v>115</v>
      </c>
      <c r="C24" s="249">
        <f>SUM(C22:C23)</f>
        <v>925751</v>
      </c>
      <c r="D24" s="250">
        <f>SUM(D22:D23)</f>
        <v>75</v>
      </c>
      <c r="E24" s="251">
        <f>(D24/C24)*100000</f>
        <v>8.1015305411498346</v>
      </c>
      <c r="F24" s="252">
        <f>SUM(F22:F23)</f>
        <v>39000</v>
      </c>
      <c r="G24" s="253">
        <f>SUM(G22:G23)</f>
        <v>3.246212777225649</v>
      </c>
      <c r="H24" s="245"/>
      <c r="I24" s="247"/>
      <c r="J24" s="248" t="s">
        <v>115</v>
      </c>
      <c r="K24" s="254">
        <f>SUM(K22:K23)</f>
        <v>925751</v>
      </c>
      <c r="L24" s="250">
        <f>SUM(L22:L23)</f>
        <v>75</v>
      </c>
      <c r="M24" s="255">
        <f>(L24/K24)*100000</f>
        <v>8.1015305411498346</v>
      </c>
      <c r="N24" s="252">
        <f>SUM(N22:N23)</f>
        <v>39000</v>
      </c>
      <c r="O24" s="253">
        <f>SUM(O22:O23)</f>
        <v>3.246212777225649</v>
      </c>
      <c r="P24" s="130"/>
    </row>
    <row r="25" spans="1:236" ht="12" customHeight="1">
      <c r="A25" s="256"/>
      <c r="B25" s="257" t="s">
        <v>116</v>
      </c>
      <c r="C25" s="258">
        <f>C22/C24</f>
        <v>0.43527471209860968</v>
      </c>
      <c r="D25" s="259"/>
      <c r="E25" s="259"/>
      <c r="F25" s="260"/>
      <c r="G25" s="261"/>
      <c r="H25" s="262"/>
      <c r="I25" s="263"/>
      <c r="J25" s="264" t="s">
        <v>116</v>
      </c>
      <c r="K25" s="265">
        <f>K22/K24</f>
        <v>0.43527471209860968</v>
      </c>
      <c r="L25" s="259"/>
      <c r="M25" s="259"/>
      <c r="N25" s="260"/>
      <c r="O25" s="260"/>
      <c r="P25" s="130"/>
    </row>
    <row r="26" spans="1:236" ht="13.5" thickBot="1">
      <c r="A26" s="256"/>
      <c r="B26" s="266"/>
      <c r="C26" s="267"/>
      <c r="D26" s="268"/>
      <c r="E26" s="259"/>
      <c r="F26" s="260"/>
      <c r="G26" s="260"/>
      <c r="H26" s="262"/>
      <c r="I26" s="269"/>
      <c r="J26" s="266"/>
      <c r="K26" s="270"/>
      <c r="L26" s="268"/>
      <c r="M26" s="259"/>
      <c r="N26" s="260"/>
      <c r="O26" s="260"/>
      <c r="P26" s="130"/>
    </row>
    <row r="27" spans="1:236" s="180" customFormat="1" ht="13.5" thickBot="1">
      <c r="A27" s="256"/>
      <c r="B27" s="271" t="s">
        <v>117</v>
      </c>
      <c r="C27" s="272"/>
      <c r="D27" s="272"/>
      <c r="E27" s="272"/>
      <c r="F27" s="272"/>
      <c r="G27" s="273">
        <f>(G22/F22)*100000</f>
        <v>10.673951350612738</v>
      </c>
      <c r="H27" s="262"/>
      <c r="I27" s="269"/>
      <c r="J27" s="271" t="s">
        <v>117</v>
      </c>
      <c r="K27" s="272"/>
      <c r="L27" s="272"/>
      <c r="M27" s="272"/>
      <c r="N27" s="272"/>
      <c r="O27" s="273">
        <f>(O22/N22)*100000</f>
        <v>10.673951350612738</v>
      </c>
      <c r="P27" s="130"/>
      <c r="S27" s="274"/>
    </row>
    <row r="28" spans="1:236" s="155" customFormat="1" ht="12" customHeight="1">
      <c r="A28" s="256"/>
      <c r="B28" s="275" t="s">
        <v>118</v>
      </c>
      <c r="C28" s="276"/>
      <c r="D28" s="276"/>
      <c r="E28" s="276"/>
      <c r="F28" s="276"/>
      <c r="G28" s="277">
        <f>(G23/F23)*100000</f>
        <v>5.973293660800846</v>
      </c>
      <c r="H28" s="262"/>
      <c r="I28" s="269"/>
      <c r="J28" s="275" t="s">
        <v>118</v>
      </c>
      <c r="K28" s="276"/>
      <c r="L28" s="276"/>
      <c r="M28" s="276"/>
      <c r="N28" s="276"/>
      <c r="O28" s="277">
        <f>(O23/N23)*100000</f>
        <v>5.973293660800846</v>
      </c>
      <c r="P28" s="130"/>
      <c r="Q28" s="278"/>
      <c r="R28" s="278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278"/>
      <c r="AE28" s="278"/>
      <c r="AF28" s="278"/>
      <c r="AG28" s="278"/>
      <c r="AH28" s="278"/>
      <c r="AI28" s="278"/>
      <c r="AJ28" s="278"/>
      <c r="AK28" s="278"/>
      <c r="AL28" s="278"/>
      <c r="AM28" s="278"/>
      <c r="AN28" s="278"/>
      <c r="AO28" s="278"/>
      <c r="AP28" s="278"/>
      <c r="AQ28" s="278"/>
      <c r="AR28" s="278"/>
      <c r="AS28" s="278"/>
      <c r="AT28" s="278"/>
      <c r="AU28" s="278"/>
      <c r="AV28" s="278"/>
      <c r="AW28" s="278"/>
      <c r="AX28" s="278"/>
      <c r="AY28" s="278"/>
      <c r="AZ28" s="278"/>
      <c r="BA28" s="278"/>
      <c r="BB28" s="278"/>
      <c r="BC28" s="278"/>
      <c r="BD28" s="278"/>
      <c r="BE28" s="278"/>
      <c r="BF28" s="278"/>
      <c r="BG28" s="278"/>
      <c r="BH28" s="278"/>
      <c r="BI28" s="278"/>
      <c r="BJ28" s="278"/>
      <c r="BK28" s="278"/>
      <c r="BL28" s="278"/>
      <c r="BM28" s="278"/>
      <c r="BN28" s="278"/>
      <c r="BO28" s="278"/>
      <c r="BP28" s="278"/>
      <c r="BQ28" s="278"/>
      <c r="BR28" s="278"/>
      <c r="BS28" s="278"/>
      <c r="BT28" s="278"/>
      <c r="BU28" s="278"/>
      <c r="BV28" s="278"/>
      <c r="BW28" s="278"/>
      <c r="BX28" s="278"/>
      <c r="BY28" s="278"/>
      <c r="BZ28" s="278"/>
      <c r="CA28" s="278"/>
      <c r="CB28" s="278"/>
      <c r="CC28" s="278"/>
      <c r="CD28" s="278"/>
      <c r="CE28" s="278"/>
      <c r="CF28" s="278"/>
      <c r="CG28" s="278"/>
      <c r="CH28" s="278"/>
      <c r="CI28" s="278"/>
      <c r="CJ28" s="278"/>
      <c r="CK28" s="278"/>
      <c r="CL28" s="278"/>
      <c r="CM28" s="278"/>
      <c r="CN28" s="278"/>
      <c r="CO28" s="278"/>
      <c r="CP28" s="278"/>
      <c r="CQ28" s="278"/>
      <c r="CR28" s="278"/>
      <c r="CS28" s="278"/>
      <c r="CT28" s="278"/>
      <c r="CU28" s="278"/>
      <c r="CV28" s="278"/>
      <c r="CW28" s="278"/>
      <c r="CX28" s="278"/>
      <c r="CY28" s="278"/>
      <c r="CZ28" s="278"/>
      <c r="DA28" s="278"/>
      <c r="DB28" s="278"/>
      <c r="DC28" s="278"/>
      <c r="DD28" s="278"/>
      <c r="DE28" s="278"/>
      <c r="DF28" s="278"/>
      <c r="DG28" s="278"/>
      <c r="DH28" s="278"/>
      <c r="DI28" s="278"/>
      <c r="DJ28" s="278"/>
      <c r="DK28" s="278"/>
      <c r="DL28" s="278"/>
      <c r="DM28" s="278"/>
      <c r="DN28" s="278"/>
      <c r="DO28" s="278"/>
      <c r="DP28" s="278"/>
      <c r="DQ28" s="278"/>
      <c r="DR28" s="278"/>
      <c r="DS28" s="278"/>
      <c r="DT28" s="278"/>
      <c r="DU28" s="278"/>
      <c r="DV28" s="278"/>
      <c r="DW28" s="278"/>
      <c r="DX28" s="278"/>
      <c r="DY28" s="278"/>
      <c r="DZ28" s="278"/>
      <c r="EA28" s="278"/>
      <c r="EB28" s="278"/>
      <c r="EC28" s="278"/>
      <c r="ED28" s="278"/>
      <c r="EE28" s="278"/>
      <c r="EF28" s="278"/>
      <c r="EG28" s="278"/>
      <c r="EH28" s="278"/>
      <c r="EI28" s="278"/>
      <c r="EJ28" s="278"/>
      <c r="EK28" s="278"/>
      <c r="EL28" s="278"/>
      <c r="EM28" s="278"/>
      <c r="EN28" s="278"/>
      <c r="EO28" s="278"/>
      <c r="EP28" s="278"/>
      <c r="EQ28" s="278"/>
      <c r="ER28" s="278"/>
      <c r="ES28" s="278"/>
      <c r="ET28" s="278"/>
      <c r="EU28" s="278"/>
      <c r="EV28" s="278"/>
      <c r="EW28" s="278"/>
      <c r="EX28" s="278"/>
      <c r="EY28" s="278"/>
      <c r="EZ28" s="278"/>
      <c r="FA28" s="278"/>
      <c r="FB28" s="278"/>
      <c r="FC28" s="278"/>
      <c r="FD28" s="278"/>
      <c r="FE28" s="278"/>
      <c r="FF28" s="278"/>
      <c r="FG28" s="278"/>
      <c r="FH28" s="278"/>
      <c r="FI28" s="278"/>
      <c r="FJ28" s="278"/>
      <c r="FK28" s="278"/>
      <c r="FL28" s="278"/>
      <c r="FM28" s="278"/>
      <c r="FN28" s="278"/>
      <c r="FO28" s="278"/>
      <c r="FP28" s="278"/>
      <c r="FQ28" s="278"/>
      <c r="FR28" s="278"/>
      <c r="FS28" s="278"/>
      <c r="FT28" s="278"/>
      <c r="FU28" s="278"/>
      <c r="FV28" s="278"/>
      <c r="FW28" s="278"/>
      <c r="FX28" s="278"/>
      <c r="FY28" s="278"/>
      <c r="FZ28" s="278"/>
      <c r="GA28" s="278"/>
      <c r="GB28" s="278"/>
      <c r="GC28" s="278"/>
      <c r="GD28" s="278"/>
      <c r="GE28" s="278"/>
      <c r="GF28" s="278"/>
      <c r="GG28" s="278"/>
      <c r="GH28" s="278"/>
      <c r="GI28" s="278"/>
      <c r="GJ28" s="278"/>
      <c r="GK28" s="278"/>
      <c r="GL28" s="278"/>
      <c r="GM28" s="278"/>
      <c r="GN28" s="278"/>
      <c r="GO28" s="278"/>
      <c r="GP28" s="278"/>
      <c r="GQ28" s="278"/>
      <c r="GR28" s="278"/>
      <c r="GS28" s="278"/>
      <c r="GT28" s="278"/>
      <c r="GU28" s="278"/>
      <c r="GV28" s="278"/>
      <c r="GW28" s="278"/>
      <c r="GX28" s="278"/>
      <c r="GY28" s="278"/>
      <c r="GZ28" s="278"/>
      <c r="HA28" s="278"/>
      <c r="HB28" s="278"/>
      <c r="HC28" s="278"/>
      <c r="HD28" s="278"/>
      <c r="HE28" s="278"/>
      <c r="HF28" s="278"/>
      <c r="HG28" s="278"/>
      <c r="HH28" s="278"/>
      <c r="HI28" s="278"/>
      <c r="HJ28" s="278"/>
      <c r="HK28" s="278"/>
      <c r="HL28" s="278"/>
      <c r="HM28" s="278"/>
      <c r="HN28" s="278"/>
      <c r="HO28" s="278"/>
      <c r="HP28" s="278"/>
      <c r="HQ28" s="278"/>
      <c r="HR28" s="278"/>
      <c r="HS28" s="278"/>
      <c r="HT28" s="278"/>
      <c r="HU28" s="278"/>
      <c r="HV28" s="278"/>
      <c r="HW28" s="278"/>
      <c r="HX28" s="278"/>
      <c r="HY28" s="278"/>
      <c r="HZ28" s="278"/>
      <c r="IA28" s="278"/>
      <c r="IB28" s="278"/>
    </row>
    <row r="29" spans="1:236" s="283" customFormat="1" ht="12" customHeight="1">
      <c r="A29" s="256"/>
      <c r="B29" s="279" t="s">
        <v>119</v>
      </c>
      <c r="C29" s="280"/>
      <c r="D29" s="280"/>
      <c r="E29" s="280"/>
      <c r="F29" s="280"/>
      <c r="G29" s="281">
        <f>(G24/F24)*100000</f>
        <v>8.3236225057067923</v>
      </c>
      <c r="H29" s="262"/>
      <c r="I29" s="269"/>
      <c r="J29" s="279" t="s">
        <v>119</v>
      </c>
      <c r="K29" s="280"/>
      <c r="L29" s="280"/>
      <c r="M29" s="280"/>
      <c r="N29" s="280"/>
      <c r="O29" s="281">
        <f>(O24/N24)*100000</f>
        <v>8.3236225057067923</v>
      </c>
      <c r="P29" s="130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82"/>
      <c r="AB29" s="282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82"/>
      <c r="BB29" s="282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82"/>
      <c r="BO29" s="282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82"/>
      <c r="CB29" s="282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82"/>
      <c r="CO29" s="282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82"/>
      <c r="DB29" s="282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82"/>
      <c r="DO29" s="282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82"/>
      <c r="EB29" s="282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82"/>
      <c r="EO29" s="282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82"/>
      <c r="FB29" s="282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82"/>
      <c r="FO29" s="282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82"/>
      <c r="GB29" s="282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82"/>
      <c r="GO29" s="282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82"/>
      <c r="HB29" s="282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82"/>
      <c r="HO29" s="282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82"/>
      <c r="IB29" s="282"/>
    </row>
    <row r="30" spans="1:236" ht="12" customHeight="1">
      <c r="A30" s="256"/>
      <c r="B30" s="284" t="s">
        <v>120</v>
      </c>
      <c r="C30" s="285"/>
      <c r="D30" s="285"/>
      <c r="E30" s="285"/>
      <c r="F30" s="285"/>
      <c r="G30" s="286">
        <f>SUM(G27:G28)/2</f>
        <v>8.3236225057067923</v>
      </c>
      <c r="H30" s="262"/>
      <c r="I30" s="269"/>
      <c r="J30" s="284" t="s">
        <v>120</v>
      </c>
      <c r="K30" s="285"/>
      <c r="L30" s="285"/>
      <c r="M30" s="285"/>
      <c r="N30" s="285"/>
      <c r="O30" s="286">
        <f>SUM(O27:O28)/2</f>
        <v>8.3236225057067923</v>
      </c>
      <c r="P30" s="130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87"/>
      <c r="AO30" s="28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87"/>
      <c r="BB30" s="28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87"/>
      <c r="BO30" s="28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87"/>
      <c r="CB30" s="28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87"/>
      <c r="CO30" s="28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87"/>
      <c r="DB30" s="28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87"/>
      <c r="DO30" s="28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87"/>
      <c r="EB30" s="28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87"/>
      <c r="EO30" s="28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87"/>
      <c r="FO30" s="28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87"/>
      <c r="GB30" s="28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87"/>
      <c r="GO30" s="28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87"/>
      <c r="HB30" s="28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87"/>
      <c r="HO30" s="28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87"/>
      <c r="IB30" s="287"/>
    </row>
    <row r="31" spans="1:236" ht="18.75" customHeight="1">
      <c r="A31" s="288"/>
      <c r="B31" s="289"/>
      <c r="C31" s="289"/>
      <c r="D31" s="289"/>
      <c r="E31" s="289"/>
      <c r="F31" s="289"/>
      <c r="G31" s="290"/>
      <c r="H31" s="262"/>
      <c r="I31" s="291"/>
      <c r="J31" s="289"/>
      <c r="K31" s="289"/>
      <c r="L31" s="289"/>
      <c r="M31" s="289"/>
      <c r="N31" s="289"/>
      <c r="O31" s="292"/>
      <c r="P31" s="130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87"/>
      <c r="AO31" s="28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87"/>
      <c r="BB31" s="28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87"/>
      <c r="BO31" s="28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87"/>
      <c r="CB31" s="28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87"/>
      <c r="CO31" s="28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87"/>
      <c r="DB31" s="28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87"/>
      <c r="DO31" s="28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87"/>
      <c r="EB31" s="28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87"/>
      <c r="FO31" s="28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87"/>
      <c r="GB31" s="28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87"/>
      <c r="GO31" s="28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87"/>
      <c r="HB31" s="28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87"/>
      <c r="HO31" s="28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87"/>
      <c r="IB31" s="287"/>
    </row>
    <row r="32" spans="1:236" ht="12" customHeight="1">
      <c r="A32" s="293" t="s">
        <v>121</v>
      </c>
      <c r="B32" s="294" t="s">
        <v>12</v>
      </c>
      <c r="C32" s="295">
        <f>C10+C16</f>
        <v>285732</v>
      </c>
      <c r="D32" s="296">
        <f t="shared" ref="C32:D37" si="8">D10+D16</f>
        <v>30</v>
      </c>
      <c r="E32" s="297">
        <f t="shared" ref="E32:E38" si="9">100000*D32/C32</f>
        <v>10.499349040359498</v>
      </c>
      <c r="F32" s="298">
        <v>5500</v>
      </c>
      <c r="G32" s="299">
        <f t="shared" ref="G32:G37" si="10">(E32*F32)/100000</f>
        <v>0.57746419721977238</v>
      </c>
      <c r="H32" s="245"/>
      <c r="I32" s="293" t="s">
        <v>121</v>
      </c>
      <c r="J32" s="294" t="s">
        <v>12</v>
      </c>
      <c r="K32" s="295">
        <f t="shared" ref="K32:L37" si="11">K10+K16</f>
        <v>285732</v>
      </c>
      <c r="L32" s="296">
        <f t="shared" si="11"/>
        <v>30</v>
      </c>
      <c r="M32" s="297">
        <f t="shared" ref="M32:M38" si="12">100000*L32/K32</f>
        <v>10.499349040359498</v>
      </c>
      <c r="N32" s="298">
        <v>5500</v>
      </c>
      <c r="O32" s="299">
        <f t="shared" ref="O32:O37" si="13">(M32*N32)/100000</f>
        <v>0.57746419721977238</v>
      </c>
      <c r="P32" s="130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87"/>
      <c r="AB32" s="287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7"/>
      <c r="AN32" s="287"/>
      <c r="AO32" s="287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7"/>
      <c r="BA32" s="287"/>
      <c r="BB32" s="287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7"/>
      <c r="BN32" s="287"/>
      <c r="BO32" s="287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7"/>
      <c r="CA32" s="287"/>
      <c r="CB32" s="287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7"/>
      <c r="CN32" s="287"/>
      <c r="CO32" s="287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7"/>
      <c r="DA32" s="287"/>
      <c r="DB32" s="287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7"/>
      <c r="DN32" s="287"/>
      <c r="DO32" s="287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7"/>
      <c r="EA32" s="287"/>
      <c r="EB32" s="287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7"/>
      <c r="FN32" s="287"/>
      <c r="FO32" s="287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7"/>
      <c r="GA32" s="287"/>
      <c r="GB32" s="287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7"/>
      <c r="GN32" s="287"/>
      <c r="GO32" s="287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7"/>
      <c r="HA32" s="287"/>
      <c r="HB32" s="287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7"/>
      <c r="HN32" s="287"/>
      <c r="HO32" s="287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7"/>
      <c r="IA32" s="287"/>
      <c r="IB32" s="287"/>
    </row>
    <row r="33" spans="1:236" ht="12" customHeight="1">
      <c r="A33" s="300"/>
      <c r="B33" s="301" t="s">
        <v>13</v>
      </c>
      <c r="C33" s="302">
        <f t="shared" si="8"/>
        <v>221533</v>
      </c>
      <c r="D33" s="303">
        <f t="shared" si="8"/>
        <v>13</v>
      </c>
      <c r="E33" s="297">
        <f t="shared" si="9"/>
        <v>5.8682002229916082</v>
      </c>
      <c r="F33" s="298">
        <v>5000</v>
      </c>
      <c r="G33" s="304">
        <f t="shared" si="10"/>
        <v>0.29341001114958043</v>
      </c>
      <c r="H33" s="245"/>
      <c r="I33" s="300"/>
      <c r="J33" s="301" t="s">
        <v>13</v>
      </c>
      <c r="K33" s="302">
        <f t="shared" si="11"/>
        <v>221533</v>
      </c>
      <c r="L33" s="303">
        <f t="shared" si="11"/>
        <v>13</v>
      </c>
      <c r="M33" s="297">
        <f t="shared" si="12"/>
        <v>5.8682002229916082</v>
      </c>
      <c r="N33" s="298">
        <v>5000</v>
      </c>
      <c r="O33" s="304">
        <f t="shared" si="13"/>
        <v>0.29341001114958043</v>
      </c>
      <c r="P33" s="130"/>
      <c r="Q33" s="287"/>
      <c r="R33" s="287"/>
      <c r="S33" s="287"/>
      <c r="T33" s="287"/>
      <c r="U33" s="287"/>
      <c r="V33" s="287"/>
      <c r="W33" s="287"/>
      <c r="X33" s="287"/>
      <c r="Y33" s="287"/>
      <c r="Z33" s="287"/>
      <c r="AA33" s="287"/>
      <c r="AB33" s="287"/>
      <c r="AC33" s="287"/>
      <c r="AD33" s="287"/>
      <c r="AE33" s="287"/>
      <c r="AF33" s="287"/>
      <c r="AG33" s="287"/>
      <c r="AH33" s="287"/>
      <c r="AI33" s="287"/>
      <c r="AJ33" s="287"/>
      <c r="AK33" s="287"/>
      <c r="AL33" s="287"/>
      <c r="AM33" s="287"/>
      <c r="AN33" s="287"/>
      <c r="AO33" s="287"/>
      <c r="AP33" s="287"/>
      <c r="AQ33" s="287"/>
      <c r="AR33" s="287"/>
      <c r="AS33" s="287"/>
      <c r="AT33" s="287"/>
      <c r="AU33" s="287"/>
      <c r="AV33" s="287"/>
      <c r="AW33" s="287"/>
      <c r="AX33" s="287"/>
      <c r="AY33" s="287"/>
      <c r="AZ33" s="287"/>
      <c r="BA33" s="287"/>
      <c r="BB33" s="287"/>
      <c r="BC33" s="287"/>
      <c r="BD33" s="287"/>
      <c r="BE33" s="287"/>
      <c r="BF33" s="287"/>
      <c r="BG33" s="287"/>
      <c r="BH33" s="287"/>
      <c r="BI33" s="287"/>
      <c r="BJ33" s="287"/>
      <c r="BK33" s="287"/>
      <c r="BL33" s="287"/>
      <c r="BM33" s="287"/>
      <c r="BN33" s="287"/>
      <c r="BO33" s="287"/>
      <c r="BP33" s="287"/>
      <c r="BQ33" s="287"/>
      <c r="BR33" s="287"/>
      <c r="BS33" s="287"/>
      <c r="BT33" s="287"/>
      <c r="BU33" s="287"/>
      <c r="BV33" s="287"/>
      <c r="BW33" s="287"/>
      <c r="BX33" s="287"/>
      <c r="BY33" s="287"/>
      <c r="BZ33" s="287"/>
      <c r="CA33" s="287"/>
      <c r="CB33" s="287"/>
      <c r="CC33" s="287"/>
      <c r="CD33" s="287"/>
      <c r="CE33" s="287"/>
      <c r="CF33" s="287"/>
      <c r="CG33" s="287"/>
      <c r="CH33" s="287"/>
      <c r="CI33" s="287"/>
      <c r="CJ33" s="287"/>
      <c r="CK33" s="287"/>
      <c r="CL33" s="287"/>
      <c r="CM33" s="287"/>
      <c r="CN33" s="287"/>
      <c r="CO33" s="287"/>
      <c r="CP33" s="287"/>
      <c r="CQ33" s="287"/>
      <c r="CR33" s="287"/>
      <c r="CS33" s="287"/>
      <c r="CT33" s="287"/>
      <c r="CU33" s="287"/>
      <c r="CV33" s="287"/>
      <c r="CW33" s="287"/>
      <c r="CX33" s="287"/>
      <c r="CY33" s="287"/>
      <c r="CZ33" s="287"/>
      <c r="DA33" s="287"/>
      <c r="DB33" s="287"/>
      <c r="DC33" s="287"/>
      <c r="DD33" s="287"/>
      <c r="DE33" s="287"/>
      <c r="DF33" s="287"/>
      <c r="DG33" s="287"/>
      <c r="DH33" s="287"/>
      <c r="DI33" s="287"/>
      <c r="DJ33" s="287"/>
      <c r="DK33" s="287"/>
      <c r="DL33" s="287"/>
      <c r="DM33" s="287"/>
      <c r="DN33" s="287"/>
      <c r="DO33" s="287"/>
      <c r="DP33" s="287"/>
      <c r="DQ33" s="287"/>
      <c r="DR33" s="287"/>
      <c r="DS33" s="287"/>
      <c r="DT33" s="287"/>
      <c r="DU33" s="287"/>
      <c r="DV33" s="287"/>
      <c r="DW33" s="287"/>
      <c r="DX33" s="287"/>
      <c r="DY33" s="287"/>
      <c r="DZ33" s="287"/>
      <c r="EA33" s="287"/>
      <c r="EB33" s="287"/>
      <c r="EC33" s="287"/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  <c r="FJ33" s="287"/>
      <c r="FK33" s="287"/>
      <c r="FL33" s="287"/>
      <c r="FM33" s="287"/>
      <c r="FN33" s="287"/>
      <c r="FO33" s="287"/>
      <c r="FP33" s="287"/>
      <c r="FQ33" s="287"/>
      <c r="FR33" s="287"/>
      <c r="FS33" s="287"/>
      <c r="FT33" s="287"/>
      <c r="FU33" s="287"/>
      <c r="FV33" s="287"/>
      <c r="FW33" s="287"/>
      <c r="FX33" s="287"/>
      <c r="FY33" s="287"/>
      <c r="FZ33" s="287"/>
      <c r="GA33" s="287"/>
      <c r="GB33" s="287"/>
      <c r="GC33" s="287"/>
      <c r="GD33" s="287"/>
      <c r="GE33" s="287"/>
      <c r="GF33" s="287"/>
      <c r="GG33" s="287"/>
      <c r="GH33" s="287"/>
      <c r="GI33" s="287"/>
      <c r="GJ33" s="287"/>
      <c r="GK33" s="287"/>
      <c r="GL33" s="287"/>
      <c r="GM33" s="287"/>
      <c r="GN33" s="287"/>
      <c r="GO33" s="287"/>
      <c r="GP33" s="287"/>
      <c r="GQ33" s="287"/>
      <c r="GR33" s="287"/>
      <c r="GS33" s="287"/>
      <c r="GT33" s="287"/>
      <c r="GU33" s="287"/>
      <c r="GV33" s="287"/>
      <c r="GW33" s="287"/>
      <c r="GX33" s="287"/>
      <c r="GY33" s="287"/>
      <c r="GZ33" s="287"/>
      <c r="HA33" s="287"/>
      <c r="HB33" s="287"/>
      <c r="HC33" s="287"/>
      <c r="HD33" s="287"/>
      <c r="HE33" s="287"/>
      <c r="HF33" s="287"/>
      <c r="HG33" s="287"/>
      <c r="HH33" s="287"/>
      <c r="HI33" s="287"/>
      <c r="HJ33" s="287"/>
      <c r="HK33" s="287"/>
      <c r="HL33" s="287"/>
      <c r="HM33" s="287"/>
      <c r="HN33" s="287"/>
      <c r="HO33" s="287"/>
      <c r="HP33" s="287"/>
      <c r="HQ33" s="287"/>
      <c r="HR33" s="287"/>
      <c r="HS33" s="287"/>
      <c r="HT33" s="287"/>
      <c r="HU33" s="287"/>
      <c r="HV33" s="287"/>
      <c r="HW33" s="287"/>
      <c r="HX33" s="287"/>
      <c r="HY33" s="287"/>
      <c r="HZ33" s="287"/>
      <c r="IA33" s="287"/>
      <c r="IB33" s="287"/>
    </row>
    <row r="34" spans="1:236" ht="12" customHeight="1">
      <c r="A34" s="300"/>
      <c r="B34" s="301" t="s">
        <v>14</v>
      </c>
      <c r="C34" s="302">
        <f t="shared" si="8"/>
        <v>180611</v>
      </c>
      <c r="D34" s="303">
        <f t="shared" si="8"/>
        <v>9</v>
      </c>
      <c r="E34" s="297">
        <f t="shared" si="9"/>
        <v>4.9830851941465362</v>
      </c>
      <c r="F34" s="298">
        <v>4000</v>
      </c>
      <c r="G34" s="304">
        <f t="shared" si="10"/>
        <v>0.19932340776586144</v>
      </c>
      <c r="H34" s="245"/>
      <c r="I34" s="300"/>
      <c r="J34" s="301" t="s">
        <v>14</v>
      </c>
      <c r="K34" s="302">
        <f t="shared" si="11"/>
        <v>180611</v>
      </c>
      <c r="L34" s="303">
        <f t="shared" si="11"/>
        <v>9</v>
      </c>
      <c r="M34" s="297">
        <f t="shared" si="12"/>
        <v>4.9830851941465362</v>
      </c>
      <c r="N34" s="298">
        <v>4000</v>
      </c>
      <c r="O34" s="304">
        <f t="shared" si="13"/>
        <v>0.19932340776586144</v>
      </c>
      <c r="P34" s="130"/>
      <c r="Q34" s="287"/>
      <c r="R34" s="287"/>
      <c r="S34" s="287"/>
      <c r="T34" s="287"/>
      <c r="U34" s="287"/>
      <c r="V34" s="287"/>
      <c r="W34" s="287"/>
      <c r="X34" s="287"/>
      <c r="Y34" s="287"/>
      <c r="Z34" s="287"/>
      <c r="AA34" s="287"/>
      <c r="AB34" s="287"/>
      <c r="AC34" s="287"/>
      <c r="AD34" s="287"/>
      <c r="AE34" s="287"/>
      <c r="AF34" s="287"/>
      <c r="AG34" s="287"/>
      <c r="AH34" s="287"/>
      <c r="AI34" s="287"/>
      <c r="AJ34" s="287"/>
      <c r="AK34" s="287"/>
      <c r="AL34" s="287"/>
      <c r="AM34" s="287"/>
      <c r="AN34" s="287"/>
      <c r="AO34" s="287"/>
      <c r="AP34" s="287"/>
      <c r="AQ34" s="287"/>
      <c r="AR34" s="287"/>
      <c r="AS34" s="287"/>
      <c r="AT34" s="287"/>
      <c r="AU34" s="287"/>
      <c r="AV34" s="287"/>
      <c r="AW34" s="287"/>
      <c r="AX34" s="287"/>
      <c r="AY34" s="287"/>
      <c r="AZ34" s="287"/>
      <c r="BA34" s="287"/>
      <c r="BB34" s="287"/>
      <c r="BC34" s="287"/>
      <c r="BD34" s="287"/>
      <c r="BE34" s="287"/>
      <c r="BF34" s="287"/>
      <c r="BG34" s="287"/>
      <c r="BH34" s="287"/>
      <c r="BI34" s="287"/>
      <c r="BJ34" s="287"/>
      <c r="BK34" s="287"/>
      <c r="BL34" s="287"/>
      <c r="BM34" s="287"/>
      <c r="BN34" s="287"/>
      <c r="BO34" s="287"/>
      <c r="BP34" s="287"/>
      <c r="BQ34" s="287"/>
      <c r="BR34" s="287"/>
      <c r="BS34" s="287"/>
      <c r="BT34" s="287"/>
      <c r="BU34" s="287"/>
      <c r="BV34" s="287"/>
      <c r="BW34" s="287"/>
      <c r="BX34" s="287"/>
      <c r="BY34" s="287"/>
      <c r="BZ34" s="287"/>
      <c r="CA34" s="287"/>
      <c r="CB34" s="287"/>
      <c r="CC34" s="287"/>
      <c r="CD34" s="287"/>
      <c r="CE34" s="287"/>
      <c r="CF34" s="287"/>
      <c r="CG34" s="287"/>
      <c r="CH34" s="287"/>
      <c r="CI34" s="287"/>
      <c r="CJ34" s="287"/>
      <c r="CK34" s="287"/>
      <c r="CL34" s="287"/>
      <c r="CM34" s="287"/>
      <c r="CN34" s="287"/>
      <c r="CO34" s="287"/>
      <c r="CP34" s="287"/>
      <c r="CQ34" s="287"/>
      <c r="CR34" s="287"/>
      <c r="CS34" s="287"/>
      <c r="CT34" s="287"/>
      <c r="CU34" s="287"/>
      <c r="CV34" s="287"/>
      <c r="CW34" s="287"/>
      <c r="CX34" s="287"/>
      <c r="CY34" s="287"/>
      <c r="CZ34" s="287"/>
      <c r="DA34" s="287"/>
      <c r="DB34" s="287"/>
      <c r="DC34" s="287"/>
      <c r="DD34" s="287"/>
      <c r="DE34" s="287"/>
      <c r="DF34" s="287"/>
      <c r="DG34" s="287"/>
      <c r="DH34" s="287"/>
      <c r="DI34" s="287"/>
      <c r="DJ34" s="287"/>
      <c r="DK34" s="287"/>
      <c r="DL34" s="287"/>
      <c r="DM34" s="287"/>
      <c r="DN34" s="287"/>
      <c r="DO34" s="287"/>
      <c r="DP34" s="287"/>
      <c r="DQ34" s="287"/>
      <c r="DR34" s="287"/>
      <c r="DS34" s="287"/>
      <c r="DT34" s="287"/>
      <c r="DU34" s="287"/>
      <c r="DV34" s="287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  <c r="FJ34" s="287"/>
      <c r="FK34" s="287"/>
      <c r="FL34" s="287"/>
      <c r="FM34" s="287"/>
      <c r="FN34" s="287"/>
      <c r="FO34" s="287"/>
      <c r="FP34" s="287"/>
      <c r="FQ34" s="287"/>
      <c r="FR34" s="287"/>
      <c r="FS34" s="287"/>
      <c r="FT34" s="287"/>
      <c r="FU34" s="287"/>
      <c r="FV34" s="287"/>
      <c r="FW34" s="287"/>
      <c r="FX34" s="287"/>
      <c r="FY34" s="287"/>
      <c r="FZ34" s="287"/>
      <c r="GA34" s="287"/>
      <c r="GB34" s="287"/>
      <c r="GC34" s="287"/>
      <c r="GD34" s="287"/>
      <c r="GE34" s="287"/>
      <c r="GF34" s="287"/>
      <c r="GG34" s="287"/>
      <c r="GH34" s="287"/>
      <c r="GI34" s="287"/>
      <c r="GJ34" s="287"/>
      <c r="GK34" s="287"/>
      <c r="GL34" s="287"/>
      <c r="GM34" s="287"/>
      <c r="GN34" s="287"/>
      <c r="GO34" s="287"/>
      <c r="GP34" s="287"/>
      <c r="GQ34" s="287"/>
      <c r="GR34" s="287"/>
      <c r="GS34" s="287"/>
      <c r="GT34" s="287"/>
      <c r="GU34" s="287"/>
      <c r="GV34" s="287"/>
      <c r="GW34" s="287"/>
      <c r="GX34" s="287"/>
      <c r="GY34" s="287"/>
      <c r="GZ34" s="287"/>
      <c r="HA34" s="287"/>
      <c r="HB34" s="287"/>
      <c r="HC34" s="287"/>
      <c r="HD34" s="287"/>
      <c r="HE34" s="287"/>
      <c r="HF34" s="287"/>
      <c r="HG34" s="287"/>
      <c r="HH34" s="287"/>
      <c r="HI34" s="287"/>
      <c r="HJ34" s="287"/>
      <c r="HK34" s="287"/>
      <c r="HL34" s="287"/>
      <c r="HM34" s="287"/>
      <c r="HN34" s="287"/>
      <c r="HO34" s="287"/>
      <c r="HP34" s="287"/>
      <c r="HQ34" s="287"/>
      <c r="HR34" s="287"/>
      <c r="HS34" s="287"/>
      <c r="HT34" s="287"/>
      <c r="HU34" s="287"/>
      <c r="HV34" s="287"/>
      <c r="HW34" s="287"/>
      <c r="HX34" s="287"/>
      <c r="HY34" s="287"/>
      <c r="HZ34" s="287"/>
      <c r="IA34" s="287"/>
      <c r="IB34" s="287"/>
    </row>
    <row r="35" spans="1:236" ht="12" customHeight="1">
      <c r="A35" s="300"/>
      <c r="B35" s="301" t="s">
        <v>15</v>
      </c>
      <c r="C35" s="302">
        <f t="shared" si="8"/>
        <v>128633</v>
      </c>
      <c r="D35" s="303">
        <f t="shared" si="8"/>
        <v>14</v>
      </c>
      <c r="E35" s="297">
        <f t="shared" si="9"/>
        <v>10.883676816990974</v>
      </c>
      <c r="F35" s="298">
        <v>2500</v>
      </c>
      <c r="G35" s="304">
        <f t="shared" si="10"/>
        <v>0.27209192042477437</v>
      </c>
      <c r="H35" s="245"/>
      <c r="I35" s="300"/>
      <c r="J35" s="301" t="s">
        <v>15</v>
      </c>
      <c r="K35" s="302">
        <f t="shared" si="11"/>
        <v>128633</v>
      </c>
      <c r="L35" s="303">
        <f t="shared" si="11"/>
        <v>14</v>
      </c>
      <c r="M35" s="297">
        <f t="shared" si="12"/>
        <v>10.883676816990974</v>
      </c>
      <c r="N35" s="298">
        <v>2500</v>
      </c>
      <c r="O35" s="304">
        <f t="shared" si="13"/>
        <v>0.27209192042477437</v>
      </c>
      <c r="P35" s="130"/>
      <c r="Q35" s="287"/>
      <c r="R35" s="287"/>
      <c r="S35" s="287"/>
      <c r="T35" s="287"/>
      <c r="U35" s="287"/>
      <c r="V35" s="287"/>
      <c r="W35" s="287"/>
      <c r="X35" s="287"/>
      <c r="Y35" s="287"/>
      <c r="Z35" s="287"/>
      <c r="AA35" s="287"/>
      <c r="AB35" s="287"/>
      <c r="AC35" s="287"/>
      <c r="AD35" s="287"/>
      <c r="AE35" s="287"/>
      <c r="AF35" s="287"/>
      <c r="AG35" s="287"/>
      <c r="AH35" s="287"/>
      <c r="AI35" s="287"/>
      <c r="AJ35" s="287"/>
      <c r="AK35" s="287"/>
      <c r="AL35" s="287"/>
      <c r="AM35" s="287"/>
      <c r="AN35" s="287"/>
      <c r="AO35" s="287"/>
      <c r="AP35" s="287"/>
      <c r="AQ35" s="287"/>
      <c r="AR35" s="287"/>
      <c r="AS35" s="287"/>
      <c r="AT35" s="287"/>
      <c r="AU35" s="287"/>
      <c r="AV35" s="287"/>
      <c r="AW35" s="287"/>
      <c r="AX35" s="287"/>
      <c r="AY35" s="287"/>
      <c r="AZ35" s="287"/>
      <c r="BA35" s="287"/>
      <c r="BB35" s="287"/>
      <c r="BC35" s="287"/>
      <c r="BD35" s="287"/>
      <c r="BE35" s="287"/>
      <c r="BF35" s="287"/>
      <c r="BG35" s="287"/>
      <c r="BH35" s="287"/>
      <c r="BI35" s="287"/>
      <c r="BJ35" s="287"/>
      <c r="BK35" s="287"/>
      <c r="BL35" s="287"/>
      <c r="BM35" s="287"/>
      <c r="BN35" s="287"/>
      <c r="BO35" s="287"/>
      <c r="BP35" s="287"/>
      <c r="BQ35" s="287"/>
      <c r="BR35" s="287"/>
      <c r="BS35" s="287"/>
      <c r="BT35" s="287"/>
      <c r="BU35" s="287"/>
      <c r="BV35" s="287"/>
      <c r="BW35" s="287"/>
      <c r="BX35" s="287"/>
      <c r="BY35" s="287"/>
      <c r="BZ35" s="287"/>
      <c r="CA35" s="287"/>
      <c r="CB35" s="287"/>
      <c r="CC35" s="287"/>
      <c r="CD35" s="287"/>
      <c r="CE35" s="287"/>
      <c r="CF35" s="287"/>
      <c r="CG35" s="287"/>
      <c r="CH35" s="287"/>
      <c r="CI35" s="287"/>
      <c r="CJ35" s="287"/>
      <c r="CK35" s="287"/>
      <c r="CL35" s="287"/>
      <c r="CM35" s="287"/>
      <c r="CN35" s="287"/>
      <c r="CO35" s="287"/>
      <c r="CP35" s="287"/>
      <c r="CQ35" s="287"/>
      <c r="CR35" s="287"/>
      <c r="CS35" s="287"/>
      <c r="CT35" s="287"/>
      <c r="CU35" s="287"/>
      <c r="CV35" s="287"/>
      <c r="CW35" s="287"/>
      <c r="CX35" s="287"/>
      <c r="CY35" s="287"/>
      <c r="CZ35" s="287"/>
      <c r="DA35" s="287"/>
      <c r="DB35" s="287"/>
      <c r="DC35" s="287"/>
      <c r="DD35" s="287"/>
      <c r="DE35" s="287"/>
      <c r="DF35" s="287"/>
      <c r="DG35" s="287"/>
      <c r="DH35" s="287"/>
      <c r="DI35" s="287"/>
      <c r="DJ35" s="287"/>
      <c r="DK35" s="287"/>
      <c r="DL35" s="287"/>
      <c r="DM35" s="287"/>
      <c r="DN35" s="287"/>
      <c r="DO35" s="287"/>
      <c r="DP35" s="287"/>
      <c r="DQ35" s="287"/>
      <c r="DR35" s="287"/>
      <c r="DS35" s="287"/>
      <c r="DT35" s="287"/>
      <c r="DU35" s="287"/>
      <c r="DV35" s="28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  <c r="FJ35" s="287"/>
      <c r="FK35" s="287"/>
      <c r="FL35" s="287"/>
      <c r="FM35" s="287"/>
      <c r="FN35" s="287"/>
      <c r="FO35" s="287"/>
      <c r="FP35" s="287"/>
      <c r="FQ35" s="287"/>
      <c r="FR35" s="287"/>
      <c r="FS35" s="287"/>
      <c r="FT35" s="287"/>
      <c r="FU35" s="287"/>
      <c r="FV35" s="287"/>
      <c r="FW35" s="287"/>
      <c r="FX35" s="287"/>
      <c r="FY35" s="287"/>
      <c r="FZ35" s="287"/>
      <c r="GA35" s="287"/>
      <c r="GB35" s="287"/>
      <c r="GC35" s="287"/>
      <c r="GD35" s="287"/>
      <c r="GE35" s="287"/>
      <c r="GF35" s="287"/>
      <c r="GG35" s="287"/>
      <c r="GH35" s="287"/>
      <c r="GI35" s="287"/>
      <c r="GJ35" s="287"/>
      <c r="GK35" s="287"/>
      <c r="GL35" s="287"/>
      <c r="GM35" s="287"/>
      <c r="GN35" s="287"/>
      <c r="GO35" s="287"/>
      <c r="GP35" s="287"/>
      <c r="GQ35" s="287"/>
      <c r="GR35" s="287"/>
      <c r="GS35" s="287"/>
      <c r="GT35" s="287"/>
      <c r="GU35" s="287"/>
      <c r="GV35" s="287"/>
      <c r="GW35" s="287"/>
      <c r="GX35" s="287"/>
      <c r="GY35" s="287"/>
      <c r="GZ35" s="287"/>
      <c r="HA35" s="287"/>
      <c r="HB35" s="287"/>
      <c r="HC35" s="287"/>
      <c r="HD35" s="287"/>
      <c r="HE35" s="287"/>
      <c r="HF35" s="287"/>
      <c r="HG35" s="287"/>
      <c r="HH35" s="287"/>
      <c r="HI35" s="287"/>
      <c r="HJ35" s="287"/>
      <c r="HK35" s="287"/>
      <c r="HL35" s="287"/>
      <c r="HM35" s="287"/>
      <c r="HN35" s="287"/>
      <c r="HO35" s="287"/>
      <c r="HP35" s="287"/>
      <c r="HQ35" s="287"/>
      <c r="HR35" s="287"/>
      <c r="HS35" s="287"/>
      <c r="HT35" s="287"/>
      <c r="HU35" s="287"/>
      <c r="HV35" s="287"/>
      <c r="HW35" s="287"/>
      <c r="HX35" s="287"/>
      <c r="HY35" s="287"/>
      <c r="HZ35" s="287"/>
      <c r="IA35" s="287"/>
      <c r="IB35" s="287"/>
    </row>
    <row r="36" spans="1:236" ht="12" customHeight="1">
      <c r="A36" s="300"/>
      <c r="B36" s="301" t="s">
        <v>44</v>
      </c>
      <c r="C36" s="302">
        <f t="shared" si="8"/>
        <v>72337</v>
      </c>
      <c r="D36" s="303">
        <f t="shared" si="8"/>
        <v>5</v>
      </c>
      <c r="E36" s="297">
        <f t="shared" si="9"/>
        <v>6.9120920137688877</v>
      </c>
      <c r="F36" s="298">
        <v>1500</v>
      </c>
      <c r="G36" s="304">
        <f t="shared" si="10"/>
        <v>0.10368138020653332</v>
      </c>
      <c r="H36" s="245"/>
      <c r="I36" s="300"/>
      <c r="J36" s="301" t="s">
        <v>44</v>
      </c>
      <c r="K36" s="302">
        <f t="shared" si="11"/>
        <v>72337</v>
      </c>
      <c r="L36" s="303">
        <f t="shared" si="11"/>
        <v>5</v>
      </c>
      <c r="M36" s="297">
        <f t="shared" si="12"/>
        <v>6.9120920137688877</v>
      </c>
      <c r="N36" s="298">
        <v>1500</v>
      </c>
      <c r="O36" s="304">
        <f t="shared" si="13"/>
        <v>0.10368138020653332</v>
      </c>
      <c r="P36" s="130"/>
      <c r="Q36" s="287"/>
      <c r="R36" s="287"/>
      <c r="S36" s="287"/>
      <c r="T36" s="287"/>
      <c r="U36" s="287"/>
      <c r="V36" s="287"/>
      <c r="W36" s="287"/>
      <c r="X36" s="287"/>
      <c r="Y36" s="287"/>
      <c r="Z36" s="287"/>
      <c r="AA36" s="287"/>
      <c r="AB36" s="287"/>
      <c r="AC36" s="287"/>
      <c r="AD36" s="287"/>
      <c r="AE36" s="287"/>
      <c r="AF36" s="287"/>
      <c r="AG36" s="287"/>
      <c r="AH36" s="287"/>
      <c r="AI36" s="287"/>
      <c r="AJ36" s="287"/>
      <c r="AK36" s="287"/>
      <c r="AL36" s="287"/>
      <c r="AM36" s="287"/>
      <c r="AN36" s="287"/>
      <c r="AO36" s="287"/>
      <c r="AP36" s="287"/>
      <c r="AQ36" s="287"/>
      <c r="AR36" s="287"/>
      <c r="AS36" s="287"/>
      <c r="AT36" s="287"/>
      <c r="AU36" s="287"/>
      <c r="AV36" s="287"/>
      <c r="AW36" s="287"/>
      <c r="AX36" s="287"/>
      <c r="AY36" s="287"/>
      <c r="AZ36" s="287"/>
      <c r="BA36" s="287"/>
      <c r="BB36" s="287"/>
      <c r="BC36" s="287"/>
      <c r="BD36" s="287"/>
      <c r="BE36" s="287"/>
      <c r="BF36" s="287"/>
      <c r="BG36" s="287"/>
      <c r="BH36" s="287"/>
      <c r="BI36" s="287"/>
      <c r="BJ36" s="287"/>
      <c r="BK36" s="287"/>
      <c r="BL36" s="287"/>
      <c r="BM36" s="287"/>
      <c r="BN36" s="287"/>
      <c r="BO36" s="287"/>
      <c r="BP36" s="287"/>
      <c r="BQ36" s="287"/>
      <c r="BR36" s="287"/>
      <c r="BS36" s="287"/>
      <c r="BT36" s="287"/>
      <c r="BU36" s="287"/>
      <c r="BV36" s="287"/>
      <c r="BW36" s="287"/>
      <c r="BX36" s="287"/>
      <c r="BY36" s="287"/>
      <c r="BZ36" s="287"/>
      <c r="CA36" s="287"/>
      <c r="CB36" s="287"/>
      <c r="CC36" s="287"/>
      <c r="CD36" s="287"/>
      <c r="CE36" s="287"/>
      <c r="CF36" s="287"/>
      <c r="CG36" s="287"/>
      <c r="CH36" s="287"/>
      <c r="CI36" s="287"/>
      <c r="CJ36" s="287"/>
      <c r="CK36" s="287"/>
      <c r="CL36" s="287"/>
      <c r="CM36" s="287"/>
      <c r="CN36" s="287"/>
      <c r="CO36" s="287"/>
      <c r="CP36" s="287"/>
      <c r="CQ36" s="287"/>
      <c r="CR36" s="287"/>
      <c r="CS36" s="287"/>
      <c r="CT36" s="287"/>
      <c r="CU36" s="287"/>
      <c r="CV36" s="287"/>
      <c r="CW36" s="287"/>
      <c r="CX36" s="287"/>
      <c r="CY36" s="287"/>
      <c r="CZ36" s="287"/>
      <c r="DA36" s="287"/>
      <c r="DB36" s="287"/>
      <c r="DC36" s="287"/>
      <c r="DD36" s="287"/>
      <c r="DE36" s="287"/>
      <c r="DF36" s="287"/>
      <c r="DG36" s="287"/>
      <c r="DH36" s="287"/>
      <c r="DI36" s="287"/>
      <c r="DJ36" s="287"/>
      <c r="DK36" s="287"/>
      <c r="DL36" s="287"/>
      <c r="DM36" s="287"/>
      <c r="DN36" s="287"/>
      <c r="DO36" s="287"/>
      <c r="DP36" s="287"/>
      <c r="DQ36" s="287"/>
      <c r="DR36" s="287"/>
      <c r="DS36" s="287"/>
      <c r="DT36" s="287"/>
      <c r="DU36" s="287"/>
      <c r="DV36" s="287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  <c r="FJ36" s="287"/>
      <c r="FK36" s="287"/>
      <c r="FL36" s="287"/>
      <c r="FM36" s="287"/>
      <c r="FN36" s="287"/>
      <c r="FO36" s="287"/>
      <c r="FP36" s="287"/>
      <c r="FQ36" s="287"/>
      <c r="FR36" s="287"/>
      <c r="FS36" s="287"/>
      <c r="FT36" s="287"/>
      <c r="FU36" s="287"/>
      <c r="FV36" s="287"/>
      <c r="FW36" s="287"/>
      <c r="FX36" s="287"/>
      <c r="FY36" s="287"/>
      <c r="FZ36" s="287"/>
      <c r="GA36" s="287"/>
      <c r="GB36" s="287"/>
      <c r="GC36" s="287"/>
      <c r="GD36" s="287"/>
      <c r="GE36" s="287"/>
      <c r="GF36" s="287"/>
      <c r="GG36" s="287"/>
      <c r="GH36" s="287"/>
      <c r="GI36" s="287"/>
      <c r="GJ36" s="287"/>
      <c r="GK36" s="287"/>
      <c r="GL36" s="287"/>
      <c r="GM36" s="287"/>
      <c r="GN36" s="287"/>
      <c r="GO36" s="287"/>
      <c r="GP36" s="287"/>
      <c r="GQ36" s="287"/>
      <c r="GR36" s="287"/>
      <c r="GS36" s="287"/>
      <c r="GT36" s="287"/>
      <c r="GU36" s="287"/>
      <c r="GV36" s="287"/>
      <c r="GW36" s="287"/>
      <c r="GX36" s="287"/>
      <c r="GY36" s="287"/>
      <c r="GZ36" s="287"/>
      <c r="HA36" s="287"/>
      <c r="HB36" s="287"/>
      <c r="HC36" s="287"/>
      <c r="HD36" s="287"/>
      <c r="HE36" s="287"/>
      <c r="HF36" s="287"/>
      <c r="HG36" s="287"/>
      <c r="HH36" s="287"/>
      <c r="HI36" s="287"/>
      <c r="HJ36" s="287"/>
      <c r="HK36" s="287"/>
      <c r="HL36" s="287"/>
      <c r="HM36" s="287"/>
      <c r="HN36" s="287"/>
      <c r="HO36" s="287"/>
      <c r="HP36" s="287"/>
      <c r="HQ36" s="287"/>
      <c r="HR36" s="287"/>
      <c r="HS36" s="287"/>
      <c r="HT36" s="287"/>
      <c r="HU36" s="287"/>
      <c r="HV36" s="287"/>
      <c r="HW36" s="287"/>
      <c r="HX36" s="287"/>
      <c r="HY36" s="287"/>
      <c r="HZ36" s="287"/>
      <c r="IA36" s="287"/>
      <c r="IB36" s="287"/>
    </row>
    <row r="37" spans="1:236" ht="12" customHeight="1">
      <c r="A37" s="300"/>
      <c r="B37" s="301" t="s">
        <v>45</v>
      </c>
      <c r="C37" s="302">
        <f t="shared" si="8"/>
        <v>36905</v>
      </c>
      <c r="D37" s="303">
        <f t="shared" si="8"/>
        <v>4</v>
      </c>
      <c r="E37" s="297">
        <f t="shared" si="9"/>
        <v>10.838639750711286</v>
      </c>
      <c r="F37" s="298">
        <v>1000</v>
      </c>
      <c r="G37" s="304">
        <f t="shared" si="10"/>
        <v>0.10838639750711285</v>
      </c>
      <c r="H37" s="245"/>
      <c r="I37" s="300"/>
      <c r="J37" s="301" t="s">
        <v>45</v>
      </c>
      <c r="K37" s="302">
        <f t="shared" si="11"/>
        <v>36905</v>
      </c>
      <c r="L37" s="303">
        <f t="shared" si="11"/>
        <v>4</v>
      </c>
      <c r="M37" s="297">
        <f t="shared" si="12"/>
        <v>10.838639750711286</v>
      </c>
      <c r="N37" s="298">
        <v>1000</v>
      </c>
      <c r="O37" s="304">
        <f t="shared" si="13"/>
        <v>0.10838639750711285</v>
      </c>
      <c r="P37" s="130"/>
      <c r="Q37" s="287"/>
      <c r="R37" s="287"/>
      <c r="S37" s="287"/>
      <c r="T37" s="287"/>
      <c r="U37" s="287"/>
      <c r="V37" s="287"/>
      <c r="W37" s="287"/>
      <c r="X37" s="287"/>
      <c r="Y37" s="287"/>
      <c r="Z37" s="287"/>
      <c r="AA37" s="287"/>
      <c r="AB37" s="287"/>
      <c r="AC37" s="287"/>
      <c r="AD37" s="287"/>
      <c r="AE37" s="287"/>
      <c r="AF37" s="287"/>
      <c r="AG37" s="287"/>
      <c r="AH37" s="287"/>
      <c r="AI37" s="287"/>
      <c r="AJ37" s="287"/>
      <c r="AK37" s="287"/>
      <c r="AL37" s="287"/>
      <c r="AM37" s="287"/>
      <c r="AN37" s="287"/>
      <c r="AO37" s="287"/>
      <c r="AP37" s="287"/>
      <c r="AQ37" s="287"/>
      <c r="AR37" s="287"/>
      <c r="AS37" s="287"/>
      <c r="AT37" s="287"/>
      <c r="AU37" s="287"/>
      <c r="AV37" s="287"/>
      <c r="AW37" s="287"/>
      <c r="AX37" s="287"/>
      <c r="AY37" s="287"/>
      <c r="AZ37" s="287"/>
      <c r="BA37" s="287"/>
      <c r="BB37" s="287"/>
      <c r="BC37" s="287"/>
      <c r="BD37" s="287"/>
      <c r="BE37" s="287"/>
      <c r="BF37" s="287"/>
      <c r="BG37" s="287"/>
      <c r="BH37" s="287"/>
      <c r="BI37" s="287"/>
      <c r="BJ37" s="287"/>
      <c r="BK37" s="287"/>
      <c r="BL37" s="287"/>
      <c r="BM37" s="287"/>
      <c r="BN37" s="287"/>
      <c r="BO37" s="287"/>
      <c r="BP37" s="287"/>
      <c r="BQ37" s="287"/>
      <c r="BR37" s="287"/>
      <c r="BS37" s="287"/>
      <c r="BT37" s="287"/>
      <c r="BU37" s="287"/>
      <c r="BV37" s="287"/>
      <c r="BW37" s="287"/>
      <c r="BX37" s="287"/>
      <c r="BY37" s="287"/>
      <c r="BZ37" s="287"/>
      <c r="CA37" s="287"/>
      <c r="CB37" s="287"/>
      <c r="CC37" s="287"/>
      <c r="CD37" s="287"/>
      <c r="CE37" s="287"/>
      <c r="CF37" s="287"/>
      <c r="CG37" s="287"/>
      <c r="CH37" s="287"/>
      <c r="CI37" s="287"/>
      <c r="CJ37" s="287"/>
      <c r="CK37" s="287"/>
      <c r="CL37" s="287"/>
      <c r="CM37" s="287"/>
      <c r="CN37" s="287"/>
      <c r="CO37" s="287"/>
      <c r="CP37" s="287"/>
      <c r="CQ37" s="287"/>
      <c r="CR37" s="287"/>
      <c r="CS37" s="287"/>
      <c r="CT37" s="287"/>
      <c r="CU37" s="287"/>
      <c r="CV37" s="287"/>
      <c r="CW37" s="287"/>
      <c r="CX37" s="287"/>
      <c r="CY37" s="287"/>
      <c r="CZ37" s="287"/>
      <c r="DA37" s="287"/>
      <c r="DB37" s="287"/>
      <c r="DC37" s="287"/>
      <c r="DD37" s="287"/>
      <c r="DE37" s="287"/>
      <c r="DF37" s="287"/>
      <c r="DG37" s="287"/>
      <c r="DH37" s="287"/>
      <c r="DI37" s="287"/>
      <c r="DJ37" s="287"/>
      <c r="DK37" s="287"/>
      <c r="DL37" s="287"/>
      <c r="DM37" s="287"/>
      <c r="DN37" s="287"/>
      <c r="DO37" s="287"/>
      <c r="DP37" s="287"/>
      <c r="DQ37" s="287"/>
      <c r="DR37" s="287"/>
      <c r="DS37" s="287"/>
      <c r="DT37" s="287"/>
      <c r="DU37" s="287"/>
      <c r="DV37" s="287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  <c r="FJ37" s="287"/>
      <c r="FK37" s="287"/>
      <c r="FL37" s="287"/>
      <c r="FM37" s="287"/>
      <c r="FN37" s="287"/>
      <c r="FO37" s="287"/>
      <c r="FP37" s="287"/>
      <c r="FQ37" s="287"/>
      <c r="FR37" s="287"/>
      <c r="FS37" s="287"/>
      <c r="FT37" s="287"/>
      <c r="FU37" s="287"/>
      <c r="FV37" s="287"/>
      <c r="FW37" s="287"/>
      <c r="FX37" s="287"/>
      <c r="FY37" s="287"/>
      <c r="FZ37" s="287"/>
      <c r="GA37" s="287"/>
      <c r="GB37" s="287"/>
      <c r="GC37" s="287"/>
      <c r="GD37" s="287"/>
      <c r="GE37" s="287"/>
      <c r="GF37" s="287"/>
      <c r="GG37" s="287"/>
      <c r="GH37" s="287"/>
      <c r="GI37" s="287"/>
      <c r="GJ37" s="287"/>
      <c r="GK37" s="287"/>
      <c r="GL37" s="287"/>
      <c r="GM37" s="287"/>
      <c r="GN37" s="287"/>
      <c r="GO37" s="287"/>
      <c r="GP37" s="287"/>
      <c r="GQ37" s="287"/>
      <c r="GR37" s="287"/>
      <c r="GS37" s="287"/>
      <c r="GT37" s="287"/>
      <c r="GU37" s="287"/>
      <c r="GV37" s="287"/>
      <c r="GW37" s="287"/>
      <c r="GX37" s="287"/>
      <c r="GY37" s="287"/>
      <c r="GZ37" s="287"/>
      <c r="HA37" s="287"/>
      <c r="HB37" s="287"/>
      <c r="HC37" s="287"/>
      <c r="HD37" s="287"/>
      <c r="HE37" s="287"/>
      <c r="HF37" s="287"/>
      <c r="HG37" s="287"/>
      <c r="HH37" s="287"/>
      <c r="HI37" s="287"/>
      <c r="HJ37" s="287"/>
      <c r="HK37" s="287"/>
      <c r="HL37" s="287"/>
      <c r="HM37" s="287"/>
      <c r="HN37" s="287"/>
      <c r="HO37" s="287"/>
      <c r="HP37" s="287"/>
      <c r="HQ37" s="287"/>
      <c r="HR37" s="287"/>
      <c r="HS37" s="287"/>
      <c r="HT37" s="287"/>
      <c r="HU37" s="287"/>
      <c r="HV37" s="287"/>
      <c r="HW37" s="287"/>
      <c r="HX37" s="287"/>
      <c r="HY37" s="287"/>
      <c r="HZ37" s="287"/>
      <c r="IA37" s="287"/>
      <c r="IB37" s="287"/>
    </row>
    <row r="38" spans="1:236" ht="12" customHeight="1">
      <c r="A38" s="305"/>
      <c r="B38" s="306" t="s">
        <v>122</v>
      </c>
      <c r="C38" s="307">
        <f>SUM(C32:C37)</f>
        <v>925751</v>
      </c>
      <c r="D38" s="308">
        <f>SUM(D32:D37)</f>
        <v>75</v>
      </c>
      <c r="E38" s="309">
        <f t="shared" si="9"/>
        <v>8.1015305411498346</v>
      </c>
      <c r="F38" s="310">
        <f>SUM(F32:F37)</f>
        <v>19500</v>
      </c>
      <c r="G38" s="311">
        <f>SUM(G32:G37)</f>
        <v>1.5543573142736347</v>
      </c>
      <c r="H38" s="245"/>
      <c r="I38" s="305"/>
      <c r="J38" s="306" t="s">
        <v>122</v>
      </c>
      <c r="K38" s="307">
        <f>SUM(K32:K37)</f>
        <v>925751</v>
      </c>
      <c r="L38" s="308">
        <f>SUM(L32:L37)</f>
        <v>75</v>
      </c>
      <c r="M38" s="309">
        <f t="shared" si="12"/>
        <v>8.1015305411498346</v>
      </c>
      <c r="N38" s="310">
        <f>SUM(N32:N37)</f>
        <v>19500</v>
      </c>
      <c r="O38" s="311">
        <f>SUM(O32:O37)</f>
        <v>1.5543573142736347</v>
      </c>
      <c r="P38" s="130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87"/>
      <c r="AB38" s="28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87"/>
      <c r="AO38" s="28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87"/>
      <c r="BB38" s="28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87"/>
      <c r="BO38" s="28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87"/>
      <c r="CB38" s="28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87"/>
      <c r="CO38" s="28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87"/>
      <c r="DB38" s="28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87"/>
      <c r="DO38" s="28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87"/>
      <c r="FO38" s="28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87"/>
      <c r="GB38" s="28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87"/>
      <c r="GO38" s="28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87"/>
      <c r="HB38" s="28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87"/>
      <c r="HO38" s="28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87"/>
      <c r="IB38" s="287"/>
    </row>
    <row r="39" spans="1:236" s="283" customFormat="1" ht="12" customHeight="1">
      <c r="A39" s="312"/>
      <c r="B39" s="313" t="s">
        <v>123</v>
      </c>
      <c r="C39" s="314"/>
      <c r="D39" s="314"/>
      <c r="E39" s="314"/>
      <c r="F39" s="315"/>
      <c r="G39" s="286">
        <f>G38/F38*100000</f>
        <v>7.9710631501212035</v>
      </c>
      <c r="H39" s="245"/>
      <c r="I39" s="312"/>
      <c r="J39" s="313" t="s">
        <v>123</v>
      </c>
      <c r="K39" s="314"/>
      <c r="L39" s="314"/>
      <c r="M39" s="314"/>
      <c r="N39" s="314"/>
      <c r="O39" s="286">
        <f>O38/N38*100000</f>
        <v>7.9710631501212035</v>
      </c>
      <c r="P39" s="130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82"/>
      <c r="AO39" s="282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82"/>
      <c r="BB39" s="282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82"/>
      <c r="BO39" s="282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82"/>
      <c r="CB39" s="282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82"/>
      <c r="CO39" s="282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82"/>
      <c r="DB39" s="282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82"/>
      <c r="DO39" s="282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82"/>
      <c r="EB39" s="282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82"/>
      <c r="EO39" s="282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82"/>
      <c r="FB39" s="282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82"/>
      <c r="FO39" s="282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82"/>
      <c r="GB39" s="282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82"/>
      <c r="GO39" s="282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82"/>
      <c r="HB39" s="282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82"/>
      <c r="HO39" s="282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82"/>
      <c r="IB39" s="282"/>
    </row>
    <row r="40" spans="1:236" ht="25.5" customHeight="1" thickBot="1">
      <c r="B40" s="130"/>
      <c r="C40" s="130"/>
      <c r="D40" s="130"/>
      <c r="E40" s="130"/>
      <c r="F40" s="130"/>
      <c r="G40" s="130"/>
      <c r="H40" s="130"/>
      <c r="J40" s="130"/>
      <c r="K40" s="130"/>
      <c r="L40" s="130"/>
      <c r="M40" s="378" t="s">
        <v>124</v>
      </c>
      <c r="N40" s="379"/>
      <c r="O40" s="379"/>
      <c r="P40" s="130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87"/>
      <c r="AB40" s="28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87"/>
      <c r="AO40" s="28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87"/>
      <c r="BB40" s="28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87"/>
      <c r="BO40" s="28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87"/>
      <c r="CB40" s="28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87"/>
      <c r="CO40" s="28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87"/>
      <c r="DB40" s="28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87"/>
      <c r="DO40" s="28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87"/>
      <c r="FO40" s="28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87"/>
      <c r="GB40" s="28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87"/>
      <c r="GO40" s="28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87"/>
      <c r="HB40" s="28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87"/>
      <c r="HO40" s="28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87"/>
      <c r="IB40" s="287"/>
    </row>
    <row r="41" spans="1:236" ht="12.75" customHeight="1" thickBot="1">
      <c r="B41" s="316" t="s">
        <v>125</v>
      </c>
      <c r="C41" s="317">
        <f>SUM(C35:C36)/SUM(C32:C36)</f>
        <v>0.22610215942919246</v>
      </c>
      <c r="D41" s="130"/>
      <c r="E41" s="130"/>
      <c r="F41" s="130"/>
      <c r="G41" s="130"/>
      <c r="H41" s="130"/>
      <c r="J41" s="316" t="s">
        <v>125</v>
      </c>
      <c r="K41" s="317">
        <f>SUM(K35:K36)/SUM(K32:K36)</f>
        <v>0.22610215942919246</v>
      </c>
      <c r="L41" s="130"/>
      <c r="M41" s="380" t="s">
        <v>126</v>
      </c>
      <c r="N41" s="381"/>
      <c r="O41" s="318">
        <v>1</v>
      </c>
      <c r="P41" s="130"/>
      <c r="Q41" s="287"/>
      <c r="R41" s="287"/>
      <c r="S41" s="287"/>
      <c r="T41" s="287"/>
      <c r="U41" s="287"/>
      <c r="V41" s="287"/>
      <c r="W41" s="287"/>
      <c r="X41" s="287"/>
      <c r="Y41" s="287"/>
      <c r="Z41" s="287"/>
      <c r="AA41" s="287"/>
      <c r="AB41" s="287"/>
      <c r="AC41" s="287"/>
      <c r="AD41" s="287"/>
      <c r="AE41" s="287"/>
      <c r="AF41" s="287"/>
      <c r="AG41" s="287"/>
      <c r="AH41" s="287"/>
      <c r="AI41" s="287"/>
      <c r="AJ41" s="287"/>
      <c r="AK41" s="287"/>
      <c r="AL41" s="287"/>
      <c r="AM41" s="287"/>
      <c r="AN41" s="287"/>
      <c r="AO41" s="287"/>
      <c r="AP41" s="287"/>
      <c r="AQ41" s="287"/>
      <c r="AR41" s="287"/>
      <c r="AS41" s="287"/>
      <c r="AT41" s="287"/>
      <c r="AU41" s="287"/>
      <c r="AV41" s="287"/>
      <c r="AW41" s="287"/>
      <c r="AX41" s="287"/>
      <c r="AY41" s="287"/>
      <c r="AZ41" s="287"/>
      <c r="BA41" s="287"/>
      <c r="BB41" s="287"/>
      <c r="BC41" s="287"/>
      <c r="BD41" s="287"/>
      <c r="BE41" s="287"/>
      <c r="BF41" s="287"/>
      <c r="BG41" s="287"/>
      <c r="BH41" s="287"/>
      <c r="BI41" s="287"/>
      <c r="BJ41" s="287"/>
      <c r="BK41" s="287"/>
      <c r="BL41" s="287"/>
      <c r="BM41" s="287"/>
      <c r="BN41" s="287"/>
      <c r="BO41" s="287"/>
      <c r="BP41" s="287"/>
      <c r="BQ41" s="287"/>
      <c r="BR41" s="287"/>
      <c r="BS41" s="287"/>
      <c r="BT41" s="287"/>
      <c r="BU41" s="287"/>
      <c r="BV41" s="287"/>
      <c r="BW41" s="287"/>
      <c r="BX41" s="287"/>
      <c r="BY41" s="287"/>
      <c r="BZ41" s="287"/>
      <c r="CA41" s="287"/>
      <c r="CB41" s="287"/>
      <c r="CC41" s="287"/>
      <c r="CD41" s="287"/>
      <c r="CE41" s="287"/>
      <c r="CF41" s="287"/>
      <c r="CG41" s="287"/>
      <c r="CH41" s="287"/>
      <c r="CI41" s="287"/>
      <c r="CJ41" s="287"/>
      <c r="CK41" s="287"/>
      <c r="CL41" s="287"/>
      <c r="CM41" s="287"/>
      <c r="CN41" s="287"/>
      <c r="CO41" s="287"/>
      <c r="CP41" s="287"/>
      <c r="CQ41" s="287"/>
      <c r="CR41" s="287"/>
      <c r="CS41" s="287"/>
      <c r="CT41" s="287"/>
      <c r="CU41" s="287"/>
      <c r="CV41" s="287"/>
      <c r="CW41" s="287"/>
      <c r="CX41" s="287"/>
      <c r="CY41" s="287"/>
      <c r="CZ41" s="287"/>
      <c r="DA41" s="287"/>
      <c r="DB41" s="287"/>
      <c r="DC41" s="287"/>
      <c r="DD41" s="287"/>
      <c r="DE41" s="287"/>
      <c r="DF41" s="287"/>
      <c r="DG41" s="287"/>
      <c r="DH41" s="287"/>
      <c r="DI41" s="287"/>
      <c r="DJ41" s="287"/>
      <c r="DK41" s="287"/>
      <c r="DL41" s="287"/>
      <c r="DM41" s="287"/>
      <c r="DN41" s="287"/>
      <c r="DO41" s="287"/>
      <c r="DP41" s="287"/>
      <c r="DQ41" s="287"/>
      <c r="DR41" s="287"/>
      <c r="DS41" s="287"/>
      <c r="DT41" s="287"/>
      <c r="DU41" s="287"/>
      <c r="DV41" s="287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  <c r="FJ41" s="287"/>
      <c r="FK41" s="287"/>
      <c r="FL41" s="287"/>
      <c r="FM41" s="287"/>
      <c r="FN41" s="287"/>
      <c r="FO41" s="287"/>
      <c r="FP41" s="287"/>
      <c r="FQ41" s="287"/>
      <c r="FR41" s="287"/>
      <c r="FS41" s="287"/>
      <c r="FT41" s="287"/>
      <c r="FU41" s="287"/>
      <c r="FV41" s="287"/>
      <c r="FW41" s="287"/>
      <c r="FX41" s="287"/>
      <c r="FY41" s="287"/>
      <c r="FZ41" s="287"/>
      <c r="GA41" s="287"/>
      <c r="GB41" s="287"/>
      <c r="GC41" s="287"/>
      <c r="GD41" s="287"/>
      <c r="GE41" s="287"/>
      <c r="GF41" s="287"/>
      <c r="GG41" s="287"/>
      <c r="GH41" s="287"/>
      <c r="GI41" s="287"/>
      <c r="GJ41" s="287"/>
      <c r="GK41" s="287"/>
      <c r="GL41" s="287"/>
      <c r="GM41" s="287"/>
      <c r="GN41" s="287"/>
      <c r="GO41" s="287"/>
      <c r="GP41" s="287"/>
      <c r="GQ41" s="287"/>
      <c r="GR41" s="287"/>
      <c r="GS41" s="287"/>
      <c r="GT41" s="287"/>
      <c r="GU41" s="287"/>
      <c r="GV41" s="287"/>
      <c r="GW41" s="287"/>
      <c r="GX41" s="287"/>
      <c r="GY41" s="287"/>
      <c r="GZ41" s="287"/>
      <c r="HA41" s="287"/>
      <c r="HB41" s="287"/>
      <c r="HC41" s="287"/>
      <c r="HD41" s="287"/>
      <c r="HE41" s="287"/>
      <c r="HF41" s="287"/>
      <c r="HG41" s="287"/>
      <c r="HH41" s="287"/>
      <c r="HI41" s="287"/>
      <c r="HJ41" s="287"/>
      <c r="HK41" s="287"/>
      <c r="HL41" s="287"/>
      <c r="HM41" s="287"/>
      <c r="HN41" s="287"/>
      <c r="HO41" s="287"/>
      <c r="HP41" s="287"/>
      <c r="HQ41" s="287"/>
      <c r="HR41" s="287"/>
      <c r="HS41" s="287"/>
      <c r="HT41" s="287"/>
      <c r="HU41" s="287"/>
      <c r="HV41" s="287"/>
      <c r="HW41" s="287"/>
      <c r="HX41" s="287"/>
      <c r="HY41" s="287"/>
      <c r="HZ41" s="287"/>
      <c r="IA41" s="287"/>
      <c r="IB41" s="287"/>
    </row>
    <row r="42" spans="1:236" ht="22.5" customHeight="1" thickBot="1">
      <c r="A42" s="319" t="s">
        <v>127</v>
      </c>
      <c r="B42" s="130"/>
      <c r="C42" s="130"/>
      <c r="D42" s="130"/>
      <c r="E42" s="130"/>
      <c r="F42" s="320"/>
      <c r="G42" s="130"/>
      <c r="H42" s="130"/>
      <c r="J42" s="130"/>
      <c r="K42" s="130"/>
      <c r="L42" s="130"/>
      <c r="M42" s="382" t="s">
        <v>128</v>
      </c>
      <c r="N42" s="383"/>
      <c r="O42" s="321">
        <v>1</v>
      </c>
      <c r="P42" s="130"/>
    </row>
    <row r="43" spans="1:236">
      <c r="A43" s="283" t="s">
        <v>129</v>
      </c>
      <c r="B43" s="322"/>
      <c r="C43" s="322"/>
      <c r="D43" s="322"/>
      <c r="E43" s="322"/>
      <c r="F43" s="323"/>
      <c r="G43" s="322"/>
      <c r="H43" s="322"/>
      <c r="I43" s="283"/>
      <c r="J43" s="322"/>
      <c r="K43" s="324"/>
      <c r="L43" s="130"/>
      <c r="M43" s="130"/>
      <c r="N43" s="325" t="s">
        <v>130</v>
      </c>
      <c r="O43" s="130"/>
      <c r="P43" s="324"/>
    </row>
    <row r="44" spans="1:236">
      <c r="A44" s="283" t="s">
        <v>131</v>
      </c>
      <c r="B44" s="322"/>
      <c r="C44" s="322"/>
      <c r="D44" s="322"/>
      <c r="E44" s="322"/>
      <c r="F44" s="323"/>
      <c r="G44" s="322"/>
      <c r="H44" s="322"/>
      <c r="I44" s="283"/>
      <c r="J44" s="322"/>
      <c r="K44" s="322"/>
      <c r="L44" s="322"/>
      <c r="M44" s="322"/>
      <c r="N44" s="324"/>
      <c r="O44" s="324"/>
      <c r="P44" s="324"/>
      <c r="Q44" s="287"/>
    </row>
    <row r="45" spans="1:236">
      <c r="A45" s="283" t="s">
        <v>132</v>
      </c>
      <c r="B45" s="322"/>
      <c r="C45" s="322"/>
      <c r="D45" s="322"/>
      <c r="E45" s="322"/>
      <c r="F45" s="323"/>
      <c r="G45" s="322"/>
      <c r="H45" s="322"/>
      <c r="I45" s="283"/>
      <c r="J45" s="322"/>
      <c r="K45" s="322"/>
      <c r="L45" s="322"/>
      <c r="M45" s="322"/>
      <c r="N45" s="324"/>
      <c r="O45" s="324"/>
      <c r="P45" s="324"/>
      <c r="Q45" s="287"/>
    </row>
    <row r="46" spans="1:236" s="133" customFormat="1">
      <c r="A46" s="283" t="s">
        <v>133</v>
      </c>
      <c r="B46" s="283"/>
      <c r="C46" s="283"/>
      <c r="D46" s="283"/>
      <c r="E46" s="283"/>
      <c r="F46" s="326"/>
      <c r="G46" s="283"/>
      <c r="H46" s="283"/>
      <c r="I46" s="283"/>
      <c r="J46" s="283"/>
      <c r="K46" s="283"/>
      <c r="L46" s="283"/>
      <c r="M46" s="283"/>
      <c r="N46" s="282"/>
      <c r="O46" s="282"/>
      <c r="P46" s="282"/>
      <c r="Q46" s="282"/>
      <c r="R46" s="282"/>
    </row>
    <row r="47" spans="1:236" s="133" customFormat="1">
      <c r="A47" s="283" t="s">
        <v>134</v>
      </c>
      <c r="B47" s="283"/>
      <c r="C47" s="283"/>
      <c r="D47" s="283"/>
      <c r="E47" s="283"/>
      <c r="F47" s="326"/>
      <c r="G47" s="283"/>
      <c r="H47" s="283"/>
      <c r="I47" s="283"/>
      <c r="J47" s="283"/>
      <c r="K47" s="283"/>
      <c r="L47" s="283"/>
      <c r="M47" s="283"/>
      <c r="N47" s="282"/>
      <c r="O47" s="282"/>
      <c r="P47" s="282"/>
      <c r="Q47" s="282"/>
      <c r="R47" s="282"/>
    </row>
    <row r="48" spans="1:236" s="133" customFormat="1">
      <c r="A48" s="283" t="s">
        <v>135</v>
      </c>
      <c r="B48" s="283"/>
      <c r="C48" s="283"/>
      <c r="D48" s="283"/>
      <c r="E48" s="283"/>
      <c r="F48" s="326"/>
      <c r="G48" s="283"/>
      <c r="H48" s="283"/>
      <c r="I48" s="283"/>
      <c r="J48" s="283"/>
      <c r="K48" s="283"/>
      <c r="L48" s="283"/>
      <c r="M48" s="283"/>
      <c r="N48" s="282"/>
      <c r="O48" s="282"/>
      <c r="P48" s="282"/>
      <c r="Q48" s="282"/>
      <c r="R48" s="282"/>
    </row>
    <row r="49" spans="1:17">
      <c r="A49" s="283" t="s">
        <v>136</v>
      </c>
      <c r="B49" s="322"/>
      <c r="C49" s="322"/>
      <c r="D49" s="322"/>
      <c r="E49" s="322"/>
      <c r="F49" s="323"/>
      <c r="G49" s="322"/>
      <c r="H49" s="322"/>
      <c r="I49" s="283"/>
      <c r="J49" s="322"/>
      <c r="K49" s="322"/>
      <c r="L49" s="322"/>
      <c r="M49" s="322"/>
      <c r="N49" s="324"/>
      <c r="O49" s="324"/>
      <c r="P49" s="324"/>
      <c r="Q49" s="287"/>
    </row>
    <row r="50" spans="1:17">
      <c r="Q50" s="287"/>
    </row>
  </sheetData>
  <mergeCells count="3">
    <mergeCell ref="M40:O40"/>
    <mergeCell ref="M41:N41"/>
    <mergeCell ref="M42:N42"/>
  </mergeCells>
  <pageMargins left="0.47" right="0.31" top="0.57999999999999996" bottom="0.75" header="0.5" footer="0.5"/>
  <pageSetup paperSize="9" scale="86" orientation="landscape" r:id="rId1"/>
  <headerFooter alignWithMargins="0">
    <oddFooter>&amp;R&amp;8&amp;D  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standard populations</vt:lpstr>
      <vt:lpstr>DIRECT examples</vt:lpstr>
      <vt:lpstr> INDIRECT examples</vt:lpstr>
      <vt:lpstr>checker</vt:lpstr>
      <vt:lpstr>age vs age-sex standardising</vt:lpstr>
      <vt:lpstr>'age vs age-sex standardising'!Print_Area</vt:lpstr>
    </vt:vector>
  </TitlesOfParts>
  <Company>CSA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susanb08</cp:lastModifiedBy>
  <cp:lastPrinted>2002-01-17T08:56:22Z</cp:lastPrinted>
  <dcterms:created xsi:type="dcterms:W3CDTF">2002-01-08T10:29:54Z</dcterms:created>
  <dcterms:modified xsi:type="dcterms:W3CDTF">2015-06-24T10:26:53Z</dcterms:modified>
</cp:coreProperties>
</file>