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5B002427-B667-47B5-830B-9CDCD2ED7620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MPC" sheetId="1" r:id="rId1"/>
    <sheet name="BCG2" sheetId="2" r:id="rId2"/>
    <sheet name="Punto de Equilibrio" sheetId="3" r:id="rId3"/>
    <sheet name="Fuentes y supuestos" sheetId="4" r:id="rId4"/>
    <sheet name="paten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" i="4" l="1"/>
  <c r="H16" i="4"/>
  <c r="H15" i="4"/>
  <c r="H14" i="4"/>
  <c r="H8" i="4"/>
  <c r="C66" i="3"/>
  <c r="C65" i="3"/>
  <c r="C64" i="3"/>
  <c r="C63" i="3"/>
  <c r="C62" i="3"/>
  <c r="C61" i="3"/>
  <c r="C60" i="3"/>
  <c r="C59" i="3"/>
  <c r="C58" i="3"/>
  <c r="C57" i="3"/>
  <c r="C56" i="3"/>
  <c r="C33" i="3"/>
  <c r="C34" i="3" s="1"/>
  <c r="C42" i="3" s="1"/>
  <c r="C43" i="3" s="1"/>
  <c r="C17" i="3"/>
  <c r="C10" i="3"/>
  <c r="C16" i="3" s="1"/>
  <c r="C21" i="3" s="1"/>
  <c r="I20" i="2"/>
  <c r="D20" i="2"/>
  <c r="I16" i="2"/>
  <c r="D16" i="2"/>
  <c r="I12" i="2"/>
  <c r="D12" i="2"/>
  <c r="I8" i="2"/>
  <c r="D8" i="2"/>
  <c r="H5" i="2"/>
  <c r="I13" i="2" s="1"/>
  <c r="G5" i="2"/>
  <c r="H34" i="1"/>
  <c r="G34" i="1"/>
  <c r="F34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7" i="1"/>
  <c r="G27" i="1"/>
  <c r="F27" i="1"/>
  <c r="H26" i="1"/>
  <c r="G26" i="1"/>
  <c r="F26" i="1"/>
  <c r="H25" i="1"/>
  <c r="G25" i="1"/>
  <c r="F25" i="1"/>
  <c r="H24" i="1"/>
  <c r="G24" i="1"/>
  <c r="F24" i="1"/>
  <c r="H23" i="1"/>
  <c r="H15" i="1" s="1"/>
  <c r="G23" i="1"/>
  <c r="F23" i="1"/>
  <c r="H22" i="1"/>
  <c r="G22" i="1"/>
  <c r="F22" i="1"/>
  <c r="H21" i="1"/>
  <c r="G21" i="1"/>
  <c r="F21" i="1"/>
  <c r="H20" i="1"/>
  <c r="G20" i="1"/>
  <c r="F20" i="1"/>
  <c r="C15" i="1"/>
  <c r="I14" i="1"/>
  <c r="C14" i="1"/>
  <c r="C13" i="1"/>
  <c r="C8" i="1"/>
  <c r="AG7" i="1"/>
  <c r="AE7" i="1"/>
  <c r="AC7" i="1"/>
  <c r="AA7" i="1"/>
  <c r="Y7" i="1"/>
  <c r="W7" i="1"/>
  <c r="U7" i="1"/>
  <c r="S7" i="1"/>
  <c r="Q7" i="1"/>
  <c r="O7" i="1"/>
  <c r="M7" i="1"/>
  <c r="K7" i="1"/>
  <c r="K8" i="1" s="1"/>
  <c r="I23" i="1" s="1"/>
  <c r="I7" i="1"/>
  <c r="G7" i="1"/>
  <c r="E7" i="1"/>
  <c r="AG6" i="1"/>
  <c r="AE6" i="1"/>
  <c r="AC6" i="1"/>
  <c r="AA6" i="1"/>
  <c r="Y6" i="1"/>
  <c r="W6" i="1"/>
  <c r="U6" i="1"/>
  <c r="S6" i="1"/>
  <c r="Q6" i="1"/>
  <c r="O6" i="1"/>
  <c r="M6" i="1"/>
  <c r="K6" i="1"/>
  <c r="I6" i="1"/>
  <c r="G6" i="1"/>
  <c r="E6" i="1"/>
  <c r="AG5" i="1"/>
  <c r="AE5" i="1"/>
  <c r="AC5" i="1"/>
  <c r="AC8" i="1" s="1"/>
  <c r="I32" i="1" s="1"/>
  <c r="AA5" i="1"/>
  <c r="Y5" i="1"/>
  <c r="W5" i="1"/>
  <c r="U5" i="1"/>
  <c r="S5" i="1"/>
  <c r="Q5" i="1"/>
  <c r="O5" i="1"/>
  <c r="M5" i="1"/>
  <c r="K5" i="1"/>
  <c r="I5" i="1"/>
  <c r="G5" i="1"/>
  <c r="E5" i="1"/>
  <c r="S8" i="1" l="1"/>
  <c r="I27" i="1" s="1"/>
  <c r="E8" i="1"/>
  <c r="I20" i="1" s="1"/>
  <c r="Q8" i="1"/>
  <c r="I26" i="1" s="1"/>
  <c r="U8" i="1"/>
  <c r="I28" i="1" s="1"/>
  <c r="I8" i="1"/>
  <c r="I22" i="1" s="1"/>
  <c r="O8" i="1"/>
  <c r="I25" i="1" s="1"/>
  <c r="W8" i="1"/>
  <c r="I29" i="1" s="1"/>
  <c r="G8" i="1"/>
  <c r="I21" i="1" s="1"/>
  <c r="AA8" i="1"/>
  <c r="I31" i="1" s="1"/>
  <c r="AE8" i="1"/>
  <c r="I33" i="1" s="1"/>
  <c r="I15" i="1"/>
  <c r="Y8" i="1"/>
  <c r="I30" i="1" s="1"/>
  <c r="C31" i="1" s="1"/>
  <c r="F15" i="1"/>
  <c r="AG8" i="1"/>
  <c r="I34" i="1" s="1"/>
  <c r="C34" i="1" s="1"/>
  <c r="C27" i="1"/>
  <c r="E13" i="1"/>
  <c r="H14" i="1"/>
  <c r="F13" i="1"/>
  <c r="M8" i="1"/>
  <c r="I24" i="1" s="1"/>
  <c r="I13" i="1"/>
  <c r="D60" i="3"/>
  <c r="C44" i="3"/>
  <c r="D59" i="3"/>
  <c r="D66" i="3"/>
  <c r="D58" i="3"/>
  <c r="D56" i="3"/>
  <c r="D63" i="3"/>
  <c r="D65" i="3"/>
  <c r="D57" i="3"/>
  <c r="D64" i="3"/>
  <c r="D62" i="3"/>
  <c r="D61" i="3"/>
  <c r="D13" i="2"/>
  <c r="D14" i="1"/>
  <c r="I17" i="2"/>
  <c r="D6" i="2"/>
  <c r="D10" i="2"/>
  <c r="D14" i="2"/>
  <c r="D18" i="2"/>
  <c r="H13" i="1"/>
  <c r="D9" i="2"/>
  <c r="I5" i="2"/>
  <c r="E14" i="1"/>
  <c r="F14" i="1"/>
  <c r="I6" i="2"/>
  <c r="I10" i="2"/>
  <c r="I14" i="2"/>
  <c r="I18" i="2"/>
  <c r="I9" i="2"/>
  <c r="D15" i="2"/>
  <c r="E15" i="1"/>
  <c r="I7" i="2"/>
  <c r="I11" i="2"/>
  <c r="I15" i="2"/>
  <c r="I19" i="2"/>
  <c r="D15" i="1"/>
  <c r="D7" i="2"/>
  <c r="D11" i="2"/>
  <c r="D19" i="2"/>
  <c r="D13" i="1"/>
  <c r="D17" i="2"/>
  <c r="C29" i="1" l="1"/>
  <c r="G13" i="1"/>
  <c r="C28" i="1"/>
  <c r="C25" i="1"/>
  <c r="C21" i="1"/>
  <c r="C24" i="1"/>
  <c r="C30" i="1"/>
  <c r="G15" i="1"/>
  <c r="C23" i="1"/>
  <c r="C26" i="1"/>
  <c r="C20" i="1"/>
  <c r="C22" i="1"/>
  <c r="C33" i="1"/>
  <c r="C32" i="1"/>
  <c r="C45" i="3"/>
  <c r="C51" i="3"/>
  <c r="C46" i="3"/>
  <c r="C47" i="3" s="1"/>
  <c r="C49" i="3" s="1"/>
  <c r="C50" i="3" s="1"/>
  <c r="C5" i="2" s="1"/>
  <c r="G14" i="1"/>
  <c r="J8" i="2" l="1"/>
  <c r="K8" i="2" s="1"/>
  <c r="E5" i="2"/>
  <c r="F5" i="2" s="1"/>
  <c r="D5" i="2"/>
  <c r="J19" i="2"/>
  <c r="K19" i="2" s="1"/>
  <c r="J15" i="2"/>
  <c r="K15" i="2" s="1"/>
  <c r="J11" i="2"/>
  <c r="K11" i="2" s="1"/>
  <c r="J7" i="2"/>
  <c r="K7" i="2" s="1"/>
  <c r="J10" i="2"/>
  <c r="K10" i="2" s="1"/>
  <c r="J6" i="2"/>
  <c r="K6" i="2" s="1"/>
  <c r="J14" i="2"/>
  <c r="K14" i="2" s="1"/>
  <c r="J5" i="2"/>
  <c r="K5" i="2" s="1"/>
  <c r="J20" i="2"/>
  <c r="K20" i="2" s="1"/>
  <c r="J18" i="2"/>
  <c r="K18" i="2" s="1"/>
  <c r="C21" i="2"/>
  <c r="D21" i="2" s="1"/>
  <c r="J13" i="2"/>
  <c r="K13" i="2" s="1"/>
  <c r="J9" i="2"/>
  <c r="K9" i="2" s="1"/>
  <c r="J16" i="2"/>
  <c r="K16" i="2" s="1"/>
  <c r="J17" i="2"/>
  <c r="K17" i="2" s="1"/>
  <c r="J12" i="2"/>
  <c r="K1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000-000001000000}">
      <text>
        <r>
          <rPr>
            <sz val="10"/>
            <rFont val="Arial"/>
            <family val="2"/>
          </rPr>
          <t>Peso de cada área de vigilancia (suma = 1,00). Producto pesa más porque el mercado de abridores está muy fragmentado y el cliente decide por funcionalidad y ergonomía.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5" authorId="0" shapeId="0" xr:uid="{00000000-0006-0000-0100-000010000000}">
      <text>
        <r>
          <rPr>
            <sz val="10"/>
            <rFont val="Arial"/>
            <family val="2"/>
          </rPr>
          <t>2025: frascos US$ 250 M + latas US$ 950 M (1.200 M latas y frascos − 250 M frascos) + botellas US$ 1.300 M. Fuentes: Verified Market Reports y GMI.</t>
        </r>
      </text>
    </comment>
    <comment ref="H5" authorId="0" shapeId="0" xr:uid="{00000000-0006-0000-0100-000011000000}">
      <text>
        <r>
          <rPr>
            <sz val="10"/>
            <rFont val="Arial"/>
            <family val="2"/>
          </rPr>
          <t>2026: cada segmento crece según su TCAC (frascos 5,5%, latas 5%, botellas 5,3%).</t>
        </r>
      </text>
    </comment>
    <comment ref="C6" authorId="0" shapeId="0" xr:uid="{00000000-0006-0000-0100-000001000000}">
      <text>
        <r>
          <rPr>
            <sz val="10"/>
            <rFont val="Arial"/>
            <family val="2"/>
          </rPr>
          <t>Estimación (US$ M): frascos 9.0 + latas 42.0 + botellas 20.5</t>
        </r>
      </text>
    </comment>
    <comment ref="C7" authorId="0" shapeId="0" xr:uid="{00000000-0006-0000-0100-000002000000}">
      <text>
        <r>
          <rPr>
            <sz val="10"/>
            <rFont val="Arial"/>
            <family val="2"/>
          </rPr>
          <t>Estimación (US$ M): frascos 0.8 + latas 5.0 + botellas 1.0</t>
        </r>
      </text>
    </comment>
    <comment ref="C8" authorId="0" shapeId="0" xr:uid="{00000000-0006-0000-0100-000003000000}">
      <text>
        <r>
          <rPr>
            <sz val="10"/>
            <rFont val="Arial"/>
            <family val="2"/>
          </rPr>
          <t>Estimación (US$ M): frascos 2.0 + latas 18.0 + botellas 12.0</t>
        </r>
      </text>
    </comment>
    <comment ref="C9" authorId="0" shapeId="0" xr:uid="{00000000-0006-0000-0100-000004000000}">
      <text>
        <r>
          <rPr>
            <sz val="10"/>
            <rFont val="Arial"/>
            <family val="2"/>
          </rPr>
          <t>Estimación (US$ M): frascos 1.5 + latas 20.0 + botellas 5.0</t>
        </r>
      </text>
    </comment>
    <comment ref="C10" authorId="0" shapeId="0" xr:uid="{00000000-0006-0000-0100-000005000000}">
      <text>
        <r>
          <rPr>
            <sz val="10"/>
            <rFont val="Arial"/>
            <family val="2"/>
          </rPr>
          <t>Estimación (US$ M): frascos 2.5 + latas 22.0 + botellas 6.0</t>
        </r>
      </text>
    </comment>
    <comment ref="C11" authorId="0" shapeId="0" xr:uid="{00000000-0006-0000-0100-000006000000}">
      <text>
        <r>
          <rPr>
            <sz val="10"/>
            <rFont val="Arial"/>
            <family val="2"/>
          </rPr>
          <t>Estimación (US$ M): frascos 5.0 + latas 25.0 + botellas 1.5</t>
        </r>
      </text>
    </comment>
    <comment ref="C12" authorId="0" shapeId="0" xr:uid="{00000000-0006-0000-0100-000007000000}">
      <text>
        <r>
          <rPr>
            <sz val="10"/>
            <rFont val="Arial"/>
            <family val="2"/>
          </rPr>
          <t>Estimación (US$ M): frascos 4.0 + latas 40.0 + botellas 2.0</t>
        </r>
      </text>
    </comment>
    <comment ref="C13" authorId="0" shapeId="0" xr:uid="{00000000-0006-0000-0100-000008000000}">
      <text>
        <r>
          <rPr>
            <sz val="10"/>
            <rFont val="Arial"/>
            <family val="2"/>
          </rPr>
          <t>Estimación (US$ M): frascos 3.5 + latas 32.0 + botellas 10.0</t>
        </r>
      </text>
    </comment>
    <comment ref="C14" authorId="0" shapeId="0" xr:uid="{00000000-0006-0000-0100-000009000000}">
      <text>
        <r>
          <rPr>
            <sz val="10"/>
            <rFont val="Arial"/>
            <family val="2"/>
          </rPr>
          <t>Estimación (US$ M): frascos 1.0 + latas 6.0 + botellas 13.0</t>
        </r>
      </text>
    </comment>
    <comment ref="C15" authorId="0" shapeId="0" xr:uid="{00000000-0006-0000-0100-00000A000000}">
      <text>
        <r>
          <rPr>
            <sz val="10"/>
            <rFont val="Arial"/>
            <family val="2"/>
          </rPr>
          <t>Estimación (US$ M): frascos 0.8 + latas 4.0 + botellas 3.0</t>
        </r>
      </text>
    </comment>
    <comment ref="C16" authorId="0" shapeId="0" xr:uid="{00000000-0006-0000-0100-00000B000000}">
      <text>
        <r>
          <rPr>
            <sz val="10"/>
            <rFont val="Arial"/>
            <family val="2"/>
          </rPr>
          <t>Estimación (US$ M): frascos 1.2 + latas 9.0 + botellas 8.0</t>
        </r>
      </text>
    </comment>
    <comment ref="C17" authorId="0" shapeId="0" xr:uid="{00000000-0006-0000-0100-00000C000000}">
      <text>
        <r>
          <rPr>
            <sz val="10"/>
            <rFont val="Arial"/>
            <family val="2"/>
          </rPr>
          <t>Estimación (US$ M): frascos 2.0 + latas 8.0 + botellas 1.0</t>
        </r>
      </text>
    </comment>
    <comment ref="C18" authorId="0" shapeId="0" xr:uid="{00000000-0006-0000-0100-00000D000000}">
      <text>
        <r>
          <rPr>
            <sz val="10"/>
            <rFont val="Arial"/>
            <family val="2"/>
          </rPr>
          <t>Estimación (US$ M): frascos 1.5 + latas 7.0 + botellas 1.5</t>
        </r>
      </text>
    </comment>
    <comment ref="C19" authorId="0" shapeId="0" xr:uid="{00000000-0006-0000-0100-00000E000000}">
      <text>
        <r>
          <rPr>
            <sz val="10"/>
            <rFont val="Arial"/>
            <family val="2"/>
          </rPr>
          <t>Estimación (US$ M): frascos 0.5 + latas 12.0 + botellas 0.5</t>
        </r>
      </text>
    </comment>
    <comment ref="C20" authorId="0" shapeId="0" xr:uid="{00000000-0006-0000-0100-00000F000000}">
      <text>
        <r>
          <rPr>
            <sz val="10"/>
            <rFont val="Arial"/>
            <family val="2"/>
          </rPr>
          <t>Estimación (US$ M): frascos 0.2 + latas 0.1 + botellas 0.0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<sst xmlns="http://schemas.openxmlformats.org/spreadsheetml/2006/main" count="421" uniqueCount="295">
  <si>
    <t>MATRIZ MPC (COMPETIDORES DE DESTAFLEX)</t>
  </si>
  <si>
    <t>ÁREAS DE VIGILANCIA</t>
  </si>
  <si>
    <t>PESO</t>
  </si>
  <si>
    <t>OXO – Helen of Troy
(COMPETIDOR PRINCIPAL)</t>
  </si>
  <si>
    <t>Whirlpool (KitchenAid)
(grande)</t>
  </si>
  <si>
    <t>Groupe SEB (Tefal, WMF, Imusa)
(grande)</t>
  </si>
  <si>
    <t>Newell Brands (Oster, Sunbeam)
(grande)</t>
  </si>
  <si>
    <t>Conair (Cuisinart)
(mediano)</t>
  </si>
  <si>
    <t>Spectrum Brands (BLACK+DECKER hogar)
(mediano)</t>
  </si>
  <si>
    <t>Hamilton Beach Brands
(mediano)</t>
  </si>
  <si>
    <t>Lifetime Brands (Farberware)
(mediano)</t>
  </si>
  <si>
    <t>Zwilling J.A. Henckels
(mediano)</t>
  </si>
  <si>
    <t>Fiskars Group
(mediano)</t>
  </si>
  <si>
    <t>Tramontina
(mediano)</t>
  </si>
  <si>
    <t>Kuhn Rikon
(pequeño)</t>
  </si>
  <si>
    <t>Zyliss (DKB Household)
(pequeño)</t>
  </si>
  <si>
    <t>Kitchen Mama
(pequeño)</t>
  </si>
  <si>
    <t>Etac
(pequeño)</t>
  </si>
  <si>
    <t>Ranking</t>
  </si>
  <si>
    <t>Valor ponderado</t>
  </si>
  <si>
    <t>Etiqueta gráfico</t>
  </si>
  <si>
    <t>Tecnología  (mecanismos de ajuste/pin de bola, materiales: cauchos, aleaciones, ABS/PC y moldeo por inyección)</t>
  </si>
  <si>
    <t>Tecnología</t>
  </si>
  <si>
    <t>Producto  (funcionalidad multiuso, ergonomía para artritis/baja movilidad y relación precio-valor)</t>
  </si>
  <si>
    <t>Producto</t>
  </si>
  <si>
    <t>Mercado  (ventas, presencia global, canales de distribución y fuerza de marca)</t>
  </si>
  <si>
    <t>Mercado</t>
  </si>
  <si>
    <t>Total</t>
  </si>
  <si>
    <t>ANÁLISIS POR FACTOR (15 empresas)</t>
  </si>
  <si>
    <t>Factor</t>
  </si>
  <si>
    <t>Peso</t>
  </si>
  <si>
    <t>Promedio</t>
  </si>
  <si>
    <t>Máximo</t>
  </si>
  <si>
    <t>Mínimo</t>
  </si>
  <si>
    <t>Rango</t>
  </si>
  <si>
    <t>Desv. estándar</t>
  </si>
  <si>
    <t>Empresas con 3</t>
  </si>
  <si>
    <t>RANKING COMPETITIVO (resumen de la matriz)</t>
  </si>
  <si>
    <t>Empresa</t>
  </si>
  <si>
    <t>Puesto</t>
  </si>
  <si>
    <t>País</t>
  </si>
  <si>
    <t>Tamaño</t>
  </si>
  <si>
    <t>Total ponderado</t>
  </si>
  <si>
    <t>OXO – Helen of Troy (COMPETIDOR PRINCIPAL)</t>
  </si>
  <si>
    <t>EE.UU.</t>
  </si>
  <si>
    <t>Mediano</t>
  </si>
  <si>
    <t>Whirlpool (KitchenAid) (grande)</t>
  </si>
  <si>
    <t>Grande</t>
  </si>
  <si>
    <t>Groupe SEB (Tefal, WMF, Imusa) (grande)</t>
  </si>
  <si>
    <t>Francia</t>
  </si>
  <si>
    <t>Newell Brands (Oster, Sunbeam) (grande)</t>
  </si>
  <si>
    <t>Conair (Cuisinart) (mediano)</t>
  </si>
  <si>
    <t>Spectrum Brands (BLACK+DECKER hogar) (mediano)</t>
  </si>
  <si>
    <t>Hamilton Beach Brands (mediano)</t>
  </si>
  <si>
    <t>Lifetime Brands (Farberware) (mediano)</t>
  </si>
  <si>
    <t>Zwilling J.A. Henckels (mediano)</t>
  </si>
  <si>
    <t>Alemania</t>
  </si>
  <si>
    <t>Fiskars Group (mediano)</t>
  </si>
  <si>
    <t>Finlandia</t>
  </si>
  <si>
    <t>Tramontina (mediano)</t>
  </si>
  <si>
    <t>Brasil</t>
  </si>
  <si>
    <t>Kuhn Rikon (pequeño)</t>
  </si>
  <si>
    <t>Suiza</t>
  </si>
  <si>
    <t>Pequeño</t>
  </si>
  <si>
    <t>Zyliss (DKB Household) (pequeño)</t>
  </si>
  <si>
    <t>Kitchen Mama (pequeño)</t>
  </si>
  <si>
    <t>EE.UU./China</t>
  </si>
  <si>
    <t>Etac (pequeño)</t>
  </si>
  <si>
    <t>Suecia</t>
  </si>
  <si>
    <t>PREGUNTAS</t>
  </si>
  <si>
    <t>¿En qué factores todas las empresas presentan valores similares?</t>
  </si>
  <si>
    <t>¿Qué factor presenta la mayor diferencia entre competidores?</t>
  </si>
  <si>
    <t>¿Qué atributo parece ser el más importante dentro del mercado?</t>
  </si>
  <si>
    <t>Si agregáramos nuestro producto, ¿qué curva esperaríamos obtener para diferenciarnos?</t>
  </si>
  <si>
    <t>Hoy Destaflex entraría con una curva baja (≈1,65), por debajo de Kitchen Mama, porque es un prototipo semi casero sin ventas. Para diferenciarse, la curva debe subir a 4 en Producto, justo donde los grandes (Whirlpool y Newell) caen a 2. Destaflex es un 3 en 1 (frascos, botellas y latas) con correa ajustable a distintos diámetros y mango para artritis. También debe subir a 3 en Tecnología (patentar el pin de bola como modelo de utilidad y pasar a moldeo por inyección) y a 2 en Mercado (e-commerce, ortopedias y geriátricos). Así llegaría a 3,05 y quedaría en el puesto 5 de 16 (empatado con Kuhn Rikon), por encima de BLACK+DECKER, Hamilton Beach, Whirlpool y Newell (ver 'Curva esperada'). No se gana en tamaño sino en producto, igualando al competidor principal (OXO) donde él es fuerte.</t>
  </si>
  <si>
    <t>MATRIZ BCG – DESTAFLEX Y SUS 15 COMPETIDORES (abridores de cocina, US$ millones)</t>
  </si>
  <si>
    <t>BCG</t>
  </si>
  <si>
    <t>Ventas Estimadas (US$ M)</t>
  </si>
  <si>
    <t>Cuota del Mercado</t>
  </si>
  <si>
    <t>Mejor Competidor (US$ M)</t>
  </si>
  <si>
    <t>Participación del Líder (%)</t>
  </si>
  <si>
    <t>Ventas del Sector Periodo Anterior (2025)</t>
  </si>
  <si>
    <t>Ventas del Sector Periodo Actual (2026)</t>
  </si>
  <si>
    <t>Tasa de Crecimiento del Mercado</t>
  </si>
  <si>
    <t>Participación Relativa de Mercado</t>
  </si>
  <si>
    <t>Cuadrante BCG</t>
  </si>
  <si>
    <t>EMPRESAS</t>
  </si>
  <si>
    <t>DESTAFLEX (punto de equilibrio)</t>
  </si>
  <si>
    <t>TOTAL (16 empresas)</t>
  </si>
  <si>
    <t>Participación relativa = ventas propias / ventas del mayor competidor (para el líder: frente al segundo). Cuadrante: crecimiento ≥10% = alto; participación relativa ≥1 = alta. El resto del mercado (≈86%) corresponde a marcas locales y genéricas: el mercado está muy fragmentado.</t>
  </si>
  <si>
    <t>LECTURA DE LA MATRIZ</t>
  </si>
  <si>
    <t>El mercado de abridores es maduro: crece ≈5% al año, por debajo del 10% que separa crecimiento alto y bajo. Por eso todas las empresas quedan en la mitad inferior. OXO es la única 'Vaca lechera' (líder, participación relativa &gt;1). El resto, incluido Destaflex, aparece como 'Perro'. Con las ventas de su punto de equilibrio, Destaflex tendría una participación relativa muy baja frente a OXO. La oportunidad está en los productos de cocina inclusivos, que crecen ≈7,4% al año (Dataintelo): allí Destaflex puede comportarse como 'Interrogante' si enfoca su marketing en personas con artritis y adultos mayores.</t>
  </si>
  <si>
    <t>Auxiliar gráfico: etiquetas de cuadrantes</t>
  </si>
  <si>
    <t>Etiqueta</t>
  </si>
  <si>
    <t>x (part. relativa)</t>
  </si>
  <si>
    <t>y (crecimiento)</t>
  </si>
  <si>
    <t>tamaño</t>
  </si>
  <si>
    <t>★ ESTRELLA</t>
  </si>
  <si>
    <t>? INTERROGANTE</t>
  </si>
  <si>
    <t>VACA LECHERA</t>
  </si>
  <si>
    <t>PERRO</t>
  </si>
  <si>
    <t>PUNTO DE EQUILIBRIO – DESTAFLEX</t>
  </si>
  <si>
    <t>1. Mano de obra (1 operario)</t>
  </si>
  <si>
    <t>Concepto</t>
  </si>
  <si>
    <t>Valor (COP)</t>
  </si>
  <si>
    <t>Nota / fuente</t>
  </si>
  <si>
    <t>Salario mínimo 2026 (SMMLV)</t>
  </si>
  <si>
    <t>Decreto de salario mínimo 2026 (Colombia)</t>
  </si>
  <si>
    <t>Auxilio de transporte 2026</t>
  </si>
  <si>
    <t>Factor prestacional y seguridad social</t>
  </si>
  <si>
    <t>Supuesto: ≈52% sobre el salario (salud, pensión, ARL, caja, cesantías, primas, vacaciones)</t>
  </si>
  <si>
    <t>Costo mensual del operario</t>
  </si>
  <si>
    <t>Salario × (1 + factor) + auxilio de transporte</t>
  </si>
  <si>
    <t>2. Costos fijos mensuales</t>
  </si>
  <si>
    <t>Valor (COP/mes)</t>
  </si>
  <si>
    <t>Nota</t>
  </si>
  <si>
    <t>Arriendo de taller pequeño</t>
  </si>
  <si>
    <t>Espacio semi casero</t>
  </si>
  <si>
    <t>Servicios públicos (energía, agua)</t>
  </si>
  <si>
    <t>Taladro, horno de curado, iluminación</t>
  </si>
  <si>
    <t>Mano de obra (1 operario)</t>
  </si>
  <si>
    <t>Ver sección 1</t>
  </si>
  <si>
    <t>Depreciación de herramientas y moldes</t>
  </si>
  <si>
    <t>Inversión $9,6 M (moldes de silicona/resina, troqueladora, taladro de banco, remachadora) a 36 meses</t>
  </si>
  <si>
    <t>Marketing digital y publicaciones en marketplaces</t>
  </si>
  <si>
    <t>Mercado Libre, Instagram, Facebook</t>
  </si>
  <si>
    <t>Internet y telefonía</t>
  </si>
  <si>
    <t>Otros gastos administrativos</t>
  </si>
  <si>
    <t>Papelería, transporte, imprevistos</t>
  </si>
  <si>
    <t>TOTAL COSTOS FIJOS MENSUALES (CF)</t>
  </si>
  <si>
    <t>3. Costo variable por unidad (según las piezas del producto)</t>
  </si>
  <si>
    <t>Pieza / concepto</t>
  </si>
  <si>
    <t>Valor (COP/unidad)</t>
  </si>
  <si>
    <t>① Correa de agarre (caucho EPDM/TPE perforado)</t>
  </si>
  <si>
    <t>Corte y perforado en taller</t>
  </si>
  <si>
    <t>② Cuerpo principal (plástico ABS de alta resistencia)</t>
  </si>
  <si>
    <t>≈120 g de ABS, molde artesanal</t>
  </si>
  <si>
    <t>③ Mango ergonómico (2 cubiertas de goma antideslizante)</t>
  </si>
  <si>
    <t>④ Pin de bloqueo (pasador de bola con anillo)</t>
  </si>
  <si>
    <t>Comprado a proveedor de herrajes</t>
  </si>
  <si>
    <t>⑤ Cuña metálica en L (acero inoxidable troquelado)</t>
  </si>
  <si>
    <t>Para abrir tapas de botella y guiar la correa</t>
  </si>
  <si>
    <t>⑥ Cuña abrelatas retráctil</t>
  </si>
  <si>
    <t>Tornillería y remaches</t>
  </si>
  <si>
    <t>Empaque y etiqueta</t>
  </si>
  <si>
    <t>Caja de cartón impresa</t>
  </si>
  <si>
    <t>Comisión de venta / pasarela de pago</t>
  </si>
  <si>
    <t>10% del precio de venta</t>
  </si>
  <si>
    <t>TOTAL COSTO VARIABLE UNITARIO (CVu)</t>
  </si>
  <si>
    <t>4. Precio de venta</t>
  </si>
  <si>
    <t>Precio de venta unitario (PVu)</t>
  </si>
  <si>
    <t>Referencia: OXO Good Grips Twisting Jar Opener se vende alrededor de US$ 12-15 en Amazon; Destaflex hace 3 funciones.</t>
  </si>
  <si>
    <t>Comisión de venta (% del precio)</t>
  </si>
  <si>
    <t>Marketplace / pasarela</t>
  </si>
  <si>
    <t>5. Resultado: punto de equilibrio</t>
  </si>
  <si>
    <t>Indicador</t>
  </si>
  <si>
    <t>Valor</t>
  </si>
  <si>
    <t>Fórmula</t>
  </si>
  <si>
    <t>Margen de contribución unitario (MCu)</t>
  </si>
  <si>
    <t>PVu − CVu</t>
  </si>
  <si>
    <t>Margen de contribución (%)</t>
  </si>
  <si>
    <t>MCu / PVu</t>
  </si>
  <si>
    <t>Punto de equilibrio (unidades/mes)</t>
  </si>
  <si>
    <t>CF / MCu (redondeado hacia arriba)</t>
  </si>
  <si>
    <t>Punto de equilibrio (unidades/año)</t>
  </si>
  <si>
    <t>unidades/mes × 12</t>
  </si>
  <si>
    <t>Punto de equilibrio en ventas (COP/mes)</t>
  </si>
  <si>
    <t>unidades × PVu</t>
  </si>
  <si>
    <t>Punto de equilibrio en ventas (COP/año)</t>
  </si>
  <si>
    <t>× 12 meses</t>
  </si>
  <si>
    <t>TRM (COP por US$)</t>
  </si>
  <si>
    <t>TRM oficial del 25-sep-2026</t>
  </si>
  <si>
    <t>Punto de equilibrio en ventas (US$/año)</t>
  </si>
  <si>
    <t>COP / TRM</t>
  </si>
  <si>
    <t>PE en ventas (US$ millones/año) → va a la matriz BCG</t>
  </si>
  <si>
    <t>Valor que reemplaza las 'ventas' de Destaflex en la matriz BCG</t>
  </si>
  <si>
    <t>Comprobación: utilidad en el PE (≈ 0)</t>
  </si>
  <si>
    <t>unidades × MCu − CF (positivo pequeño por el redondeo)</t>
  </si>
  <si>
    <t>6. Gráfico del punto de equilibrio (mensual)</t>
  </si>
  <si>
    <t>Unidades/mes</t>
  </si>
  <si>
    <t>Ingresos (COP)</t>
  </si>
  <si>
    <t>Costos totales (COP)</t>
  </si>
  <si>
    <t>FICHA DE LAS EMPRESAS (DESTAFLEX + 15 COMPETIDORES) Y FUENTES</t>
  </si>
  <si>
    <t>#</t>
  </si>
  <si>
    <t>Empresa (marca)</t>
  </si>
  <si>
    <t>Producto que compite con Destaflex</t>
  </si>
  <si>
    <t>Ventas último año (moneda original)</t>
  </si>
  <si>
    <t>Ventas (US$ M)</t>
  </si>
  <si>
    <t>Fuente</t>
  </si>
  <si>
    <t>DESTAFLEX (nuestra empresa)</t>
  </si>
  <si>
    <t>Colombia</t>
  </si>
  <si>
    <t>Emprendimiento</t>
  </si>
  <si>
    <t>Abridor ajustable 3 en 1 (frascos, botellas y latas) con correa perforada y pin de bola</t>
  </si>
  <si>
    <t>Sin ventas (producto nuevo); PE ≈ US$ 0,04 M/año</t>
  </si>
  <si>
    <t>n.d.</t>
  </si>
  <si>
    <t>Hoja 'Punto de Equilibrio'</t>
  </si>
  <si>
    <t>OXO Good Grips Twisting Jar Opener y abrelatas Smooth Edge (línea ergonómica nacida para personas con artritis)</t>
  </si>
  <si>
    <t>US$ 1.786 M (año fiscal 2026, Helen of Troy)</t>
  </si>
  <si>
    <t>https://investor.helenoftroy.com/press-releases/press-release-details/2026/Helen-of-Troy-Reports-Fourth-Quarter-Fiscal-2026-Results/default.aspx</t>
  </si>
  <si>
    <t>Utensilios KitchenAid: abrelatas y destapadores (fabricados bajo licencia)</t>
  </si>
  <si>
    <t>US$ 15.524 M (2025)</t>
  </si>
  <si>
    <t>https://whirlpool.mediaroom.com/2026-01-28-Whirlpool-Corporation-Announces-Fourth-Quarter-and-Full-Year-Results-Provides-2026-Guidance</t>
  </si>
  <si>
    <t>Abrelatas/destapadores Tefal y WMF; Imusa en Colombia</t>
  </si>
  <si>
    <t>€ 8.169 M (2025)</t>
  </si>
  <si>
    <t>https://www.groupeseb.com/en/news/2025-full-year-results</t>
  </si>
  <si>
    <t>Abrelatas eléctricos Oster y Sunbeam</t>
  </si>
  <si>
    <t>US$ 7.200 M (2025)</t>
  </si>
  <si>
    <t>https://www.newellbrands.com/our-stories/newell-brands-announces-fourth-quarter-and-full-year-2025-results</t>
  </si>
  <si>
    <t>Abrelatas eléctrico y descorchador eléctrico Cuisinart</t>
  </si>
  <si>
    <t>≈ US$ 2.110 M (última cifra pública, 2016; empresa privada)</t>
  </si>
  <si>
    <t>https://en.wikipedia.org/wiki/Conair_Corporation</t>
  </si>
  <si>
    <t>Abrelatas y abridores de frascos eléctricos BLACK+DECKER</t>
  </si>
  <si>
    <t>US$ 1.153,7 M (segmento Hogar y Cuidado Personal, año fiscal 2025)</t>
  </si>
  <si>
    <t>https://investor.spectrumbrands.com/news-releases/news-release-details/spectrum-brands-holdings-reports-fiscal-2025-fourth-quarter</t>
  </si>
  <si>
    <t>Abrelatas eléctricos Smooth Touch (sustituto eléctrico)</t>
  </si>
  <si>
    <t>US$ 606,9 M (2025)</t>
  </si>
  <si>
    <t>https://www.hamiltonbeachbrands.com/news/news-details/2026/HAMILTON-BEACH-BRANDS-HOLDING-COMPANY-ANNOUNCES-FOURTH-QUARTER-AND-FULL-YEAR-2025-RESULTS/default.aspx</t>
  </si>
  <si>
    <t>Abrelatas manuales y destapadores Farberware / KitchenAid</t>
  </si>
  <si>
    <t>US$ 647,9 M (2025)</t>
  </si>
  <si>
    <t>https://www.tradingview.com/news/tradingview:bdc4bdb7694ed:0-lifetime-brands-2025-10-k-647-9m-revenue-26-9-m-net-loss/</t>
  </si>
  <si>
    <t>Destapadores y abrelatas de acero Zwilling / Henckels</t>
  </si>
  <si>
    <t>€ 969 M (2025)</t>
  </si>
  <si>
    <t>https://www.solinger-tageblatt.de/lokales/solingen/zwilling-solingen-umsatz-steigt-auf-969-millionen-lager-wird-geschlossen-2IFKX3EXDZFWHAJN7ON52C6WTU.html</t>
  </si>
  <si>
    <t>Utensilios de cocina ergonómicos Fiskars Functional Form</t>
  </si>
  <si>
    <t>€ 1.140,2 M (2025)</t>
  </si>
  <si>
    <t>https://fiskarsgroup.com/news/stock-exchange-release/fiskars-corporations-financial-statement-release-2025-focus-on-cash-flow-yielded-results-comparable-ebit-declined-impacted-by-inventory-actions/</t>
  </si>
  <si>
    <t>Abridores y abrelatas Tramontina Utilitá (fuerte en Latinoamérica)</t>
  </si>
  <si>
    <t>R$ 9.600 M (2024); presencia en más de 120 países</t>
  </si>
  <si>
    <t>https://investnews.com.br/negocios/orgulho-gaucho-tramontina-internacionaliza-a-producao-sem-abrir-mao-do-comando-familiar/</t>
  </si>
  <si>
    <t>Auto Safety Master Opener (abre latas, frascos y botellas)</t>
  </si>
  <si>
    <t>No publica ventas (privada, ≈240 empleados)</t>
  </si>
  <si>
    <t>https://www.tischgespraech.de/kuhn-rikon-stabiles-wachstum-durch-cleveres-marketing</t>
  </si>
  <si>
    <t>Abrelatas Lock N' Lift</t>
  </si>
  <si>
    <t>No publica ventas (DKB Household ≈160 empleados, más de 50 países)</t>
  </si>
  <si>
    <t>https://www.diethelmkeller.com/en/operating-units/brands/</t>
  </si>
  <si>
    <t>Abrelatas eléctrico automático (best-seller en Amazon)</t>
  </si>
  <si>
    <t>No publica ventas (marca nativa de Amazon)</t>
  </si>
  <si>
    <t>https://shopkitchenmama.com/</t>
  </si>
  <si>
    <t>Ayudas de cocina para artritis: cubiertos Etac Light y cuchillos Relieve (compite de forma indirecta)</t>
  </si>
  <si>
    <t>No publica ventas actuales (privada, de Nordstjernan); ≈ SEK 1.300 M en 2011 tras comprar R82. En utensilios de cocina es pequeña</t>
  </si>
  <si>
    <t>https://news.cision.com/nordstjernan/r/etac-makes-significant-acquisition,c9195136</t>
  </si>
  <si>
    <t>Tipos de cambio usados</t>
  </si>
  <si>
    <t>US$ por euro (promedio 2025, aprox.)</t>
  </si>
  <si>
    <t>Reales por US$ (promedio 2024, aprox.)</t>
  </si>
  <si>
    <t>TRM COP por US$ (25-sep-2026)</t>
  </si>
  <si>
    <t>Tamaño de mercado (US$ millones)</t>
  </si>
  <si>
    <t>2025</t>
  </si>
  <si>
    <t>TCAC</t>
  </si>
  <si>
    <t>Abridores de frascos</t>
  </si>
  <si>
    <t>https://www.verifiedmarketreports.com/product/jar-opener-market/</t>
  </si>
  <si>
    <t>Abridores de latas y frascos</t>
  </si>
  <si>
    <t>https://www.verifiedmarketreports.com/product/can-and-jar-openers-market/</t>
  </si>
  <si>
    <t>Destapadores manuales de botellas</t>
  </si>
  <si>
    <t>https://www.gminsights.com/industry-analysis/manual-bottle-opener-market</t>
  </si>
  <si>
    <t>Productos de cocina inclusivos</t>
  </si>
  <si>
    <t>https://dataintelo.com/report/inclusive-kitchen-products-market</t>
  </si>
  <si>
    <t>Abrelatas (referencia alterna: US$ 2.300 M en 2026)</t>
  </si>
  <si>
    <t>—</t>
  </si>
  <si>
    <t>https://www.persistencemarketresearch.com/market-research/can-opener-market.asp</t>
  </si>
  <si>
    <t>En tecnología. 3 es calificado por 11 de los 15 competidores y es el factor con menor desviación estándar (≈0,53; ver 'Análisis por factor'). Los mecanismos para abrir (rueda de corte, palanca, corte lateral “smooth edge”, base antideslizante) son tecnologías maduras: casi todos utilizan plásticos ABS/PP, acero inoxidable y producción tercerizada. Las únicas que destacan en ingeniería y metalurgia propias son Groupe SEB y Zwilling (4), mientras que Lifetime y Kitchen Mama se quedan en 2. El producto también es similar: 9 de cada 15 dan una puntuación de 3, ya que casi todos ofrecen abridores que funcionan a precios similares.</t>
  </si>
  <si>
    <t>Mercado Es el factor más disperso (desv. ≈0,85): los puntajes se reparten de forma equitativa entre 4, 3 y 2 (cinco empresas en cada una). La diferencia de ventas es enorme: En 2025, las ventas de Whirlpool fueron de US$ 15.524 millones, Groupe SEB facturó € 8.169 millones y Newell Brands US$ 7.200 millones, mientras que Hamilton Beach tuvo ingresos de US$ 606,9 millones y Lifetime Brands US$ 647,9 millones. Kuhn Rikon emplea a unas 240 personas y Etac y Kitchen Mama se venden sobre todo por canales especializados o por Amazon. Las ventas de Whirlpool son 25 veces mayores que las de Hamilton Beach.</t>
  </si>
  <si>
    <t>Artículo. De ahí que tenga el mayor peso (0,40). El mercado de abridores está muy fragmentado: el líder en abridores de botella, OXO, apenas representa ≈1,5% y los 5 mayores juntos suman ≈5,3% (GMI, 2025). No es el tamaño de la empresa lo que el cliente valora, sino la funcionalidad y la ergonomía. Por ello OXO, cuya línea Good Grips nació para personas con artritis, es el mejor evaluado (3,75), y Kuhn Rikon, siendo pequeña, consigue un 4 en Producto. También los productos de cocina inclusivos crecen ≈7,4% anual, más que los abridores (≈5%), y ahí compiten especialistas como la sueca Etac.</t>
  </si>
  <si>
    <t>1. Estrategia de Protección (Propiedad Intelectual)</t>
  </si>
  <si>
    <t>Elemento a proteger</t>
  </si>
  <si>
    <t>Tipo de protección</t>
  </si>
  <si>
    <t>Justificación</t>
  </si>
  <si>
    <t>Entidad de registro</t>
  </si>
  <si>
    <t>Mecanismo de ajuste: correa perforada (1) que se fija con el pin de bola de botón rápido (4) en el cuerpo principal (2)</t>
  </si>
  <si>
    <t>Modelo de utilidad (propiedad industrial, 10 años)</t>
  </si>
  <si>
    <t>Es una mejora funcional de una herramienta conocida. En la vigilancia se encontró un abridor de correa (BR PI0804320-5), pero su correa no se fija con un pin. Una patente de invención exige un nivel inventivo alto, difícil de sustentar con esos antecedentes; el modelo de utilidad solo pide novedad y aplicación industrial.</t>
  </si>
  <si>
    <t>Superintendencia de Industria y Comercio (SIC)</t>
  </si>
  <si>
    <t>Integración 3 en 1: correa + cuña metálica en L para tapas de cerveza (5) + cuña abrelatas retráctil (6) en un solo cuerpo</t>
  </si>
  <si>
    <t>Apariencia del producto: forma del cuerpo, mango ergonómico con fundas de goma (3) y aspecto general</t>
  </si>
  <si>
    <t>Nombre "DestapFlex" y logo</t>
  </si>
  <si>
    <t>Manual de uso, ilustración del explosionado, fotos, arte del empaque y textos de venta</t>
  </si>
  <si>
    <t>Información interna: costos, proveedores, proceso semi casero y moldes</t>
  </si>
  <si>
    <t>Diseño industrial (10 años)</t>
  </si>
  <si>
    <t>Marca (10 años, renovables), clases 8 y 21 de Niza (utensilios manuales y abridores)</t>
  </si>
  <si>
    <t>Derechos de autor (vida del autor + 80 años)</t>
  </si>
  <si>
    <t>Secreto empresarial (no se registra)</t>
  </si>
  <si>
    <t>Se incluye en el mismo modelo de utilidad, como reivindicaciones adicionales</t>
  </si>
  <si>
    <t>La patente china CN 210103421 U también combina varias funciones, pero su pieza para desenroscar tiene un solo diámetro. Lo nuevo de DestapFlex es que se adapta a tapas de distintos tamaños y además trae las cuñas.</t>
  </si>
  <si>
    <t>Protege lo que el cliente ve y reconoce en el estante, y evita copias de apariencia, aunque cambien el mecanismo.</t>
  </si>
  <si>
    <t>Es lo que diferencia al producto en el mercado y en plataformas como Amazon o Mercado Libre. Antes de registrarla se debe verificar que no exista una marca parecida.</t>
  </si>
  <si>
    <t>La protección nace con la obra. El registro es voluntario y sirve como prueba de autoría.</t>
  </si>
  <si>
    <t>No conviene publicarla. Se protege con acuerdos de confidencialidad entre los socios y con quienes fabriquen.</t>
  </si>
  <si>
    <t>SIC</t>
  </si>
  <si>
    <t>Dirección Nacional de Derecho de Autor (DNDA)</t>
  </si>
  <si>
    <t>No aplica (contratos de confidencialidad)</t>
  </si>
  <si>
    <r>
      <t xml:space="preserve">Lo que no se puede proteger por separado: </t>
    </r>
    <r>
      <rPr>
        <sz val="12"/>
        <color theme="1"/>
        <rFont val="Times New Roman"/>
        <family val="1"/>
      </rPr>
      <t>La idea de abrir frascos con una correa, la correa de caucho sola o el pin de bola comercial, porque ya existen en patentes anteriores o son piezas de catálogo.</t>
    </r>
  </si>
  <si>
    <t>Conclusiones del equipo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</si>
  <si>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La protección más fuerte y realista es un modelo de utilidad sobre el mecanismo de correa perforada + pin de bola, junto con la integración de las dos cuñas. Las patentes revisadas muestran que los componentes sueltos ya existen, pero no esta combinación.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</si>
  <si>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 complementa con diseño industrial y marca, que son más económicos y rápidos, y protegen la imagen del producto mientras avanza el trámite del modelo de utilidad.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</si>
  <si>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No se debe mostrar el producto públicamente (redes, ferias, ventas) antes de radicar la solicitud, para no perder la novedad.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</si>
  <si>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Primero se protege en Colombia ante la SIC; si el producto funciona, se puede extender a otros países dentro de los 12 meses de prioridad.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</si>
</sst>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%"/>
    <numFmt numFmtId="166" formatCode="0.0"/>
    <numFmt numFmtId="167" formatCode="#,##0.0"/>
    <numFmt numFmtId="168" formatCode="0.0%"/>
    <numFmt numFmtId="169" formatCode="&quot;$ &quot;#,##0"/>
  </numFmts>
  <fonts count="3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8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3"/>
      <color rgb="FFFFFFFF"/>
      <name val="Times New Roman"/>
      <family val="1"/>
    </font>
    <font>
      <i/>
      <sz val="9"/>
      <color rgb="FF404040"/>
      <name val="Times New Roman"/>
      <family val="1"/>
    </font>
    <font>
      <sz val="10"/>
      <color rgb="FF000000"/>
      <name val="Times New Roman"/>
      <family val="1"/>
    </font>
    <font>
      <b/>
      <sz val="10"/>
      <color rgb="FFFFFFFF"/>
      <name val="Times New Roman"/>
      <family val="1"/>
    </font>
    <font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b/>
      <sz val="2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i/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2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charset val="1"/>
    </font>
    <font>
      <b/>
      <i/>
      <sz val="9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7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70AD47"/>
        <bgColor rgb="FF878787"/>
      </patternFill>
    </fill>
    <fill>
      <patternFill patternType="solid">
        <fgColor rgb="FF4472C4"/>
        <bgColor rgb="FF5B9BD5"/>
      </patternFill>
    </fill>
    <fill>
      <patternFill patternType="solid">
        <fgColor rgb="FFFFC000"/>
        <bgColor rgb="FFFF9900"/>
      </patternFill>
    </fill>
    <fill>
      <patternFill patternType="solid">
        <fgColor rgb="FF7F7F7F"/>
        <bgColor rgb="FF808080"/>
      </patternFill>
    </fill>
    <fill>
      <patternFill patternType="solid">
        <fgColor rgb="FF5B9BD5"/>
        <bgColor rgb="FF4472C4"/>
      </patternFill>
    </fill>
    <fill>
      <patternFill patternType="solid">
        <fgColor rgb="FFED7D31"/>
        <bgColor rgb="FFFF9900"/>
      </patternFill>
    </fill>
    <fill>
      <patternFill patternType="solid">
        <fgColor rgb="FFA5A5A5"/>
        <bgColor rgb="FF878787"/>
      </patternFill>
    </fill>
    <fill>
      <patternFill patternType="solid">
        <fgColor rgb="FF9E480E"/>
        <bgColor rgb="FFC65911"/>
      </patternFill>
    </fill>
    <fill>
      <patternFill patternType="solid">
        <fgColor rgb="FF264478"/>
        <bgColor rgb="FF404040"/>
      </patternFill>
    </fill>
    <fill>
      <patternFill patternType="solid">
        <fgColor rgb="FF997300"/>
        <bgColor rgb="FFC65911"/>
      </patternFill>
    </fill>
    <fill>
      <patternFill patternType="solid">
        <fgColor rgb="FF43682B"/>
        <bgColor rgb="FF404040"/>
      </patternFill>
    </fill>
    <fill>
      <patternFill patternType="solid">
        <fgColor rgb="FFFF66CC"/>
        <bgColor rgb="FFFF99CC"/>
      </patternFill>
    </fill>
    <fill>
      <patternFill patternType="solid">
        <fgColor rgb="FF00B0F0"/>
        <bgColor rgb="FF008080"/>
      </patternFill>
    </fill>
    <fill>
      <patternFill patternType="solid">
        <fgColor rgb="FF7030A0"/>
        <bgColor rgb="FF800080"/>
      </patternFill>
    </fill>
    <fill>
      <patternFill patternType="solid">
        <fgColor rgb="FF008080"/>
        <bgColor rgb="FF008080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E480E"/>
      </patternFill>
    </fill>
    <fill>
      <patternFill patternType="solid">
        <fgColor theme="0"/>
        <bgColor rgb="FFA5A5A5"/>
      </patternFill>
    </fill>
    <fill>
      <patternFill patternType="solid">
        <fgColor theme="9" tint="0.39997558519241921"/>
        <bgColor rgb="FFFFFF00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2" fontId="9" fillId="4" borderId="3" xfId="0" applyNumberFormat="1" applyFont="1" applyFill="1" applyBorder="1" applyAlignment="1">
      <alignment horizontal="center" vertical="center" wrapText="1"/>
    </xf>
    <xf numFmtId="2" fontId="10" fillId="5" borderId="3" xfId="0" applyNumberFormat="1" applyFont="1" applyFill="1" applyBorder="1" applyAlignment="1">
      <alignment horizontal="center" vertical="center" wrapText="1"/>
    </xf>
    <xf numFmtId="2" fontId="9" fillId="6" borderId="3" xfId="0" applyNumberFormat="1" applyFont="1" applyFill="1" applyBorder="1" applyAlignment="1">
      <alignment horizontal="center" vertical="center" wrapText="1"/>
    </xf>
    <xf numFmtId="2" fontId="10" fillId="7" borderId="3" xfId="0" applyNumberFormat="1" applyFont="1" applyFill="1" applyBorder="1" applyAlignment="1">
      <alignment horizontal="center" vertical="center" wrapText="1"/>
    </xf>
    <xf numFmtId="2" fontId="9" fillId="8" borderId="3" xfId="0" applyNumberFormat="1" applyFont="1" applyFill="1" applyBorder="1" applyAlignment="1">
      <alignment horizontal="center" vertical="center" wrapText="1"/>
    </xf>
    <xf numFmtId="2" fontId="9" fillId="9" borderId="3" xfId="0" applyNumberFormat="1" applyFont="1" applyFill="1" applyBorder="1" applyAlignment="1">
      <alignment horizontal="center" vertical="center" wrapText="1"/>
    </xf>
    <xf numFmtId="2" fontId="9" fillId="10" borderId="3" xfId="0" applyNumberFormat="1" applyFont="1" applyFill="1" applyBorder="1" applyAlignment="1">
      <alignment horizontal="center" vertical="center" wrapText="1"/>
    </xf>
    <xf numFmtId="2" fontId="10" fillId="11" borderId="3" xfId="0" applyNumberFormat="1" applyFont="1" applyFill="1" applyBorder="1" applyAlignment="1">
      <alignment horizontal="center" vertical="center" wrapText="1"/>
    </xf>
    <xf numFmtId="2" fontId="10" fillId="12" borderId="3" xfId="0" applyNumberFormat="1" applyFont="1" applyFill="1" applyBorder="1" applyAlignment="1">
      <alignment horizontal="center" vertical="center" wrapText="1"/>
    </xf>
    <xf numFmtId="2" fontId="10" fillId="13" borderId="3" xfId="0" applyNumberFormat="1" applyFont="1" applyFill="1" applyBorder="1" applyAlignment="1">
      <alignment horizontal="center" vertical="center" wrapText="1"/>
    </xf>
    <xf numFmtId="2" fontId="10" fillId="14" borderId="3" xfId="0" applyNumberFormat="1" applyFont="1" applyFill="1" applyBorder="1" applyAlignment="1">
      <alignment horizontal="center" vertical="center" wrapText="1"/>
    </xf>
    <xf numFmtId="2" fontId="9" fillId="15" borderId="3" xfId="0" applyNumberFormat="1" applyFont="1" applyFill="1" applyBorder="1" applyAlignment="1">
      <alignment horizontal="center" vertical="center" wrapText="1"/>
    </xf>
    <xf numFmtId="2" fontId="10" fillId="16" borderId="3" xfId="0" applyNumberFormat="1" applyFont="1" applyFill="1" applyBorder="1" applyAlignment="1">
      <alignment horizontal="center" vertical="center" wrapText="1"/>
    </xf>
    <xf numFmtId="2" fontId="10" fillId="17" borderId="3" xfId="0" applyNumberFormat="1" applyFont="1" applyFill="1" applyBorder="1" applyAlignment="1">
      <alignment horizontal="center" vertical="center" wrapText="1"/>
    </xf>
    <xf numFmtId="2" fontId="10" fillId="18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2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2" fontId="13" fillId="5" borderId="2" xfId="0" applyNumberFormat="1" applyFont="1" applyFill="1" applyBorder="1" applyAlignment="1">
      <alignment horizontal="center" vertical="center" wrapText="1"/>
    </xf>
    <xf numFmtId="2" fontId="4" fillId="6" borderId="2" xfId="0" applyNumberFormat="1" applyFont="1" applyFill="1" applyBorder="1" applyAlignment="1">
      <alignment horizontal="center" vertical="center" wrapText="1"/>
    </xf>
    <xf numFmtId="2" fontId="13" fillId="7" borderId="2" xfId="0" applyNumberFormat="1" applyFont="1" applyFill="1" applyBorder="1" applyAlignment="1">
      <alignment horizontal="center" vertical="center" wrapText="1"/>
    </xf>
    <xf numFmtId="2" fontId="4" fillId="8" borderId="2" xfId="0" applyNumberFormat="1" applyFont="1" applyFill="1" applyBorder="1" applyAlignment="1">
      <alignment horizontal="center" vertical="center" wrapText="1"/>
    </xf>
    <xf numFmtId="2" fontId="4" fillId="9" borderId="2" xfId="0" applyNumberFormat="1" applyFont="1" applyFill="1" applyBorder="1" applyAlignment="1">
      <alignment horizontal="center" vertical="center" wrapText="1"/>
    </xf>
    <xf numFmtId="2" fontId="4" fillId="10" borderId="2" xfId="0" applyNumberFormat="1" applyFont="1" applyFill="1" applyBorder="1" applyAlignment="1">
      <alignment horizontal="center" vertical="center" wrapText="1"/>
    </xf>
    <xf numFmtId="2" fontId="13" fillId="11" borderId="2" xfId="0" applyNumberFormat="1" applyFont="1" applyFill="1" applyBorder="1" applyAlignment="1">
      <alignment horizontal="center" vertical="center" wrapText="1"/>
    </xf>
    <xf numFmtId="2" fontId="13" fillId="12" borderId="2" xfId="0" applyNumberFormat="1" applyFont="1" applyFill="1" applyBorder="1" applyAlignment="1">
      <alignment horizontal="center" vertical="center" wrapText="1"/>
    </xf>
    <xf numFmtId="2" fontId="13" fillId="13" borderId="2" xfId="0" applyNumberFormat="1" applyFont="1" applyFill="1" applyBorder="1" applyAlignment="1">
      <alignment horizontal="center" vertical="center" wrapText="1"/>
    </xf>
    <xf numFmtId="2" fontId="13" fillId="14" borderId="2" xfId="0" applyNumberFormat="1" applyFont="1" applyFill="1" applyBorder="1" applyAlignment="1">
      <alignment horizontal="center" vertical="center" wrapText="1"/>
    </xf>
    <xf numFmtId="2" fontId="4" fillId="15" borderId="2" xfId="0" applyNumberFormat="1" applyFont="1" applyFill="1" applyBorder="1" applyAlignment="1">
      <alignment horizontal="center" vertical="center" wrapText="1"/>
    </xf>
    <xf numFmtId="2" fontId="13" fillId="16" borderId="2" xfId="0" applyNumberFormat="1" applyFont="1" applyFill="1" applyBorder="1" applyAlignment="1">
      <alignment horizontal="center" vertical="center" wrapText="1"/>
    </xf>
    <xf numFmtId="2" fontId="13" fillId="17" borderId="2" xfId="0" applyNumberFormat="1" applyFont="1" applyFill="1" applyBorder="1" applyAlignment="1">
      <alignment horizontal="center" vertical="center" wrapText="1"/>
    </xf>
    <xf numFmtId="2" fontId="13" fillId="18" borderId="2" xfId="0" applyNumberFormat="1" applyFont="1" applyFill="1" applyBorder="1" applyAlignment="1">
      <alignment horizontal="center" vertical="center" wrapText="1"/>
    </xf>
    <xf numFmtId="2" fontId="17" fillId="21" borderId="2" xfId="0" applyNumberFormat="1" applyFont="1" applyFill="1" applyBorder="1" applyAlignment="1">
      <alignment horizontal="center" vertical="center" wrapText="1"/>
    </xf>
    <xf numFmtId="0" fontId="18" fillId="21" borderId="2" xfId="0" applyFont="1" applyFill="1" applyBorder="1" applyAlignment="1">
      <alignment horizontal="center" vertical="center" wrapText="1"/>
    </xf>
    <xf numFmtId="0" fontId="4" fillId="23" borderId="0" xfId="0" applyFont="1" applyFill="1" applyAlignment="1">
      <alignment horizontal="center" vertical="center" wrapText="1"/>
    </xf>
    <xf numFmtId="0" fontId="4" fillId="21" borderId="0" xfId="0" applyFont="1" applyFill="1" applyAlignment="1">
      <alignment horizontal="left" vertical="center" wrapText="1"/>
    </xf>
    <xf numFmtId="0" fontId="3" fillId="21" borderId="0" xfId="0" applyFont="1" applyFill="1" applyAlignment="1">
      <alignment horizontal="left" vertical="center" wrapText="1"/>
    </xf>
    <xf numFmtId="0" fontId="14" fillId="21" borderId="0" xfId="0" applyFont="1" applyFill="1" applyAlignment="1">
      <alignment horizontal="center" vertical="center" wrapText="1"/>
    </xf>
    <xf numFmtId="2" fontId="15" fillId="24" borderId="0" xfId="0" applyNumberFormat="1" applyFont="1" applyFill="1" applyAlignment="1">
      <alignment horizontal="center" vertical="center" wrapText="1"/>
    </xf>
    <xf numFmtId="2" fontId="3" fillId="25" borderId="0" xfId="0" applyNumberFormat="1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0" fillId="21" borderId="0" xfId="0" applyFill="1"/>
    <xf numFmtId="0" fontId="21" fillId="2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3" fillId="19" borderId="2" xfId="0" applyFont="1" applyFill="1" applyBorder="1" applyAlignment="1">
      <alignment horizontal="left" vertical="center" wrapText="1"/>
    </xf>
    <xf numFmtId="164" fontId="23" fillId="19" borderId="2" xfId="0" applyNumberFormat="1" applyFont="1" applyFill="1" applyBorder="1" applyAlignment="1">
      <alignment horizontal="center" vertical="center" wrapText="1"/>
    </xf>
    <xf numFmtId="166" fontId="23" fillId="0" borderId="2" xfId="0" applyNumberFormat="1" applyFont="1" applyBorder="1" applyAlignment="1">
      <alignment horizontal="center" vertical="center" wrapText="1"/>
    </xf>
    <xf numFmtId="10" fontId="23" fillId="0" borderId="2" xfId="0" applyNumberFormat="1" applyFont="1" applyBorder="1" applyAlignment="1">
      <alignment horizontal="center" vertical="center" wrapText="1"/>
    </xf>
    <xf numFmtId="168" fontId="24" fillId="0" borderId="2" xfId="0" applyNumberFormat="1" applyFont="1" applyBorder="1" applyAlignment="1">
      <alignment horizontal="center" vertical="center" wrapText="1"/>
    </xf>
    <xf numFmtId="164" fontId="23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166" fontId="23" fillId="0" borderId="3" xfId="0" applyNumberFormat="1" applyFont="1" applyBorder="1" applyAlignment="1">
      <alignment horizontal="center" vertical="center" wrapText="1"/>
    </xf>
    <xf numFmtId="10" fontId="23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7" fillId="0" borderId="5" xfId="0" applyFont="1" applyBorder="1"/>
    <xf numFmtId="0" fontId="0" fillId="0" borderId="6" xfId="0" applyBorder="1"/>
    <xf numFmtId="0" fontId="0" fillId="0" borderId="7" xfId="0" applyBorder="1"/>
    <xf numFmtId="0" fontId="27" fillId="0" borderId="8" xfId="0" applyFont="1" applyBorder="1"/>
    <xf numFmtId="0" fontId="27" fillId="0" borderId="0" xfId="0" applyFont="1"/>
    <xf numFmtId="0" fontId="27" fillId="0" borderId="9" xfId="0" applyFont="1" applyBorder="1"/>
    <xf numFmtId="0" fontId="28" fillId="0" borderId="8" xfId="0" applyFont="1" applyBorder="1"/>
    <xf numFmtId="0" fontId="28" fillId="0" borderId="0" xfId="0" applyFont="1"/>
    <xf numFmtId="0" fontId="28" fillId="0" borderId="9" xfId="0" applyFont="1" applyBorder="1"/>
    <xf numFmtId="0" fontId="28" fillId="0" borderId="10" xfId="0" applyFont="1" applyBorder="1"/>
    <xf numFmtId="0" fontId="28" fillId="0" borderId="11" xfId="0" applyFont="1" applyBorder="1"/>
    <xf numFmtId="0" fontId="28" fillId="0" borderId="12" xfId="0" applyFont="1" applyBorder="1"/>
    <xf numFmtId="0" fontId="18" fillId="0" borderId="0" xfId="0" applyFont="1"/>
    <xf numFmtId="0" fontId="22" fillId="0" borderId="2" xfId="0" applyFont="1" applyBorder="1" applyAlignment="1">
      <alignment horizontal="left" vertical="center" wrapText="1"/>
    </xf>
    <xf numFmtId="0" fontId="23" fillId="2" borderId="2" xfId="0" applyFont="1" applyFill="1" applyBorder="1" applyAlignment="1">
      <alignment horizontal="center" vertical="center" wrapText="1"/>
    </xf>
    <xf numFmtId="169" fontId="24" fillId="0" borderId="2" xfId="0" applyNumberFormat="1" applyFont="1" applyBorder="1" applyAlignment="1">
      <alignment horizontal="center" vertical="center" wrapText="1"/>
    </xf>
    <xf numFmtId="9" fontId="24" fillId="0" borderId="2" xfId="0" applyNumberFormat="1" applyFont="1" applyBorder="1" applyAlignment="1">
      <alignment horizontal="center" vertical="center" wrapText="1"/>
    </xf>
    <xf numFmtId="169" fontId="23" fillId="0" borderId="2" xfId="0" applyNumberFormat="1" applyFont="1" applyBorder="1" applyAlignment="1">
      <alignment horizontal="center" vertical="center" wrapText="1"/>
    </xf>
    <xf numFmtId="169" fontId="23" fillId="19" borderId="2" xfId="0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3" fillId="20" borderId="2" xfId="0" applyFont="1" applyFill="1" applyBorder="1" applyAlignment="1">
      <alignment horizontal="left" vertical="center" wrapText="1"/>
    </xf>
    <xf numFmtId="3" fontId="23" fillId="20" borderId="2" xfId="0" applyNumberFormat="1" applyFont="1" applyFill="1" applyBorder="1" applyAlignment="1">
      <alignment horizontal="center" vertical="center" wrapText="1"/>
    </xf>
    <xf numFmtId="3" fontId="24" fillId="0" borderId="2" xfId="0" applyNumberFormat="1" applyFont="1" applyBorder="1" applyAlignment="1">
      <alignment horizontal="center" vertical="center" wrapText="1"/>
    </xf>
    <xf numFmtId="169" fontId="23" fillId="20" borderId="2" xfId="0" applyNumberFormat="1" applyFont="1" applyFill="1" applyBorder="1" applyAlignment="1">
      <alignment horizontal="center" vertical="center" wrapText="1"/>
    </xf>
    <xf numFmtId="4" fontId="24" fillId="0" borderId="2" xfId="0" applyNumberFormat="1" applyFont="1" applyBorder="1" applyAlignment="1">
      <alignment horizontal="center" vertical="center" wrapText="1"/>
    </xf>
    <xf numFmtId="164" fontId="23" fillId="20" borderId="2" xfId="0" applyNumberFormat="1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31" fillId="0" borderId="0" xfId="0" applyFont="1"/>
    <xf numFmtId="0" fontId="27" fillId="0" borderId="2" xfId="0" applyFont="1" applyBorder="1" applyAlignment="1">
      <alignment horizontal="left" vertical="center" wrapText="1"/>
    </xf>
    <xf numFmtId="3" fontId="23" fillId="0" borderId="2" xfId="0" applyNumberFormat="1" applyFont="1" applyBorder="1" applyAlignment="1">
      <alignment horizontal="center" vertical="center" wrapText="1"/>
    </xf>
    <xf numFmtId="2" fontId="23" fillId="0" borderId="2" xfId="0" applyNumberFormat="1" applyFont="1" applyBorder="1" applyAlignment="1">
      <alignment horizontal="center" vertical="center" wrapText="1"/>
    </xf>
    <xf numFmtId="4" fontId="23" fillId="0" borderId="2" xfId="0" applyNumberFormat="1" applyFont="1" applyBorder="1" applyAlignment="1">
      <alignment horizontal="center" vertical="center" wrapText="1"/>
    </xf>
    <xf numFmtId="168" fontId="23" fillId="0" borderId="2" xfId="0" applyNumberFormat="1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 wrapText="1"/>
    </xf>
    <xf numFmtId="167" fontId="23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 wrapText="1"/>
    </xf>
    <xf numFmtId="0" fontId="8" fillId="2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4" fillId="26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5" fillId="3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top" wrapText="1"/>
    </xf>
    <xf numFmtId="0" fontId="29" fillId="0" borderId="0" xfId="0" applyFont="1" applyAlignment="1">
      <alignment horizontal="center" vertical="center" wrapText="1"/>
    </xf>
    <xf numFmtId="0" fontId="27" fillId="0" borderId="2" xfId="0" applyFont="1" applyBorder="1" applyAlignment="1">
      <alignment horizontal="left" vertical="center" wrapText="1"/>
    </xf>
    <xf numFmtId="0" fontId="32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3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7300"/>
      <rgbColor rgb="FF800080"/>
      <rgbColor rgb="FF008080"/>
      <rgbColor rgb="FFA9D08E"/>
      <rgbColor rgb="FF808080"/>
      <rgbColor rgb="FFA5A5A5"/>
      <rgbColor rgb="FF7030A0"/>
      <rgbColor rgb="FFFCE4D6"/>
      <rgbColor rgb="FFCCFFFF"/>
      <rgbColor rgb="FF660066"/>
      <rgbColor rgb="FFFF66CC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5B9BD5"/>
      <rgbColor rgb="FF70AD47"/>
      <rgbColor rgb="FFFFC000"/>
      <rgbColor rgb="FFFF9900"/>
      <rgbColor rgb="FFED7D31"/>
      <rgbColor rgb="FF7F7F7F"/>
      <rgbColor rgb="FF878787"/>
      <rgbColor rgb="FF003366"/>
      <rgbColor rgb="FF00B050"/>
      <rgbColor rgb="FF003300"/>
      <rgbColor rgb="FF43682B"/>
      <rgbColor rgb="FF9E480E"/>
      <rgbColor rgb="FFC65911"/>
      <rgbColor rgb="FF2644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Curva de valor  (Tecnología, Producto, Mercado)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OXO</c:v>
          </c:tx>
          <c:spPr>
            <a:ln w="45000">
              <a:solidFill>
                <a:srgbClr val="70AD47"/>
              </a:solidFill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MPC!$D$5:$D$7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9-4444-ACD0-BD2A42D3032B}"/>
            </c:ext>
          </c:extLst>
        </c:ser>
        <c:ser>
          <c:idx val="1"/>
          <c:order val="1"/>
          <c:tx>
            <c:v>Whirlpool</c:v>
          </c:tx>
          <c:spPr>
            <a:ln w="1512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MPC!$F$5:$F$7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B9-4444-ACD0-BD2A42D3032B}"/>
            </c:ext>
          </c:extLst>
        </c:ser>
        <c:ser>
          <c:idx val="2"/>
          <c:order val="2"/>
          <c:tx>
            <c:v>Groupe SEB</c:v>
          </c:tx>
          <c:spPr>
            <a:ln w="15120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MPC!$H$5:$H$7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B9-4444-ACD0-BD2A42D3032B}"/>
            </c:ext>
          </c:extLst>
        </c:ser>
        <c:ser>
          <c:idx val="3"/>
          <c:order val="3"/>
          <c:tx>
            <c:v>Newell</c:v>
          </c:tx>
          <c:spPr>
            <a:ln w="15120">
              <a:solidFill>
                <a:srgbClr val="7F7F7F"/>
              </a:solidFill>
              <a:round/>
            </a:ln>
          </c:spPr>
          <c:marker>
            <c:symbol val="circle"/>
            <c:size val="5"/>
            <c:spPr>
              <a:solidFill>
                <a:srgbClr val="7F7F7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MPC!$J$5:$J$7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B9-4444-ACD0-BD2A42D3032B}"/>
            </c:ext>
          </c:extLst>
        </c:ser>
        <c:ser>
          <c:idx val="4"/>
          <c:order val="4"/>
          <c:tx>
            <c:v>Conair</c:v>
          </c:tx>
          <c:spPr>
            <a:ln w="1512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MPC!$L$5:$L$7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B9-4444-ACD0-BD2A42D3032B}"/>
            </c:ext>
          </c:extLst>
        </c:ser>
        <c:ser>
          <c:idx val="5"/>
          <c:order val="5"/>
          <c:tx>
            <c:v>Spectrum</c:v>
          </c:tx>
          <c:spPr>
            <a:ln w="1512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MPC!$N$5:$N$7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B9-4444-ACD0-BD2A42D3032B}"/>
            </c:ext>
          </c:extLst>
        </c:ser>
        <c:ser>
          <c:idx val="6"/>
          <c:order val="6"/>
          <c:tx>
            <c:v>Hamilton Beach</c:v>
          </c:tx>
          <c:spPr>
            <a:ln w="1512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MPC!$P$5:$P$7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B9-4444-ACD0-BD2A42D3032B}"/>
            </c:ext>
          </c:extLst>
        </c:ser>
        <c:ser>
          <c:idx val="7"/>
          <c:order val="7"/>
          <c:tx>
            <c:v>Lifetime</c:v>
          </c:tx>
          <c:spPr>
            <a:ln w="15120">
              <a:solidFill>
                <a:srgbClr val="9E480E"/>
              </a:solidFill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MPC!$R$5:$R$7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AB9-4444-ACD0-BD2A42D3032B}"/>
            </c:ext>
          </c:extLst>
        </c:ser>
        <c:ser>
          <c:idx val="8"/>
          <c:order val="8"/>
          <c:tx>
            <c:v>Zwilling</c:v>
          </c:tx>
          <c:spPr>
            <a:ln w="15120">
              <a:solidFill>
                <a:srgbClr val="264478"/>
              </a:solidFill>
              <a:round/>
            </a:ln>
          </c:spPr>
          <c:marker>
            <c:symbol val="circle"/>
            <c:size val="5"/>
            <c:spPr>
              <a:solidFill>
                <a:srgbClr val="2644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MPC!$T$5:$T$7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B9-4444-ACD0-BD2A42D3032B}"/>
            </c:ext>
          </c:extLst>
        </c:ser>
        <c:ser>
          <c:idx val="9"/>
          <c:order val="9"/>
          <c:tx>
            <c:v>Fiskars</c:v>
          </c:tx>
          <c:spPr>
            <a:ln w="15120">
              <a:solidFill>
                <a:srgbClr val="997300"/>
              </a:solidFill>
              <a:round/>
            </a:ln>
          </c:spPr>
          <c:marker>
            <c:symbol val="circle"/>
            <c:size val="5"/>
            <c:spPr>
              <a:solidFill>
                <a:srgbClr val="9973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MPC!$V$5:$V$7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AB9-4444-ACD0-BD2A42D3032B}"/>
            </c:ext>
          </c:extLst>
        </c:ser>
        <c:ser>
          <c:idx val="10"/>
          <c:order val="10"/>
          <c:tx>
            <c:v>Tramontina</c:v>
          </c:tx>
          <c:spPr>
            <a:ln w="15120">
              <a:solidFill>
                <a:srgbClr val="43682B"/>
              </a:solidFill>
              <a:round/>
            </a:ln>
          </c:spPr>
          <c:marker>
            <c:symbol val="circle"/>
            <c:size val="5"/>
            <c:spPr>
              <a:solidFill>
                <a:srgbClr val="4368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MPC!$X$5:$X$7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B9-4444-ACD0-BD2A42D3032B}"/>
            </c:ext>
          </c:extLst>
        </c:ser>
        <c:ser>
          <c:idx val="11"/>
          <c:order val="11"/>
          <c:tx>
            <c:v>Kuhn Rikon</c:v>
          </c:tx>
          <c:spPr>
            <a:ln w="15120">
              <a:solidFill>
                <a:srgbClr val="FF66CC"/>
              </a:solidFill>
              <a:round/>
            </a:ln>
          </c:spPr>
          <c:marker>
            <c:symbol val="circle"/>
            <c:size val="5"/>
            <c:spPr>
              <a:solidFill>
                <a:srgbClr val="FF66C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MPC!$Z$5:$Z$7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AB9-4444-ACD0-BD2A42D3032B}"/>
            </c:ext>
          </c:extLst>
        </c:ser>
        <c:ser>
          <c:idx val="12"/>
          <c:order val="12"/>
          <c:tx>
            <c:v>Zyliss</c:v>
          </c:tx>
          <c:spPr>
            <a:ln w="15120">
              <a:solidFill>
                <a:srgbClr val="00B0F0"/>
              </a:solidFill>
              <a:round/>
            </a:ln>
          </c:spPr>
          <c:marker>
            <c:symbol val="circle"/>
            <c:size val="5"/>
            <c:spPr>
              <a:solidFill>
                <a:srgbClr val="00B0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MPC!$AB$5:$AB$7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AB9-4444-ACD0-BD2A42D3032B}"/>
            </c:ext>
          </c:extLst>
        </c:ser>
        <c:ser>
          <c:idx val="13"/>
          <c:order val="13"/>
          <c:tx>
            <c:v>Kitchen Mama</c:v>
          </c:tx>
          <c:spPr>
            <a:ln w="1512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MPC!$AD$5:$AD$7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AB9-4444-ACD0-BD2A42D3032B}"/>
            </c:ext>
          </c:extLst>
        </c:ser>
        <c:ser>
          <c:idx val="14"/>
          <c:order val="14"/>
          <c:tx>
            <c:v>Etac</c:v>
          </c:tx>
          <c:spPr>
            <a:ln w="15120">
              <a:solidFill>
                <a:srgbClr val="008080"/>
              </a:solidFill>
              <a:round/>
            </a:ln>
          </c:spPr>
          <c:marker>
            <c:symbol val="circle"/>
            <c:size val="5"/>
            <c:spPr>
              <a:solidFill>
                <a:srgbClr val="00808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MPC!$AH$5:$AH$7</c:f>
              <c:strCache>
                <c:ptCount val="3"/>
                <c:pt idx="0">
                  <c:v>Tecnología</c:v>
                </c:pt>
                <c:pt idx="1">
                  <c:v>Producto</c:v>
                </c:pt>
                <c:pt idx="2">
                  <c:v>Mercado</c:v>
                </c:pt>
              </c:strCache>
            </c:strRef>
          </c:cat>
          <c:val>
            <c:numRef>
              <c:f>MPC!$AF$5:$AF$7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AB9-4444-ACD0-BD2A42D30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319999"/>
        <c:axId val="69848032"/>
      </c:lineChart>
      <c:catAx>
        <c:axId val="8931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1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69848032"/>
        <c:crosses val="autoZero"/>
        <c:auto val="1"/>
        <c:lblAlgn val="ctr"/>
        <c:lblOffset val="100"/>
        <c:noMultiLvlLbl val="0"/>
      </c:catAx>
      <c:valAx>
        <c:axId val="69848032"/>
        <c:scaling>
          <c:orientation val="minMax"/>
          <c:max val="4.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Ranking (1-4)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89319999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Matriz de Boston – Destaflex vs. 15 competidores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ubbleChart>
        <c:varyColors val="0"/>
        <c:ser>
          <c:idx val="0"/>
          <c:order val="0"/>
          <c:tx>
            <c:v>Destaflex</c:v>
          </c:tx>
          <c:spPr>
            <a:solidFill>
              <a:srgbClr val="C65911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'BCG2'!$J$5</c:f>
              <c:numCache>
                <c:formatCode>0.0000</c:formatCode>
                <c:ptCount val="1"/>
                <c:pt idx="0">
                  <c:v>5.2568873277604932E-4</c:v>
                </c:pt>
              </c:numCache>
            </c:numRef>
          </c:xVal>
          <c:yVal>
            <c:numRef>
              <c:f>'BCG2'!$I$5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'BCG2'!$C$5</c:f>
              <c:numCache>
                <c:formatCode>0.0000</c:formatCode>
                <c:ptCount val="1"/>
                <c:pt idx="0">
                  <c:v>3.7586744393487526E-2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F4CC-4634-AD21-27C96C9F2E26}"/>
            </c:ext>
          </c:extLst>
        </c:ser>
        <c:ser>
          <c:idx val="1"/>
          <c:order val="1"/>
          <c:tx>
            <c:v>OXO</c:v>
          </c:tx>
          <c:spPr>
            <a:solidFill>
              <a:srgbClr val="70AD47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'BCG2'!$J$6</c:f>
              <c:numCache>
                <c:formatCode>0.0000</c:formatCode>
                <c:ptCount val="1"/>
                <c:pt idx="0">
                  <c:v>1.5543478260869565</c:v>
                </c:pt>
              </c:numCache>
            </c:numRef>
          </c:xVal>
          <c:yVal>
            <c:numRef>
              <c:f>'BCG2'!$I$6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'BCG2'!$C$6</c:f>
              <c:numCache>
                <c:formatCode>0.0</c:formatCode>
                <c:ptCount val="1"/>
                <c:pt idx="0">
                  <c:v>71.5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F4CC-4634-AD21-27C96C9F2E26}"/>
            </c:ext>
          </c:extLst>
        </c:ser>
        <c:ser>
          <c:idx val="2"/>
          <c:order val="2"/>
          <c:tx>
            <c:v>Whirlpool</c:v>
          </c:tx>
          <c:spPr>
            <a:solidFill>
              <a:srgbClr val="4472C4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'BCG2'!$J$7</c:f>
              <c:numCache>
                <c:formatCode>0.0000</c:formatCode>
                <c:ptCount val="1"/>
                <c:pt idx="0">
                  <c:v>9.5104895104895101E-2</c:v>
                </c:pt>
              </c:numCache>
            </c:numRef>
          </c:xVal>
          <c:yVal>
            <c:numRef>
              <c:f>'BCG2'!$I$7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'BCG2'!$C$7</c:f>
              <c:numCache>
                <c:formatCode>0.0</c:formatCode>
                <c:ptCount val="1"/>
                <c:pt idx="0">
                  <c:v>6.8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F4CC-4634-AD21-27C96C9F2E26}"/>
            </c:ext>
          </c:extLst>
        </c:ser>
        <c:ser>
          <c:idx val="3"/>
          <c:order val="3"/>
          <c:tx>
            <c:v>Groupe SEB</c:v>
          </c:tx>
          <c:spPr>
            <a:solidFill>
              <a:srgbClr val="FFC000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'BCG2'!$J$8</c:f>
              <c:numCache>
                <c:formatCode>0.0000</c:formatCode>
                <c:ptCount val="1"/>
                <c:pt idx="0">
                  <c:v>0.44755244755244755</c:v>
                </c:pt>
              </c:numCache>
            </c:numRef>
          </c:xVal>
          <c:yVal>
            <c:numRef>
              <c:f>'BCG2'!$I$8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'BCG2'!$C$8</c:f>
              <c:numCache>
                <c:formatCode>0.0</c:formatCode>
                <c:ptCount val="1"/>
                <c:pt idx="0">
                  <c:v>32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F4CC-4634-AD21-27C96C9F2E26}"/>
            </c:ext>
          </c:extLst>
        </c:ser>
        <c:ser>
          <c:idx val="4"/>
          <c:order val="4"/>
          <c:tx>
            <c:v>Newell</c:v>
          </c:tx>
          <c:spPr>
            <a:solidFill>
              <a:srgbClr val="7F7F7F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'BCG2'!$J$9</c:f>
              <c:numCache>
                <c:formatCode>0.0000</c:formatCode>
                <c:ptCount val="1"/>
                <c:pt idx="0">
                  <c:v>0.37062937062937062</c:v>
                </c:pt>
              </c:numCache>
            </c:numRef>
          </c:xVal>
          <c:yVal>
            <c:numRef>
              <c:f>'BCG2'!$I$9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'BCG2'!$C$9</c:f>
              <c:numCache>
                <c:formatCode>0.0</c:formatCode>
                <c:ptCount val="1"/>
                <c:pt idx="0">
                  <c:v>26.5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F4CC-4634-AD21-27C96C9F2E26}"/>
            </c:ext>
          </c:extLst>
        </c:ser>
        <c:ser>
          <c:idx val="5"/>
          <c:order val="5"/>
          <c:tx>
            <c:v>Conair</c:v>
          </c:tx>
          <c:spPr>
            <a:solidFill>
              <a:srgbClr val="5B9BD5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'BCG2'!$J$10</c:f>
              <c:numCache>
                <c:formatCode>0.0000</c:formatCode>
                <c:ptCount val="1"/>
                <c:pt idx="0">
                  <c:v>0.42657342657342656</c:v>
                </c:pt>
              </c:numCache>
            </c:numRef>
          </c:xVal>
          <c:yVal>
            <c:numRef>
              <c:f>'BCG2'!$I$10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'BCG2'!$C$10</c:f>
              <c:numCache>
                <c:formatCode>0.0</c:formatCode>
                <c:ptCount val="1"/>
                <c:pt idx="0">
                  <c:v>30.5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F4CC-4634-AD21-27C96C9F2E26}"/>
            </c:ext>
          </c:extLst>
        </c:ser>
        <c:ser>
          <c:idx val="6"/>
          <c:order val="6"/>
          <c:tx>
            <c:v>Spectrum</c:v>
          </c:tx>
          <c:spPr>
            <a:solidFill>
              <a:srgbClr val="ED7D31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'BCG2'!$J$11</c:f>
              <c:numCache>
                <c:formatCode>0.0000</c:formatCode>
                <c:ptCount val="1"/>
                <c:pt idx="0">
                  <c:v>0.44055944055944057</c:v>
                </c:pt>
              </c:numCache>
            </c:numRef>
          </c:xVal>
          <c:yVal>
            <c:numRef>
              <c:f>'BCG2'!$I$11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'BCG2'!$C$11</c:f>
              <c:numCache>
                <c:formatCode>0.0</c:formatCode>
                <c:ptCount val="1"/>
                <c:pt idx="0">
                  <c:v>31.5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F4CC-4634-AD21-27C96C9F2E26}"/>
            </c:ext>
          </c:extLst>
        </c:ser>
        <c:ser>
          <c:idx val="7"/>
          <c:order val="7"/>
          <c:tx>
            <c:v>Hamilton Beach</c:v>
          </c:tx>
          <c:spPr>
            <a:solidFill>
              <a:srgbClr val="A5A5A5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'BCG2'!$J$12</c:f>
              <c:numCache>
                <c:formatCode>0.0000</c:formatCode>
                <c:ptCount val="1"/>
                <c:pt idx="0">
                  <c:v>0.64335664335664333</c:v>
                </c:pt>
              </c:numCache>
            </c:numRef>
          </c:xVal>
          <c:yVal>
            <c:numRef>
              <c:f>'BCG2'!$I$12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'BCG2'!$C$12</c:f>
              <c:numCache>
                <c:formatCode>0.0</c:formatCode>
                <c:ptCount val="1"/>
                <c:pt idx="0">
                  <c:v>46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F4CC-4634-AD21-27C96C9F2E26}"/>
            </c:ext>
          </c:extLst>
        </c:ser>
        <c:ser>
          <c:idx val="8"/>
          <c:order val="8"/>
          <c:tx>
            <c:v>Lifetime</c:v>
          </c:tx>
          <c:spPr>
            <a:solidFill>
              <a:srgbClr val="9E480E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'BCG2'!$J$13</c:f>
              <c:numCache>
                <c:formatCode>0.0000</c:formatCode>
                <c:ptCount val="1"/>
                <c:pt idx="0">
                  <c:v>0.63636363636363635</c:v>
                </c:pt>
              </c:numCache>
            </c:numRef>
          </c:xVal>
          <c:yVal>
            <c:numRef>
              <c:f>'BCG2'!$I$13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'BCG2'!$C$13</c:f>
              <c:numCache>
                <c:formatCode>0.0</c:formatCode>
                <c:ptCount val="1"/>
                <c:pt idx="0">
                  <c:v>45.5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F4CC-4634-AD21-27C96C9F2E26}"/>
            </c:ext>
          </c:extLst>
        </c:ser>
        <c:ser>
          <c:idx val="9"/>
          <c:order val="9"/>
          <c:tx>
            <c:v>Zwilling</c:v>
          </c:tx>
          <c:spPr>
            <a:solidFill>
              <a:srgbClr val="264478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'BCG2'!$J$14</c:f>
              <c:numCache>
                <c:formatCode>0.0000</c:formatCode>
                <c:ptCount val="1"/>
                <c:pt idx="0">
                  <c:v>0.27972027972027974</c:v>
                </c:pt>
              </c:numCache>
            </c:numRef>
          </c:xVal>
          <c:yVal>
            <c:numRef>
              <c:f>'BCG2'!$I$14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'BCG2'!$C$14</c:f>
              <c:numCache>
                <c:formatCode>0.0</c:formatCode>
                <c:ptCount val="1"/>
                <c:pt idx="0">
                  <c:v>20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9-F4CC-4634-AD21-27C96C9F2E26}"/>
            </c:ext>
          </c:extLst>
        </c:ser>
        <c:ser>
          <c:idx val="10"/>
          <c:order val="10"/>
          <c:tx>
            <c:v>Fiskars</c:v>
          </c:tx>
          <c:spPr>
            <a:solidFill>
              <a:srgbClr val="997300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'BCG2'!$J$15</c:f>
              <c:numCache>
                <c:formatCode>0.0000</c:formatCode>
                <c:ptCount val="1"/>
                <c:pt idx="0">
                  <c:v>0.10909090909090909</c:v>
                </c:pt>
              </c:numCache>
            </c:numRef>
          </c:xVal>
          <c:yVal>
            <c:numRef>
              <c:f>'BCG2'!$I$15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'BCG2'!$C$15</c:f>
              <c:numCache>
                <c:formatCode>0.0</c:formatCode>
                <c:ptCount val="1"/>
                <c:pt idx="0">
                  <c:v>7.8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A-F4CC-4634-AD21-27C96C9F2E26}"/>
            </c:ext>
          </c:extLst>
        </c:ser>
        <c:ser>
          <c:idx val="11"/>
          <c:order val="11"/>
          <c:tx>
            <c:v>Tramontina</c:v>
          </c:tx>
          <c:spPr>
            <a:solidFill>
              <a:srgbClr val="43682B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'BCG2'!$J$16</c:f>
              <c:numCache>
                <c:formatCode>0.0000</c:formatCode>
                <c:ptCount val="1"/>
                <c:pt idx="0">
                  <c:v>0.25454545454545452</c:v>
                </c:pt>
              </c:numCache>
            </c:numRef>
          </c:xVal>
          <c:yVal>
            <c:numRef>
              <c:f>'BCG2'!$I$16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'BCG2'!$C$16</c:f>
              <c:numCache>
                <c:formatCode>0.0</c:formatCode>
                <c:ptCount val="1"/>
                <c:pt idx="0">
                  <c:v>18.2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B-F4CC-4634-AD21-27C96C9F2E26}"/>
            </c:ext>
          </c:extLst>
        </c:ser>
        <c:ser>
          <c:idx val="12"/>
          <c:order val="12"/>
          <c:tx>
            <c:v>Kuhn Rikon</c:v>
          </c:tx>
          <c:spPr>
            <a:solidFill>
              <a:srgbClr val="FF66CC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'BCG2'!$J$17</c:f>
              <c:numCache>
                <c:formatCode>0.0000</c:formatCode>
                <c:ptCount val="1"/>
                <c:pt idx="0">
                  <c:v>0.15384615384615385</c:v>
                </c:pt>
              </c:numCache>
            </c:numRef>
          </c:xVal>
          <c:yVal>
            <c:numRef>
              <c:f>'BCG2'!$I$17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'BCG2'!$C$17</c:f>
              <c:numCache>
                <c:formatCode>0.0</c:formatCode>
                <c:ptCount val="1"/>
                <c:pt idx="0">
                  <c:v>11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C-F4CC-4634-AD21-27C96C9F2E26}"/>
            </c:ext>
          </c:extLst>
        </c:ser>
        <c:ser>
          <c:idx val="13"/>
          <c:order val="13"/>
          <c:tx>
            <c:v>Zyliss</c:v>
          </c:tx>
          <c:spPr>
            <a:solidFill>
              <a:srgbClr val="00B0F0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'BCG2'!$J$18</c:f>
              <c:numCache>
                <c:formatCode>0.0000</c:formatCode>
                <c:ptCount val="1"/>
                <c:pt idx="0">
                  <c:v>0.13986013986013987</c:v>
                </c:pt>
              </c:numCache>
            </c:numRef>
          </c:xVal>
          <c:yVal>
            <c:numRef>
              <c:f>'BCG2'!$I$18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'BCG2'!$C$18</c:f>
              <c:numCache>
                <c:formatCode>0.0</c:formatCode>
                <c:ptCount val="1"/>
                <c:pt idx="0">
                  <c:v>10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D-F4CC-4634-AD21-27C96C9F2E26}"/>
            </c:ext>
          </c:extLst>
        </c:ser>
        <c:ser>
          <c:idx val="14"/>
          <c:order val="14"/>
          <c:tx>
            <c:v>Kitchen Mama</c:v>
          </c:tx>
          <c:spPr>
            <a:solidFill>
              <a:srgbClr val="7030A0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'BCG2'!$J$19</c:f>
              <c:numCache>
                <c:formatCode>0.0000</c:formatCode>
                <c:ptCount val="1"/>
                <c:pt idx="0">
                  <c:v>0.18181818181818182</c:v>
                </c:pt>
              </c:numCache>
            </c:numRef>
          </c:xVal>
          <c:yVal>
            <c:numRef>
              <c:f>'BCG2'!$I$19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'BCG2'!$C$19</c:f>
              <c:numCache>
                <c:formatCode>0.0</c:formatCode>
                <c:ptCount val="1"/>
                <c:pt idx="0">
                  <c:v>13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E-F4CC-4634-AD21-27C96C9F2E26}"/>
            </c:ext>
          </c:extLst>
        </c:ser>
        <c:ser>
          <c:idx val="15"/>
          <c:order val="15"/>
          <c:tx>
            <c:v>Etac</c:v>
          </c:tx>
          <c:spPr>
            <a:solidFill>
              <a:srgbClr val="008080"/>
            </a:solidFill>
            <a:ln w="0">
              <a:solidFill>
                <a:srgbClr val="40404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'BCG2'!$J$20</c:f>
              <c:numCache>
                <c:formatCode>0.0000</c:formatCode>
                <c:ptCount val="1"/>
                <c:pt idx="0">
                  <c:v>4.1958041958041958E-3</c:v>
                </c:pt>
              </c:numCache>
            </c:numRef>
          </c:xVal>
          <c:yVal>
            <c:numRef>
              <c:f>'BCG2'!$I$20</c:f>
              <c:numCache>
                <c:formatCode>0.0%</c:formatCode>
                <c:ptCount val="1"/>
                <c:pt idx="0">
                  <c:v>5.2059999999999856E-2</c:v>
                </c:pt>
              </c:numCache>
            </c:numRef>
          </c:yVal>
          <c:bubbleSize>
            <c:numRef>
              <c:f>'BCG2'!$C$20</c:f>
              <c:numCache>
                <c:formatCode>0.0</c:formatCode>
                <c:ptCount val="1"/>
                <c:pt idx="0">
                  <c:v>0.3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F-F4CC-4634-AD21-27C96C9F2E26}"/>
            </c:ext>
          </c:extLst>
        </c:ser>
        <c:ser>
          <c:idx val="16"/>
          <c:order val="16"/>
          <c:tx>
            <c:v>★ ESTRELLA</c:v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'BCG2'!$N$29</c:f>
              <c:numCache>
                <c:formatCode>General</c:formatCode>
                <c:ptCount val="1"/>
                <c:pt idx="0">
                  <c:v>3.16228</c:v>
                </c:pt>
              </c:numCache>
            </c:numRef>
          </c:xVal>
          <c:yVal>
            <c:numRef>
              <c:f>'BCG2'!$O$29</c:f>
              <c:numCache>
                <c:formatCode>General</c:formatCode>
                <c:ptCount val="1"/>
                <c:pt idx="0">
                  <c:v>0.17</c:v>
                </c:pt>
              </c:numCache>
            </c:numRef>
          </c:yVal>
          <c:bubbleSize>
            <c:numRef>
              <c:f>'BCG2'!$P$29</c:f>
              <c:numCache>
                <c:formatCode>General</c:formatCode>
                <c:ptCount val="1"/>
                <c:pt idx="0">
                  <c:v>1.0000000000000001E-5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0-F4CC-4634-AD21-27C96C9F2E26}"/>
            </c:ext>
          </c:extLst>
        </c:ser>
        <c:ser>
          <c:idx val="17"/>
          <c:order val="17"/>
          <c:tx>
            <c:v>? INTERROGANTE</c:v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'BCG2'!$N$30</c:f>
              <c:numCache>
                <c:formatCode>General</c:formatCode>
                <c:ptCount val="1"/>
                <c:pt idx="0">
                  <c:v>0.01</c:v>
                </c:pt>
              </c:numCache>
            </c:numRef>
          </c:xVal>
          <c:yVal>
            <c:numRef>
              <c:f>'BCG2'!$O$30</c:f>
              <c:numCache>
                <c:formatCode>General</c:formatCode>
                <c:ptCount val="1"/>
                <c:pt idx="0">
                  <c:v>0.17</c:v>
                </c:pt>
              </c:numCache>
            </c:numRef>
          </c:yVal>
          <c:bubbleSize>
            <c:numRef>
              <c:f>'BCG2'!$P$30</c:f>
              <c:numCache>
                <c:formatCode>General</c:formatCode>
                <c:ptCount val="1"/>
                <c:pt idx="0">
                  <c:v>1.0000000000000001E-5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1-F4CC-4634-AD21-27C96C9F2E26}"/>
            </c:ext>
          </c:extLst>
        </c:ser>
        <c:ser>
          <c:idx val="18"/>
          <c:order val="18"/>
          <c:tx>
            <c:v>VACA LECHERA</c:v>
          </c:tx>
          <c:spPr>
            <a:noFill/>
            <a:ln w="0">
              <a:noFill/>
            </a:ln>
          </c:spPr>
          <c:invertIfNegative val="0"/>
          <c:dLbls>
            <c:dLbl>
              <c:idx val="0"/>
              <c:layout>
                <c:manualLayout>
                  <c:x val="-0.1198915815357466"/>
                  <c:y val="3.0869984929613657E-2"/>
                </c:manualLayout>
              </c:layout>
              <c:dLblPos val="r"/>
              <c:showLegendKey val="0"/>
              <c:showVal val="0"/>
              <c:showCatName val="1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4CC-4634-AD21-27C96C9F2E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'BCG2'!$N$31</c:f>
              <c:numCache>
                <c:formatCode>General</c:formatCode>
                <c:ptCount val="1"/>
                <c:pt idx="0">
                  <c:v>3.16228</c:v>
                </c:pt>
              </c:numCache>
            </c:numRef>
          </c:xVal>
          <c:yVal>
            <c:numRef>
              <c:f>'BCG2'!$O$31</c:f>
              <c:numCache>
                <c:formatCode>General</c:formatCode>
                <c:ptCount val="1"/>
                <c:pt idx="0">
                  <c:v>1.4999999999999999E-2</c:v>
                </c:pt>
              </c:numCache>
            </c:numRef>
          </c:yVal>
          <c:bubbleSize>
            <c:numRef>
              <c:f>'BCG2'!$P$31</c:f>
              <c:numCache>
                <c:formatCode>General</c:formatCode>
                <c:ptCount val="1"/>
                <c:pt idx="0">
                  <c:v>1.0000000000000001E-5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2-F4CC-4634-AD21-27C96C9F2E26}"/>
            </c:ext>
          </c:extLst>
        </c:ser>
        <c:ser>
          <c:idx val="19"/>
          <c:order val="19"/>
          <c:tx>
            <c:v>PERRO</c:v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400" b="1" strike="noStrike" spc="-1">
                    <a:solidFill>
                      <a:srgbClr val="000000"/>
                    </a:solidFill>
                    <a:latin typeface="Times New Roman"/>
                  </a:defRPr>
                </a:pPr>
                <a:endParaRPr lang="es-CO"/>
              </a:p>
            </c:txPr>
            <c:dLblPos val="ctr"/>
            <c:showLegendKey val="0"/>
            <c:showVal val="0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'BCG2'!$N$32</c:f>
              <c:numCache>
                <c:formatCode>General</c:formatCode>
                <c:ptCount val="1"/>
                <c:pt idx="0">
                  <c:v>0.01</c:v>
                </c:pt>
              </c:numCache>
            </c:numRef>
          </c:xVal>
          <c:yVal>
            <c:numRef>
              <c:f>'BCG2'!$O$32</c:f>
              <c:numCache>
                <c:formatCode>General</c:formatCode>
                <c:ptCount val="1"/>
                <c:pt idx="0">
                  <c:v>1.4999999999999999E-2</c:v>
                </c:pt>
              </c:numCache>
            </c:numRef>
          </c:yVal>
          <c:bubbleSize>
            <c:numRef>
              <c:f>'BCG2'!$P$32</c:f>
              <c:numCache>
                <c:formatCode>General</c:formatCode>
                <c:ptCount val="1"/>
                <c:pt idx="0">
                  <c:v>1.0000000000000001E-5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13-F4CC-4634-AD21-27C96C9F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67680848"/>
        <c:axId val="31442848"/>
      </c:bubbleChart>
      <c:valAx>
        <c:axId val="67680848"/>
        <c:scaling>
          <c:logBase val="10"/>
          <c:orientation val="maxMin"/>
          <c:max val="10"/>
          <c:min val="1E-4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Participación Relativa del Mercado (escala logarítmica)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low"/>
        <c:spPr>
          <a:ln w="280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31442848"/>
        <c:crossesAt val="0.1"/>
        <c:crossBetween val="midCat"/>
      </c:valAx>
      <c:valAx>
        <c:axId val="31442848"/>
        <c:scaling>
          <c:orientation val="minMax"/>
          <c:max val="0.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Crecimiento del Mercado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low"/>
        <c:spPr>
          <a:ln w="2808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Times New Roman"/>
              </a:defRPr>
            </a:pPr>
            <a:endParaRPr lang="es-CO"/>
          </a:p>
        </c:txPr>
        <c:crossAx val="67680848"/>
        <c:crossesAt val="1"/>
        <c:crossBetween val="midCat"/>
        <c:majorUnit val="0.02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Punto de equilibrio Destaflex (unidades por mes)</a:t>
            </a:r>
          </a:p>
        </c:rich>
      </c:tx>
      <c:layout>
        <c:manualLayout>
          <c:xMode val="edge"/>
          <c:yMode val="edge"/>
          <c:x val="0.13980924963843075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'Punto de Equilibrio'!$C$55</c:f>
              <c:strCache>
                <c:ptCount val="1"/>
                <c:pt idx="0">
                  <c:v>Ingresos (COP)</c:v>
                </c:pt>
              </c:strCache>
            </c:strRef>
          </c:tx>
          <c:spPr>
            <a:ln w="298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'Punto de Equilibrio'!$B$56:$B$66</c:f>
              <c:numCache>
                <c:formatCode>#,##0</c:formatCode>
                <c:ptCount val="1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</c:numCache>
            </c:numRef>
          </c:xVal>
          <c:yVal>
            <c:numRef>
              <c:f>'Punto de Equilibrio'!$C$56:$C$66</c:f>
              <c:numCache>
                <c:formatCode>"$ "#,##0</c:formatCode>
                <c:ptCount val="11"/>
                <c:pt idx="0">
                  <c:v>0</c:v>
                </c:pt>
                <c:pt idx="1">
                  <c:v>2495000</c:v>
                </c:pt>
                <c:pt idx="2">
                  <c:v>4990000</c:v>
                </c:pt>
                <c:pt idx="3">
                  <c:v>7485000</c:v>
                </c:pt>
                <c:pt idx="4">
                  <c:v>9980000</c:v>
                </c:pt>
                <c:pt idx="5">
                  <c:v>12475000</c:v>
                </c:pt>
                <c:pt idx="6">
                  <c:v>14970000</c:v>
                </c:pt>
                <c:pt idx="7">
                  <c:v>17465000</c:v>
                </c:pt>
                <c:pt idx="8">
                  <c:v>19960000</c:v>
                </c:pt>
                <c:pt idx="9">
                  <c:v>22455000</c:v>
                </c:pt>
                <c:pt idx="10">
                  <c:v>24950000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6D-4540-8A12-941E2C988C83}"/>
            </c:ext>
          </c:extLst>
        </c:ser>
        <c:ser>
          <c:idx val="1"/>
          <c:order val="1"/>
          <c:tx>
            <c:strRef>
              <c:f>'Punto de Equilibrio'!$D$55</c:f>
              <c:strCache>
                <c:ptCount val="1"/>
                <c:pt idx="0">
                  <c:v>Costos totales (COP)</c:v>
                </c:pt>
              </c:strCache>
            </c:strRef>
          </c:tx>
          <c:spPr>
            <a:ln w="298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'Punto de Equilibrio'!$B$56:$B$66</c:f>
              <c:numCache>
                <c:formatCode>#,##0</c:formatCode>
                <c:ptCount val="1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</c:numCache>
            </c:numRef>
          </c:xVal>
          <c:yVal>
            <c:numRef>
              <c:f>'Punto de Equilibrio'!$D$56:$D$66</c:f>
              <c:numCache>
                <c:formatCode>"$ "#,##0</c:formatCode>
                <c:ptCount val="11"/>
                <c:pt idx="0">
                  <c:v>5247137.2666666666</c:v>
                </c:pt>
                <c:pt idx="1">
                  <c:v>6481637.2666666666</c:v>
                </c:pt>
                <c:pt idx="2">
                  <c:v>7716137.2666666666</c:v>
                </c:pt>
                <c:pt idx="3">
                  <c:v>8950637.2666666657</c:v>
                </c:pt>
                <c:pt idx="4">
                  <c:v>10185137.266666666</c:v>
                </c:pt>
                <c:pt idx="5">
                  <c:v>11419637.266666666</c:v>
                </c:pt>
                <c:pt idx="6">
                  <c:v>12654137.266666666</c:v>
                </c:pt>
                <c:pt idx="7">
                  <c:v>13888637.266666666</c:v>
                </c:pt>
                <c:pt idx="8">
                  <c:v>15123137.266666666</c:v>
                </c:pt>
                <c:pt idx="9">
                  <c:v>16357637.266666666</c:v>
                </c:pt>
                <c:pt idx="10">
                  <c:v>17592137.266666666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6D-4540-8A12-941E2C988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7431"/>
        <c:axId val="53743625"/>
      </c:scatterChart>
      <c:valAx>
        <c:axId val="366743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Unidades/mes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3743625"/>
        <c:crosses val="autoZero"/>
        <c:crossBetween val="midCat"/>
      </c:valAx>
      <c:valAx>
        <c:axId val="537436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66743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2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24</xdr:col>
      <xdr:colOff>438480</xdr:colOff>
      <xdr:row>32</xdr:row>
      <xdr:rowOff>263880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141480</xdr:colOff>
      <xdr:row>56</xdr:row>
      <xdr:rowOff>35115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1090614</xdr:colOff>
      <xdr:row>45</xdr:row>
      <xdr:rowOff>76199</xdr:rowOff>
    </xdr:from>
    <xdr:to>
      <xdr:col>1</xdr:col>
      <xdr:colOff>1790986</xdr:colOff>
      <xdr:row>48</xdr:row>
      <xdr:rowOff>47624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7DAFBD-3A57-4737-B491-AD69D26CA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0714" t="21429" r="5103" b="-10714"/>
        <a:stretch/>
      </xdr:blipFill>
      <xdr:spPr>
        <a:xfrm>
          <a:off x="1223964" y="10544174"/>
          <a:ext cx="700372" cy="5429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1800226</xdr:colOff>
      <xdr:row>45</xdr:row>
      <xdr:rowOff>171450</xdr:rowOff>
    </xdr:from>
    <xdr:to>
      <xdr:col>1</xdr:col>
      <xdr:colOff>2428875</xdr:colOff>
      <xdr:row>47</xdr:row>
      <xdr:rowOff>28741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D9CAF93-B78F-4FE3-AFCD-8B62DE4C4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3576" y="10639425"/>
          <a:ext cx="628649" cy="238291"/>
        </a:xfrm>
        <a:prstGeom prst="rect">
          <a:avLst/>
        </a:prstGeom>
      </xdr:spPr>
    </xdr:pic>
    <xdr:clientData/>
  </xdr:twoCellAnchor>
  <xdr:twoCellAnchor editAs="oneCell">
    <xdr:from>
      <xdr:col>1</xdr:col>
      <xdr:colOff>2409825</xdr:colOff>
      <xdr:row>46</xdr:row>
      <xdr:rowOff>28722</xdr:rowOff>
    </xdr:from>
    <xdr:to>
      <xdr:col>1</xdr:col>
      <xdr:colOff>2686295</xdr:colOff>
      <xdr:row>48</xdr:row>
      <xdr:rowOff>57150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1EB6379-5547-4361-8ACF-46E1163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43175" y="10687197"/>
          <a:ext cx="276470" cy="409428"/>
        </a:xfrm>
        <a:prstGeom prst="rect">
          <a:avLst/>
        </a:prstGeom>
      </xdr:spPr>
    </xdr:pic>
    <xdr:clientData/>
  </xdr:twoCellAnchor>
  <xdr:twoCellAnchor editAs="oneCell">
    <xdr:from>
      <xdr:col>1</xdr:col>
      <xdr:colOff>2695576</xdr:colOff>
      <xdr:row>45</xdr:row>
      <xdr:rowOff>141854</xdr:rowOff>
    </xdr:from>
    <xdr:to>
      <xdr:col>1</xdr:col>
      <xdr:colOff>2905126</xdr:colOff>
      <xdr:row>47</xdr:row>
      <xdr:rowOff>57355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9573A54-6D61-4151-A632-AE6CF4A2F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28926" y="10609829"/>
          <a:ext cx="209550" cy="296501"/>
        </a:xfrm>
        <a:prstGeom prst="rect">
          <a:avLst/>
        </a:prstGeom>
      </xdr:spPr>
    </xdr:pic>
    <xdr:clientData/>
  </xdr:twoCellAnchor>
  <xdr:twoCellAnchor editAs="oneCell">
    <xdr:from>
      <xdr:col>1</xdr:col>
      <xdr:colOff>2895602</xdr:colOff>
      <xdr:row>46</xdr:row>
      <xdr:rowOff>123824</xdr:rowOff>
    </xdr:from>
    <xdr:to>
      <xdr:col>2</xdr:col>
      <xdr:colOff>327791</xdr:colOff>
      <xdr:row>47</xdr:row>
      <xdr:rowOff>57149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98D26E-8DC2-4904-B9BA-4B4CB04B6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8952" y="10782299"/>
          <a:ext cx="365889" cy="123825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46</xdr:row>
      <xdr:rowOff>7714</xdr:rowOff>
    </xdr:from>
    <xdr:to>
      <xdr:col>2</xdr:col>
      <xdr:colOff>605533</xdr:colOff>
      <xdr:row>46</xdr:row>
      <xdr:rowOff>123825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1A8C37F-F616-4BC3-933C-2AD159F94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33750" y="10666189"/>
          <a:ext cx="338833" cy="116111"/>
        </a:xfrm>
        <a:prstGeom prst="rect">
          <a:avLst/>
        </a:prstGeom>
      </xdr:spPr>
    </xdr:pic>
    <xdr:clientData/>
  </xdr:twoCellAnchor>
  <xdr:twoCellAnchor editAs="oneCell">
    <xdr:from>
      <xdr:col>2</xdr:col>
      <xdr:colOff>325968</xdr:colOff>
      <xdr:row>47</xdr:row>
      <xdr:rowOff>47625</xdr:rowOff>
    </xdr:from>
    <xdr:to>
      <xdr:col>2</xdr:col>
      <xdr:colOff>651597</xdr:colOff>
      <xdr:row>47</xdr:row>
      <xdr:rowOff>143042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9CAF395-4D75-4D7D-B374-EDD7812E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93018" y="10896600"/>
          <a:ext cx="325629" cy="95417"/>
        </a:xfrm>
        <a:prstGeom prst="rect">
          <a:avLst/>
        </a:prstGeom>
      </xdr:spPr>
    </xdr:pic>
    <xdr:clientData/>
  </xdr:twoCellAnchor>
  <xdr:twoCellAnchor editAs="oneCell">
    <xdr:from>
      <xdr:col>2</xdr:col>
      <xdr:colOff>514349</xdr:colOff>
      <xdr:row>46</xdr:row>
      <xdr:rowOff>76200</xdr:rowOff>
    </xdr:from>
    <xdr:to>
      <xdr:col>2</xdr:col>
      <xdr:colOff>940514</xdr:colOff>
      <xdr:row>46</xdr:row>
      <xdr:rowOff>181102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5478753-9E7B-4DE7-92D1-0512076F4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81399" y="10734675"/>
          <a:ext cx="426165" cy="104902"/>
        </a:xfrm>
        <a:prstGeom prst="rect">
          <a:avLst/>
        </a:prstGeom>
      </xdr:spPr>
    </xdr:pic>
    <xdr:clientData/>
  </xdr:twoCellAnchor>
  <xdr:twoCellAnchor editAs="oneCell">
    <xdr:from>
      <xdr:col>2</xdr:col>
      <xdr:colOff>653169</xdr:colOff>
      <xdr:row>47</xdr:row>
      <xdr:rowOff>2956</xdr:rowOff>
    </xdr:from>
    <xdr:to>
      <xdr:col>2</xdr:col>
      <xdr:colOff>819150</xdr:colOff>
      <xdr:row>48</xdr:row>
      <xdr:rowOff>19730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C3999DB-F8A6-47D4-8D2F-A9881D16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20219" y="10851931"/>
          <a:ext cx="165981" cy="207274"/>
        </a:xfrm>
        <a:prstGeom prst="rect">
          <a:avLst/>
        </a:prstGeom>
      </xdr:spPr>
    </xdr:pic>
    <xdr:clientData/>
  </xdr:twoCellAnchor>
  <xdr:twoCellAnchor editAs="oneCell">
    <xdr:from>
      <xdr:col>2</xdr:col>
      <xdr:colOff>904875</xdr:colOff>
      <xdr:row>47</xdr:row>
      <xdr:rowOff>18681</xdr:rowOff>
    </xdr:from>
    <xdr:to>
      <xdr:col>3</xdr:col>
      <xdr:colOff>95250</xdr:colOff>
      <xdr:row>47</xdr:row>
      <xdr:rowOff>162384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689CAD9-D2CD-4F5F-8959-DD79CA794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71925" y="10867656"/>
          <a:ext cx="257175" cy="143703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914400</xdr:colOff>
      <xdr:row>46</xdr:row>
      <xdr:rowOff>20211</xdr:rowOff>
    </xdr:from>
    <xdr:to>
      <xdr:col>3</xdr:col>
      <xdr:colOff>31333</xdr:colOff>
      <xdr:row>47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C47CCBC-26E5-4E1C-B044-E04F39E4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81450" y="10678686"/>
          <a:ext cx="183733" cy="17028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47626</xdr:colOff>
      <xdr:row>46</xdr:row>
      <xdr:rowOff>185151</xdr:rowOff>
    </xdr:from>
    <xdr:to>
      <xdr:col>3</xdr:col>
      <xdr:colOff>352426</xdr:colOff>
      <xdr:row>48</xdr:row>
      <xdr:rowOff>19304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BE3514C-C000-4543-90F8-67B10B925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81476" y="10843626"/>
          <a:ext cx="304800" cy="21515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46</xdr:row>
      <xdr:rowOff>28090</xdr:rowOff>
    </xdr:from>
    <xdr:to>
      <xdr:col>3</xdr:col>
      <xdr:colOff>409889</xdr:colOff>
      <xdr:row>46</xdr:row>
      <xdr:rowOff>152502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5220817-3B5D-4F39-8F63-E8340B421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62425" y="10686565"/>
          <a:ext cx="381314" cy="124412"/>
        </a:xfrm>
        <a:prstGeom prst="rect">
          <a:avLst/>
        </a:prstGeom>
      </xdr:spPr>
    </xdr:pic>
    <xdr:clientData/>
  </xdr:twoCellAnchor>
  <xdr:twoCellAnchor editAs="oneCell">
    <xdr:from>
      <xdr:col>3</xdr:col>
      <xdr:colOff>371643</xdr:colOff>
      <xdr:row>46</xdr:row>
      <xdr:rowOff>136955</xdr:rowOff>
    </xdr:from>
    <xdr:to>
      <xdr:col>3</xdr:col>
      <xdr:colOff>749385</xdr:colOff>
      <xdr:row>47</xdr:row>
      <xdr:rowOff>123825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2EADD00-75F3-4F4C-B995-A301DE068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05493" y="10795430"/>
          <a:ext cx="377742" cy="177370"/>
        </a:xfrm>
        <a:prstGeom prst="rect">
          <a:avLst/>
        </a:prstGeom>
      </xdr:spPr>
    </xdr:pic>
    <xdr:clientData/>
  </xdr:twoCellAnchor>
  <xdr:twoCellAnchor editAs="oneCell">
    <xdr:from>
      <xdr:col>5</xdr:col>
      <xdr:colOff>312032</xdr:colOff>
      <xdr:row>46</xdr:row>
      <xdr:rowOff>95250</xdr:rowOff>
    </xdr:from>
    <xdr:to>
      <xdr:col>5</xdr:col>
      <xdr:colOff>857565</xdr:colOff>
      <xdr:row>47</xdr:row>
      <xdr:rowOff>85830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5FE606D-F3E0-4345-99BC-00943A355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112757" y="10753725"/>
          <a:ext cx="545533" cy="181080"/>
        </a:xfrm>
        <a:prstGeom prst="rect">
          <a:avLst/>
        </a:prstGeom>
      </xdr:spPr>
    </xdr:pic>
    <xdr:clientData/>
  </xdr:twoCellAnchor>
  <xdr:twoCellAnchor editAs="oneCell">
    <xdr:from>
      <xdr:col>7</xdr:col>
      <xdr:colOff>54486</xdr:colOff>
      <xdr:row>46</xdr:row>
      <xdr:rowOff>76200</xdr:rowOff>
    </xdr:from>
    <xdr:to>
      <xdr:col>7</xdr:col>
      <xdr:colOff>627699</xdr:colOff>
      <xdr:row>49</xdr:row>
      <xdr:rowOff>171450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D241F4E-60CA-4A8C-97AA-25C2D38F9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722111" y="10734675"/>
          <a:ext cx="573213" cy="666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4</xdr:row>
      <xdr:rowOff>82035</xdr:rowOff>
    </xdr:from>
    <xdr:to>
      <xdr:col>14</xdr:col>
      <xdr:colOff>90405</xdr:colOff>
      <xdr:row>20</xdr:row>
      <xdr:rowOff>159315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dingview.com/news/tradingview:bdc4bdb7694ed:0-lifetime-brands-2025-10-k-647-9m-revenue-26-9-m-net-loss/" TargetMode="External"/><Relationship Id="rId13" Type="http://schemas.openxmlformats.org/officeDocument/2006/relationships/hyperlink" Target="https://www.diethelmkeller.com/en/operating-units/brands/" TargetMode="External"/><Relationship Id="rId18" Type="http://schemas.openxmlformats.org/officeDocument/2006/relationships/hyperlink" Target="https://www.gminsights.com/industry-analysis/manual-bottle-opener-market" TargetMode="External"/><Relationship Id="rId3" Type="http://schemas.openxmlformats.org/officeDocument/2006/relationships/hyperlink" Target="https://www.groupeseb.com/en/news/2025-full-year-results" TargetMode="External"/><Relationship Id="rId7" Type="http://schemas.openxmlformats.org/officeDocument/2006/relationships/hyperlink" Target="https://www.hamiltonbeachbrands.com/news/news-details/2026/HAMILTON-BEACH-BRANDS-HOLDING-COMPANY-ANNOUNCES-FOURTH-QUARTER-AND-FULL-YEAR-2025-RESULTS/default.aspx" TargetMode="External"/><Relationship Id="rId12" Type="http://schemas.openxmlformats.org/officeDocument/2006/relationships/hyperlink" Target="https://www.tischgespraech.de/kuhn-rikon-stabiles-wachstum-durch-cleveres-marketing" TargetMode="External"/><Relationship Id="rId17" Type="http://schemas.openxmlformats.org/officeDocument/2006/relationships/hyperlink" Target="https://www.verifiedmarketreports.com/product/can-and-jar-openers-market/" TargetMode="External"/><Relationship Id="rId2" Type="http://schemas.openxmlformats.org/officeDocument/2006/relationships/hyperlink" Target="https://whirlpool.mediaroom.com/2026-01-28-Whirlpool-Corporation-Announces-Fourth-Quarter-and-Full-Year-Results-Provides-2026-Guidance" TargetMode="External"/><Relationship Id="rId16" Type="http://schemas.openxmlformats.org/officeDocument/2006/relationships/hyperlink" Target="https://www.verifiedmarketreports.com/product/jar-opener-market/" TargetMode="External"/><Relationship Id="rId20" Type="http://schemas.openxmlformats.org/officeDocument/2006/relationships/hyperlink" Target="https://www.persistencemarketresearch.com/market-research/can-opener-market.asp" TargetMode="External"/><Relationship Id="rId1" Type="http://schemas.openxmlformats.org/officeDocument/2006/relationships/hyperlink" Target="https://investor.helenoftroy.com/press-releases/press-release-details/2026/Helen-of-Troy-Reports-Fourth-Quarter-Fiscal-2026-Results/default.aspx" TargetMode="External"/><Relationship Id="rId6" Type="http://schemas.openxmlformats.org/officeDocument/2006/relationships/hyperlink" Target="https://investor.spectrumbrands.com/news-releases/news-release-details/spectrum-brands-holdings-reports-fiscal-2025-fourth-quarter" TargetMode="External"/><Relationship Id="rId11" Type="http://schemas.openxmlformats.org/officeDocument/2006/relationships/hyperlink" Target="https://investnews.com.br/negocios/orgulho-gaucho-tramontina-internacionaliza-a-producao-sem-abrir-mao-do-comando-familiar/" TargetMode="External"/><Relationship Id="rId5" Type="http://schemas.openxmlformats.org/officeDocument/2006/relationships/hyperlink" Target="https://en.wikipedia.org/wiki/Conair_Corporation" TargetMode="External"/><Relationship Id="rId15" Type="http://schemas.openxmlformats.org/officeDocument/2006/relationships/hyperlink" Target="https://news.cision.com/nordstjernan/r/etac-makes-significant-acquisition,c9195136" TargetMode="External"/><Relationship Id="rId10" Type="http://schemas.openxmlformats.org/officeDocument/2006/relationships/hyperlink" Target="https://fiskarsgroup.com/news/stock-exchange-release/fiskars-corporations-financial-statement-release-2025-focus-on-cash-flow-yielded-results-comparable-ebit-declined-impacted-by-inventory-actions/" TargetMode="External"/><Relationship Id="rId19" Type="http://schemas.openxmlformats.org/officeDocument/2006/relationships/hyperlink" Target="https://dataintelo.com/report/inclusive-kitchen-products-market" TargetMode="External"/><Relationship Id="rId4" Type="http://schemas.openxmlformats.org/officeDocument/2006/relationships/hyperlink" Target="https://www.newellbrands.com/our-stories/newell-brands-announces-fourth-quarter-and-full-year-2025-results" TargetMode="External"/><Relationship Id="rId9" Type="http://schemas.openxmlformats.org/officeDocument/2006/relationships/hyperlink" Target="https://www.solinger-tageblatt.de/lokales/solingen/zwilling-solingen-umsatz-steigt-auf-969-millionen-lager-wird-geschlossen-2IFKX3EXDZFWHAJN7ON52C6WTU.html" TargetMode="External"/><Relationship Id="rId14" Type="http://schemas.openxmlformats.org/officeDocument/2006/relationships/hyperlink" Target="https://shopkitchenmam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H51"/>
  <sheetViews>
    <sheetView showGridLines="0" zoomScaleNormal="100" workbookViewId="0">
      <pane xSplit="3" ySplit="4" topLeftCell="L5" activePane="bottomRight" state="frozen"/>
      <selection pane="topRight" activeCell="D1" sqref="D1"/>
      <selection pane="bottomLeft" activeCell="A5" sqref="A5"/>
      <selection pane="bottomRight" activeCell="AA16" sqref="AA16"/>
    </sheetView>
  </sheetViews>
  <sheetFormatPr baseColWidth="10" defaultColWidth="8.6640625" defaultRowHeight="14.4" x14ac:dyDescent="0.3"/>
  <cols>
    <col min="1" max="1" width="2" customWidth="1"/>
    <col min="2" max="2" width="52" customWidth="1"/>
    <col min="3" max="3" width="9" customWidth="1"/>
    <col min="4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11" customWidth="1"/>
    <col min="10" max="10" width="10" customWidth="1"/>
    <col min="11" max="11" width="11" customWidth="1"/>
    <col min="12" max="12" width="10" customWidth="1"/>
    <col min="13" max="13" width="11" customWidth="1"/>
    <col min="14" max="14" width="10" customWidth="1"/>
    <col min="15" max="15" width="11" customWidth="1"/>
    <col min="16" max="16" width="10" customWidth="1"/>
    <col min="17" max="17" width="11" customWidth="1"/>
    <col min="18" max="18" width="10" customWidth="1"/>
    <col min="19" max="19" width="11" customWidth="1"/>
    <col min="20" max="20" width="10" customWidth="1"/>
    <col min="21" max="21" width="11" customWidth="1"/>
    <col min="22" max="22" width="10" customWidth="1"/>
    <col min="23" max="23" width="11" customWidth="1"/>
    <col min="24" max="24" width="10" customWidth="1"/>
    <col min="25" max="25" width="11" customWidth="1"/>
    <col min="26" max="26" width="10" customWidth="1"/>
    <col min="27" max="27" width="11" customWidth="1"/>
    <col min="28" max="28" width="10" customWidth="1"/>
    <col min="29" max="29" width="11" customWidth="1"/>
    <col min="30" max="30" width="10" customWidth="1"/>
    <col min="31" max="31" width="11" customWidth="1"/>
    <col min="32" max="32" width="10" customWidth="1"/>
    <col min="33" max="33" width="11" customWidth="1"/>
    <col min="34" max="34" width="13" customWidth="1"/>
  </cols>
  <sheetData>
    <row r="2" spans="2:34" ht="45" customHeight="1" x14ac:dyDescent="0.3">
      <c r="B2" s="114" t="s">
        <v>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</row>
    <row r="3" spans="2:34" ht="57.75" customHeight="1" x14ac:dyDescent="0.3">
      <c r="B3" s="115" t="s">
        <v>1</v>
      </c>
      <c r="C3" s="115" t="s">
        <v>2</v>
      </c>
      <c r="D3" s="111" t="s">
        <v>3</v>
      </c>
      <c r="E3" s="111"/>
      <c r="F3" s="111" t="s">
        <v>4</v>
      </c>
      <c r="G3" s="111"/>
      <c r="H3" s="111" t="s">
        <v>5</v>
      </c>
      <c r="I3" s="111"/>
      <c r="J3" s="111" t="s">
        <v>6</v>
      </c>
      <c r="K3" s="111"/>
      <c r="L3" s="111" t="s">
        <v>7</v>
      </c>
      <c r="M3" s="111"/>
      <c r="N3" s="111" t="s">
        <v>8</v>
      </c>
      <c r="O3" s="111"/>
      <c r="P3" s="111" t="s">
        <v>9</v>
      </c>
      <c r="Q3" s="111"/>
      <c r="R3" s="111" t="s">
        <v>10</v>
      </c>
      <c r="S3" s="111"/>
      <c r="T3" s="111" t="s">
        <v>11</v>
      </c>
      <c r="U3" s="111"/>
      <c r="V3" s="111" t="s">
        <v>12</v>
      </c>
      <c r="W3" s="111"/>
      <c r="X3" s="111" t="s">
        <v>13</v>
      </c>
      <c r="Y3" s="111"/>
      <c r="Z3" s="111" t="s">
        <v>14</v>
      </c>
      <c r="AA3" s="111"/>
      <c r="AB3" s="111" t="s">
        <v>15</v>
      </c>
      <c r="AC3" s="111"/>
      <c r="AD3" s="111" t="s">
        <v>16</v>
      </c>
      <c r="AE3" s="111"/>
      <c r="AF3" s="111" t="s">
        <v>17</v>
      </c>
      <c r="AG3" s="111"/>
    </row>
    <row r="4" spans="2:34" ht="24" customHeight="1" x14ac:dyDescent="0.3">
      <c r="B4" s="115"/>
      <c r="C4" s="115"/>
      <c r="D4" s="2" t="s">
        <v>18</v>
      </c>
      <c r="E4" s="2" t="s">
        <v>19</v>
      </c>
      <c r="F4" s="2" t="s">
        <v>18</v>
      </c>
      <c r="G4" s="2" t="s">
        <v>19</v>
      </c>
      <c r="H4" s="2" t="s">
        <v>18</v>
      </c>
      <c r="I4" s="2" t="s">
        <v>19</v>
      </c>
      <c r="J4" s="2" t="s">
        <v>18</v>
      </c>
      <c r="K4" s="2" t="s">
        <v>19</v>
      </c>
      <c r="L4" s="2" t="s">
        <v>18</v>
      </c>
      <c r="M4" s="2" t="s">
        <v>19</v>
      </c>
      <c r="N4" s="2" t="s">
        <v>18</v>
      </c>
      <c r="O4" s="2" t="s">
        <v>19</v>
      </c>
      <c r="P4" s="2" t="s">
        <v>18</v>
      </c>
      <c r="Q4" s="2" t="s">
        <v>19</v>
      </c>
      <c r="R4" s="2" t="s">
        <v>18</v>
      </c>
      <c r="S4" s="2" t="s">
        <v>19</v>
      </c>
      <c r="T4" s="2" t="s">
        <v>18</v>
      </c>
      <c r="U4" s="2" t="s">
        <v>19</v>
      </c>
      <c r="V4" s="2" t="s">
        <v>18</v>
      </c>
      <c r="W4" s="2" t="s">
        <v>19</v>
      </c>
      <c r="X4" s="2" t="s">
        <v>18</v>
      </c>
      <c r="Y4" s="2" t="s">
        <v>19</v>
      </c>
      <c r="Z4" s="2" t="s">
        <v>18</v>
      </c>
      <c r="AA4" s="2" t="s">
        <v>19</v>
      </c>
      <c r="AB4" s="2" t="s">
        <v>18</v>
      </c>
      <c r="AC4" s="2" t="s">
        <v>19</v>
      </c>
      <c r="AD4" s="2" t="s">
        <v>18</v>
      </c>
      <c r="AE4" s="2" t="s">
        <v>19</v>
      </c>
      <c r="AF4" s="2" t="s">
        <v>18</v>
      </c>
      <c r="AG4" s="2" t="s">
        <v>19</v>
      </c>
      <c r="AH4" s="3" t="s">
        <v>20</v>
      </c>
    </row>
    <row r="5" spans="2:34" ht="42" customHeight="1" x14ac:dyDescent="0.3">
      <c r="B5" s="4" t="s">
        <v>21</v>
      </c>
      <c r="C5" s="44">
        <v>0.25</v>
      </c>
      <c r="D5" s="45">
        <v>3</v>
      </c>
      <c r="E5" s="44">
        <f>$C5*D5</f>
        <v>0.75</v>
      </c>
      <c r="F5" s="45">
        <v>3</v>
      </c>
      <c r="G5" s="44">
        <f>$C5*F5</f>
        <v>0.75</v>
      </c>
      <c r="H5" s="45">
        <v>4</v>
      </c>
      <c r="I5" s="44">
        <f>$C5*H5</f>
        <v>1</v>
      </c>
      <c r="J5" s="45">
        <v>3</v>
      </c>
      <c r="K5" s="44">
        <f>$C5*J5</f>
        <v>0.75</v>
      </c>
      <c r="L5" s="45">
        <v>3</v>
      </c>
      <c r="M5" s="44">
        <f>$C5*L5</f>
        <v>0.75</v>
      </c>
      <c r="N5" s="45">
        <v>3</v>
      </c>
      <c r="O5" s="44">
        <f>$C5*N5</f>
        <v>0.75</v>
      </c>
      <c r="P5" s="45">
        <v>3</v>
      </c>
      <c r="Q5" s="44">
        <f>$C5*P5</f>
        <v>0.75</v>
      </c>
      <c r="R5" s="45">
        <v>2</v>
      </c>
      <c r="S5" s="44">
        <f>$C5*R5</f>
        <v>0.5</v>
      </c>
      <c r="T5" s="45">
        <v>4</v>
      </c>
      <c r="U5" s="44">
        <f>$C5*T5</f>
        <v>1</v>
      </c>
      <c r="V5" s="45">
        <v>3</v>
      </c>
      <c r="W5" s="44">
        <f>$C5*V5</f>
        <v>0.75</v>
      </c>
      <c r="X5" s="45">
        <v>3</v>
      </c>
      <c r="Y5" s="44">
        <f>$C5*X5</f>
        <v>0.75</v>
      </c>
      <c r="Z5" s="45">
        <v>3</v>
      </c>
      <c r="AA5" s="44">
        <f>$C5*Z5</f>
        <v>0.75</v>
      </c>
      <c r="AB5" s="45">
        <v>3</v>
      </c>
      <c r="AC5" s="44">
        <f>$C5*AB5</f>
        <v>0.75</v>
      </c>
      <c r="AD5" s="45">
        <v>2</v>
      </c>
      <c r="AE5" s="44">
        <f>$C5*AD5</f>
        <v>0.5</v>
      </c>
      <c r="AF5" s="45">
        <v>3</v>
      </c>
      <c r="AG5" s="44">
        <f>$C5*AF5</f>
        <v>0.75</v>
      </c>
      <c r="AH5" s="3" t="s">
        <v>22</v>
      </c>
    </row>
    <row r="6" spans="2:34" ht="42" customHeight="1" x14ac:dyDescent="0.3">
      <c r="B6" s="4" t="s">
        <v>23</v>
      </c>
      <c r="C6" s="44">
        <v>0.4</v>
      </c>
      <c r="D6" s="45">
        <v>4</v>
      </c>
      <c r="E6" s="44">
        <f>$C6*D6</f>
        <v>1.6</v>
      </c>
      <c r="F6" s="45">
        <v>2</v>
      </c>
      <c r="G6" s="44">
        <f>$C6*F6</f>
        <v>0.8</v>
      </c>
      <c r="H6" s="45">
        <v>3</v>
      </c>
      <c r="I6" s="44">
        <f>$C6*H6</f>
        <v>1.2000000000000002</v>
      </c>
      <c r="J6" s="45">
        <v>2</v>
      </c>
      <c r="K6" s="44">
        <f>$C6*J6</f>
        <v>0.8</v>
      </c>
      <c r="L6" s="45">
        <v>3</v>
      </c>
      <c r="M6" s="44">
        <f>$C6*L6</f>
        <v>1.2000000000000002</v>
      </c>
      <c r="N6" s="45">
        <v>3</v>
      </c>
      <c r="O6" s="44">
        <f>$C6*N6</f>
        <v>1.2000000000000002</v>
      </c>
      <c r="P6" s="45">
        <v>3</v>
      </c>
      <c r="Q6" s="44">
        <f>$C6*P6</f>
        <v>1.2000000000000002</v>
      </c>
      <c r="R6" s="45">
        <v>3</v>
      </c>
      <c r="S6" s="44">
        <f>$C6*R6</f>
        <v>1.2000000000000002</v>
      </c>
      <c r="T6" s="45">
        <v>3</v>
      </c>
      <c r="U6" s="44">
        <f>$C6*T6</f>
        <v>1.2000000000000002</v>
      </c>
      <c r="V6" s="45">
        <v>3</v>
      </c>
      <c r="W6" s="44">
        <f>$C6*V6</f>
        <v>1.2000000000000002</v>
      </c>
      <c r="X6" s="45">
        <v>2</v>
      </c>
      <c r="Y6" s="44">
        <f>$C6*X6</f>
        <v>0.8</v>
      </c>
      <c r="Z6" s="45">
        <v>4</v>
      </c>
      <c r="AA6" s="44">
        <f>$C6*Z6</f>
        <v>1.6</v>
      </c>
      <c r="AB6" s="45">
        <v>3</v>
      </c>
      <c r="AC6" s="44">
        <f>$C6*AB6</f>
        <v>1.2000000000000002</v>
      </c>
      <c r="AD6" s="45">
        <v>2</v>
      </c>
      <c r="AE6" s="44">
        <f>$C6*AD6</f>
        <v>0.8</v>
      </c>
      <c r="AF6" s="45">
        <v>3</v>
      </c>
      <c r="AG6" s="44">
        <f>$C6*AF6</f>
        <v>1.2000000000000002</v>
      </c>
      <c r="AH6" s="3" t="s">
        <v>24</v>
      </c>
    </row>
    <row r="7" spans="2:34" ht="42" customHeight="1" x14ac:dyDescent="0.3">
      <c r="B7" s="4" t="s">
        <v>25</v>
      </c>
      <c r="C7" s="44">
        <v>0.35</v>
      </c>
      <c r="D7" s="45">
        <v>4</v>
      </c>
      <c r="E7" s="44">
        <f>$C7*D7</f>
        <v>1.4</v>
      </c>
      <c r="F7" s="45">
        <v>4</v>
      </c>
      <c r="G7" s="44">
        <f>$C7*F7</f>
        <v>1.4</v>
      </c>
      <c r="H7" s="45">
        <v>4</v>
      </c>
      <c r="I7" s="44">
        <f>$C7*H7</f>
        <v>1.4</v>
      </c>
      <c r="J7" s="45">
        <v>4</v>
      </c>
      <c r="K7" s="44">
        <f>$C7*J7</f>
        <v>1.4</v>
      </c>
      <c r="L7" s="45">
        <v>4</v>
      </c>
      <c r="M7" s="44">
        <f>$C7*L7</f>
        <v>1.4</v>
      </c>
      <c r="N7" s="45">
        <v>3</v>
      </c>
      <c r="O7" s="44">
        <f>$C7*N7</f>
        <v>1.0499999999999998</v>
      </c>
      <c r="P7" s="45">
        <v>3</v>
      </c>
      <c r="Q7" s="44">
        <f>$C7*P7</f>
        <v>1.0499999999999998</v>
      </c>
      <c r="R7" s="45">
        <v>3</v>
      </c>
      <c r="S7" s="44">
        <f>$C7*R7</f>
        <v>1.0499999999999998</v>
      </c>
      <c r="T7" s="45">
        <v>3</v>
      </c>
      <c r="U7" s="44">
        <f>$C7*T7</f>
        <v>1.0499999999999998</v>
      </c>
      <c r="V7" s="45">
        <v>2</v>
      </c>
      <c r="W7" s="44">
        <f>$C7*V7</f>
        <v>0.7</v>
      </c>
      <c r="X7" s="45">
        <v>3</v>
      </c>
      <c r="Y7" s="44">
        <f>$C7*X7</f>
        <v>1.0499999999999998</v>
      </c>
      <c r="Z7" s="45">
        <v>2</v>
      </c>
      <c r="AA7" s="44">
        <f>$C7*Z7</f>
        <v>0.7</v>
      </c>
      <c r="AB7" s="45">
        <v>2</v>
      </c>
      <c r="AC7" s="44">
        <f>$C7*AB7</f>
        <v>0.7</v>
      </c>
      <c r="AD7" s="45">
        <v>2</v>
      </c>
      <c r="AE7" s="44">
        <f>$C7*AD7</f>
        <v>0.7</v>
      </c>
      <c r="AF7" s="45">
        <v>2</v>
      </c>
      <c r="AG7" s="44">
        <f>$C7*AF7</f>
        <v>0.7</v>
      </c>
      <c r="AH7" s="3" t="s">
        <v>26</v>
      </c>
    </row>
    <row r="8" spans="2:34" ht="30" customHeight="1" x14ac:dyDescent="0.3">
      <c r="B8" s="5" t="s">
        <v>27</v>
      </c>
      <c r="C8" s="6">
        <f>SUM(C5:C7)</f>
        <v>1</v>
      </c>
      <c r="D8" s="7"/>
      <c r="E8" s="8">
        <f>SUM(E5:E7)</f>
        <v>3.75</v>
      </c>
      <c r="F8" s="7"/>
      <c r="G8" s="9">
        <f>SUM(G5:G7)</f>
        <v>2.95</v>
      </c>
      <c r="H8" s="7"/>
      <c r="I8" s="10">
        <f>SUM(I5:I7)</f>
        <v>3.6</v>
      </c>
      <c r="J8" s="7"/>
      <c r="K8" s="11">
        <f>SUM(K5:K7)</f>
        <v>2.95</v>
      </c>
      <c r="L8" s="7"/>
      <c r="M8" s="12">
        <f>SUM(M5:M7)</f>
        <v>3.35</v>
      </c>
      <c r="N8" s="7"/>
      <c r="O8" s="13">
        <f>SUM(O5:O7)</f>
        <v>3</v>
      </c>
      <c r="P8" s="7"/>
      <c r="Q8" s="14">
        <f>SUM(Q5:Q7)</f>
        <v>3</v>
      </c>
      <c r="R8" s="7"/>
      <c r="S8" s="15">
        <f>SUM(S5:S7)</f>
        <v>2.75</v>
      </c>
      <c r="T8" s="7"/>
      <c r="U8" s="16">
        <f>SUM(U5:U7)</f>
        <v>3.25</v>
      </c>
      <c r="V8" s="7"/>
      <c r="W8" s="17">
        <f>SUM(W5:W7)</f>
        <v>2.6500000000000004</v>
      </c>
      <c r="X8" s="7"/>
      <c r="Y8" s="18">
        <f>SUM(Y5:Y7)</f>
        <v>2.5999999999999996</v>
      </c>
      <c r="Z8" s="7"/>
      <c r="AA8" s="19">
        <f>SUM(AA5:AA7)</f>
        <v>3.05</v>
      </c>
      <c r="AB8" s="7"/>
      <c r="AC8" s="20">
        <f>SUM(AC5:AC7)</f>
        <v>2.6500000000000004</v>
      </c>
      <c r="AD8" s="7"/>
      <c r="AE8" s="21">
        <f>SUM(AE5:AE7)</f>
        <v>2</v>
      </c>
      <c r="AF8" s="7"/>
      <c r="AG8" s="22">
        <f>SUM(AG5:AG7)</f>
        <v>2.6500000000000004</v>
      </c>
      <c r="AH8" s="7"/>
    </row>
    <row r="9" spans="2:34" ht="15" customHeight="1" x14ac:dyDescent="0.3"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</row>
    <row r="11" spans="2:34" ht="15" customHeight="1" x14ac:dyDescent="0.3">
      <c r="B11" s="113" t="s">
        <v>28</v>
      </c>
      <c r="C11" s="113"/>
      <c r="D11" s="113"/>
      <c r="E11" s="113"/>
      <c r="F11" s="113"/>
      <c r="G11" s="113"/>
      <c r="H11" s="113"/>
      <c r="I11" s="113"/>
    </row>
    <row r="12" spans="2:34" ht="26.4" x14ac:dyDescent="0.3">
      <c r="B12" s="1" t="s">
        <v>29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35</v>
      </c>
      <c r="I12" s="1" t="s">
        <v>36</v>
      </c>
    </row>
    <row r="13" spans="2:34" x14ac:dyDescent="0.3">
      <c r="B13" s="23" t="s">
        <v>22</v>
      </c>
      <c r="C13" s="24">
        <f>C5</f>
        <v>0.25</v>
      </c>
      <c r="D13" s="24">
        <f>AVERAGE(F20:F34)</f>
        <v>3</v>
      </c>
      <c r="E13" s="25">
        <f>MAX(F20:F34)</f>
        <v>4</v>
      </c>
      <c r="F13" s="25">
        <f>MIN(F20:F34)</f>
        <v>2</v>
      </c>
      <c r="G13" s="26">
        <f>E13-F13</f>
        <v>2</v>
      </c>
      <c r="H13" s="27">
        <f>STDEV(F20:F34)</f>
        <v>0.53452248382484879</v>
      </c>
      <c r="I13" s="25">
        <f>COUNTIF(F20:F34,3)</f>
        <v>11</v>
      </c>
    </row>
    <row r="14" spans="2:34" x14ac:dyDescent="0.3">
      <c r="B14" s="23" t="s">
        <v>24</v>
      </c>
      <c r="C14" s="24">
        <f>C6</f>
        <v>0.4</v>
      </c>
      <c r="D14" s="24">
        <f>AVERAGE(G20:G34)</f>
        <v>2.8666666666666667</v>
      </c>
      <c r="E14" s="25">
        <f>MAX(G20:G34)</f>
        <v>4</v>
      </c>
      <c r="F14" s="25">
        <f>MIN(G20:G34)</f>
        <v>2</v>
      </c>
      <c r="G14" s="26">
        <f>E14-F14</f>
        <v>2</v>
      </c>
      <c r="H14" s="27">
        <f>STDEV(G20:G34)</f>
        <v>0.63994047342218441</v>
      </c>
      <c r="I14" s="25">
        <f>COUNTIF(G20:G34,3)</f>
        <v>9</v>
      </c>
    </row>
    <row r="15" spans="2:34" x14ac:dyDescent="0.3">
      <c r="B15" s="23" t="s">
        <v>26</v>
      </c>
      <c r="C15" s="24">
        <f>C7</f>
        <v>0.35</v>
      </c>
      <c r="D15" s="24">
        <f>AVERAGE(H20:H34)</f>
        <v>3</v>
      </c>
      <c r="E15" s="25">
        <f>MAX(H20:H34)</f>
        <v>4</v>
      </c>
      <c r="F15" s="25">
        <f>MIN(H20:H34)</f>
        <v>2</v>
      </c>
      <c r="G15" s="26">
        <f>E15-F15</f>
        <v>2</v>
      </c>
      <c r="H15" s="27">
        <f>STDEV(H20:H34)</f>
        <v>0.84515425472851657</v>
      </c>
      <c r="I15" s="25">
        <f>COUNTIF(H20:H34,3)</f>
        <v>5</v>
      </c>
    </row>
    <row r="18" spans="2:9" ht="15" customHeight="1" x14ac:dyDescent="0.3">
      <c r="B18" s="113" t="s">
        <v>37</v>
      </c>
      <c r="C18" s="113"/>
      <c r="D18" s="113"/>
      <c r="E18" s="113"/>
      <c r="F18" s="113"/>
      <c r="G18" s="113"/>
      <c r="H18" s="113"/>
      <c r="I18" s="113"/>
    </row>
    <row r="19" spans="2:9" ht="26.4" x14ac:dyDescent="0.3">
      <c r="B19" s="1" t="s">
        <v>38</v>
      </c>
      <c r="C19" s="1" t="s">
        <v>39</v>
      </c>
      <c r="D19" s="1" t="s">
        <v>40</v>
      </c>
      <c r="E19" s="1" t="s">
        <v>41</v>
      </c>
      <c r="F19" s="1" t="s">
        <v>22</v>
      </c>
      <c r="G19" s="1" t="s">
        <v>24</v>
      </c>
      <c r="H19" s="1" t="s">
        <v>26</v>
      </c>
      <c r="I19" s="1" t="s">
        <v>42</v>
      </c>
    </row>
    <row r="20" spans="2:9" x14ac:dyDescent="0.3">
      <c r="B20" s="23" t="s">
        <v>43</v>
      </c>
      <c r="C20" s="26">
        <f t="shared" ref="C20:C34" si="0">RANK(I20,$I$20:$I$34)</f>
        <v>1</v>
      </c>
      <c r="D20" s="25" t="s">
        <v>44</v>
      </c>
      <c r="E20" s="25" t="s">
        <v>45</v>
      </c>
      <c r="F20" s="25">
        <f>D5</f>
        <v>3</v>
      </c>
      <c r="G20" s="25">
        <f>D6</f>
        <v>4</v>
      </c>
      <c r="H20" s="25">
        <f>D7</f>
        <v>4</v>
      </c>
      <c r="I20" s="28">
        <f>E8</f>
        <v>3.75</v>
      </c>
    </row>
    <row r="21" spans="2:9" x14ac:dyDescent="0.3">
      <c r="B21" s="29" t="s">
        <v>46</v>
      </c>
      <c r="C21" s="26">
        <f t="shared" si="0"/>
        <v>8</v>
      </c>
      <c r="D21" s="25" t="s">
        <v>44</v>
      </c>
      <c r="E21" s="25" t="s">
        <v>47</v>
      </c>
      <c r="F21" s="25">
        <f>F5</f>
        <v>3</v>
      </c>
      <c r="G21" s="25">
        <f>F6</f>
        <v>2</v>
      </c>
      <c r="H21" s="25">
        <f>F7</f>
        <v>4</v>
      </c>
      <c r="I21" s="30">
        <f>G8</f>
        <v>2.95</v>
      </c>
    </row>
    <row r="22" spans="2:9" x14ac:dyDescent="0.3">
      <c r="B22" s="29" t="s">
        <v>48</v>
      </c>
      <c r="C22" s="26">
        <f t="shared" si="0"/>
        <v>2</v>
      </c>
      <c r="D22" s="25" t="s">
        <v>49</v>
      </c>
      <c r="E22" s="25" t="s">
        <v>47</v>
      </c>
      <c r="F22" s="25">
        <f>H5</f>
        <v>4</v>
      </c>
      <c r="G22" s="25">
        <f>H6</f>
        <v>3</v>
      </c>
      <c r="H22" s="25">
        <f>H7</f>
        <v>4</v>
      </c>
      <c r="I22" s="31">
        <f>I8</f>
        <v>3.6</v>
      </c>
    </row>
    <row r="23" spans="2:9" x14ac:dyDescent="0.3">
      <c r="B23" s="29" t="s">
        <v>50</v>
      </c>
      <c r="C23" s="26">
        <f t="shared" si="0"/>
        <v>8</v>
      </c>
      <c r="D23" s="25" t="s">
        <v>44</v>
      </c>
      <c r="E23" s="25" t="s">
        <v>47</v>
      </c>
      <c r="F23" s="25">
        <f>J5</f>
        <v>3</v>
      </c>
      <c r="G23" s="25">
        <f>J6</f>
        <v>2</v>
      </c>
      <c r="H23" s="25">
        <f>J7</f>
        <v>4</v>
      </c>
      <c r="I23" s="32">
        <f>K8</f>
        <v>2.95</v>
      </c>
    </row>
    <row r="24" spans="2:9" x14ac:dyDescent="0.3">
      <c r="B24" s="29" t="s">
        <v>51</v>
      </c>
      <c r="C24" s="26">
        <f t="shared" si="0"/>
        <v>3</v>
      </c>
      <c r="D24" s="25" t="s">
        <v>44</v>
      </c>
      <c r="E24" s="25" t="s">
        <v>45</v>
      </c>
      <c r="F24" s="25">
        <f>L5</f>
        <v>3</v>
      </c>
      <c r="G24" s="25">
        <f>L6</f>
        <v>3</v>
      </c>
      <c r="H24" s="25">
        <f>L7</f>
        <v>4</v>
      </c>
      <c r="I24" s="33">
        <f>M8</f>
        <v>3.35</v>
      </c>
    </row>
    <row r="25" spans="2:9" x14ac:dyDescent="0.3">
      <c r="B25" s="29" t="s">
        <v>52</v>
      </c>
      <c r="C25" s="26">
        <f t="shared" si="0"/>
        <v>6</v>
      </c>
      <c r="D25" s="25" t="s">
        <v>44</v>
      </c>
      <c r="E25" s="25" t="s">
        <v>45</v>
      </c>
      <c r="F25" s="25">
        <f>N5</f>
        <v>3</v>
      </c>
      <c r="G25" s="25">
        <f>N6</f>
        <v>3</v>
      </c>
      <c r="H25" s="25">
        <f>N7</f>
        <v>3</v>
      </c>
      <c r="I25" s="34">
        <f>O8</f>
        <v>3</v>
      </c>
    </row>
    <row r="26" spans="2:9" x14ac:dyDescent="0.3">
      <c r="B26" s="29" t="s">
        <v>53</v>
      </c>
      <c r="C26" s="26">
        <f t="shared" si="0"/>
        <v>6</v>
      </c>
      <c r="D26" s="25" t="s">
        <v>44</v>
      </c>
      <c r="E26" s="25" t="s">
        <v>45</v>
      </c>
      <c r="F26" s="25">
        <f>P5</f>
        <v>3</v>
      </c>
      <c r="G26" s="25">
        <f>P6</f>
        <v>3</v>
      </c>
      <c r="H26" s="25">
        <f>P7</f>
        <v>3</v>
      </c>
      <c r="I26" s="35">
        <f>Q8</f>
        <v>3</v>
      </c>
    </row>
    <row r="27" spans="2:9" x14ac:dyDescent="0.3">
      <c r="B27" s="29" t="s">
        <v>54</v>
      </c>
      <c r="C27" s="26">
        <f t="shared" si="0"/>
        <v>10</v>
      </c>
      <c r="D27" s="25" t="s">
        <v>44</v>
      </c>
      <c r="E27" s="25" t="s">
        <v>45</v>
      </c>
      <c r="F27" s="25">
        <f>R5</f>
        <v>2</v>
      </c>
      <c r="G27" s="25">
        <f>R6</f>
        <v>3</v>
      </c>
      <c r="H27" s="25">
        <f>R7</f>
        <v>3</v>
      </c>
      <c r="I27" s="36">
        <f>S8</f>
        <v>2.75</v>
      </c>
    </row>
    <row r="28" spans="2:9" x14ac:dyDescent="0.3">
      <c r="B28" s="29" t="s">
        <v>55</v>
      </c>
      <c r="C28" s="26">
        <f t="shared" si="0"/>
        <v>4</v>
      </c>
      <c r="D28" s="25" t="s">
        <v>56</v>
      </c>
      <c r="E28" s="25" t="s">
        <v>45</v>
      </c>
      <c r="F28" s="25">
        <f>T5</f>
        <v>4</v>
      </c>
      <c r="G28" s="25">
        <f>T6</f>
        <v>3</v>
      </c>
      <c r="H28" s="25">
        <f>T7</f>
        <v>3</v>
      </c>
      <c r="I28" s="37">
        <f>U8</f>
        <v>3.25</v>
      </c>
    </row>
    <row r="29" spans="2:9" x14ac:dyDescent="0.3">
      <c r="B29" s="29" t="s">
        <v>57</v>
      </c>
      <c r="C29" s="26">
        <f t="shared" si="0"/>
        <v>11</v>
      </c>
      <c r="D29" s="25" t="s">
        <v>58</v>
      </c>
      <c r="E29" s="25" t="s">
        <v>45</v>
      </c>
      <c r="F29" s="25">
        <f>V5</f>
        <v>3</v>
      </c>
      <c r="G29" s="25">
        <f>V6</f>
        <v>3</v>
      </c>
      <c r="H29" s="25">
        <f>V7</f>
        <v>2</v>
      </c>
      <c r="I29" s="38">
        <f>W8</f>
        <v>2.6500000000000004</v>
      </c>
    </row>
    <row r="30" spans="2:9" x14ac:dyDescent="0.3">
      <c r="B30" s="29" t="s">
        <v>59</v>
      </c>
      <c r="C30" s="26">
        <f t="shared" si="0"/>
        <v>14</v>
      </c>
      <c r="D30" s="25" t="s">
        <v>60</v>
      </c>
      <c r="E30" s="25" t="s">
        <v>45</v>
      </c>
      <c r="F30" s="25">
        <f>X5</f>
        <v>3</v>
      </c>
      <c r="G30" s="25">
        <f>X6</f>
        <v>2</v>
      </c>
      <c r="H30" s="25">
        <f>X7</f>
        <v>3</v>
      </c>
      <c r="I30" s="39">
        <f>Y8</f>
        <v>2.5999999999999996</v>
      </c>
    </row>
    <row r="31" spans="2:9" x14ac:dyDescent="0.3">
      <c r="B31" s="29" t="s">
        <v>61</v>
      </c>
      <c r="C31" s="26">
        <f t="shared" si="0"/>
        <v>5</v>
      </c>
      <c r="D31" s="25" t="s">
        <v>62</v>
      </c>
      <c r="E31" s="25" t="s">
        <v>63</v>
      </c>
      <c r="F31" s="25">
        <f>Z5</f>
        <v>3</v>
      </c>
      <c r="G31" s="25">
        <f>Z6</f>
        <v>4</v>
      </c>
      <c r="H31" s="25">
        <f>Z7</f>
        <v>2</v>
      </c>
      <c r="I31" s="40">
        <f>AA8</f>
        <v>3.05</v>
      </c>
    </row>
    <row r="32" spans="2:9" x14ac:dyDescent="0.3">
      <c r="B32" s="29" t="s">
        <v>64</v>
      </c>
      <c r="C32" s="26">
        <f t="shared" si="0"/>
        <v>11</v>
      </c>
      <c r="D32" s="25" t="s">
        <v>62</v>
      </c>
      <c r="E32" s="25" t="s">
        <v>63</v>
      </c>
      <c r="F32" s="25">
        <f>AB5</f>
        <v>3</v>
      </c>
      <c r="G32" s="25">
        <f>AB6</f>
        <v>3</v>
      </c>
      <c r="H32" s="25">
        <f>AB7</f>
        <v>2</v>
      </c>
      <c r="I32" s="41">
        <f>AC8</f>
        <v>2.6500000000000004</v>
      </c>
    </row>
    <row r="33" spans="2:9" ht="26.4" x14ac:dyDescent="0.3">
      <c r="B33" s="29" t="s">
        <v>65</v>
      </c>
      <c r="C33" s="26">
        <f t="shared" si="0"/>
        <v>15</v>
      </c>
      <c r="D33" s="25" t="s">
        <v>66</v>
      </c>
      <c r="E33" s="25" t="s">
        <v>63</v>
      </c>
      <c r="F33" s="25">
        <f>AD5</f>
        <v>2</v>
      </c>
      <c r="G33" s="25">
        <f>AD6</f>
        <v>2</v>
      </c>
      <c r="H33" s="25">
        <f>AD7</f>
        <v>2</v>
      </c>
      <c r="I33" s="42">
        <f>AE8</f>
        <v>2</v>
      </c>
    </row>
    <row r="34" spans="2:9" x14ac:dyDescent="0.3">
      <c r="B34" s="29" t="s">
        <v>67</v>
      </c>
      <c r="C34" s="26">
        <f t="shared" si="0"/>
        <v>11</v>
      </c>
      <c r="D34" s="25" t="s">
        <v>68</v>
      </c>
      <c r="E34" s="25" t="s">
        <v>63</v>
      </c>
      <c r="F34" s="25">
        <f>AF5</f>
        <v>3</v>
      </c>
      <c r="G34" s="25">
        <f>AF6</f>
        <v>3</v>
      </c>
      <c r="H34" s="25">
        <f>AF7</f>
        <v>2</v>
      </c>
      <c r="I34" s="43">
        <f>AG8</f>
        <v>2.6500000000000004</v>
      </c>
    </row>
    <row r="37" spans="2:9" ht="15" customHeight="1" x14ac:dyDescent="0.3">
      <c r="B37" s="109"/>
      <c r="C37" s="109"/>
      <c r="D37" s="109"/>
      <c r="E37" s="109"/>
      <c r="F37" s="109"/>
      <c r="G37" s="109"/>
      <c r="H37" s="109"/>
      <c r="I37" s="109"/>
    </row>
    <row r="38" spans="2:9" x14ac:dyDescent="0.3">
      <c r="B38" s="46"/>
      <c r="C38" s="46"/>
      <c r="D38" s="46"/>
      <c r="E38" s="46"/>
      <c r="F38" s="46"/>
      <c r="G38" s="46"/>
      <c r="H38" s="46"/>
      <c r="I38" s="46"/>
    </row>
    <row r="39" spans="2:9" hidden="1" x14ac:dyDescent="0.3">
      <c r="B39" s="48"/>
      <c r="C39" s="49"/>
      <c r="D39" s="49"/>
      <c r="E39" s="49"/>
      <c r="F39" s="49"/>
      <c r="G39" s="49"/>
      <c r="H39" s="50"/>
      <c r="I39" s="51"/>
    </row>
    <row r="40" spans="2:9" hidden="1" x14ac:dyDescent="0.3">
      <c r="B40" s="47"/>
      <c r="C40" s="52"/>
      <c r="D40" s="53"/>
      <c r="E40" s="53"/>
      <c r="F40" s="53"/>
      <c r="G40" s="53"/>
      <c r="H40" s="53"/>
      <c r="I40" s="53"/>
    </row>
    <row r="41" spans="2:9" hidden="1" x14ac:dyDescent="0.3">
      <c r="B41" s="53"/>
      <c r="C41" s="53"/>
      <c r="D41" s="53"/>
      <c r="E41" s="53"/>
      <c r="F41" s="53"/>
      <c r="G41" s="53"/>
      <c r="H41" s="53"/>
      <c r="I41" s="53"/>
    </row>
    <row r="43" spans="2:9" ht="26.85" customHeight="1" x14ac:dyDescent="0.3">
      <c r="B43" s="110" t="s">
        <v>69</v>
      </c>
      <c r="C43" s="110"/>
      <c r="D43" s="110"/>
      <c r="E43" s="110"/>
      <c r="F43" s="110"/>
      <c r="G43" s="110"/>
      <c r="H43" s="110"/>
      <c r="I43" s="110"/>
    </row>
    <row r="44" spans="2:9" ht="19.5" customHeight="1" x14ac:dyDescent="0.3">
      <c r="B44" s="108" t="s">
        <v>70</v>
      </c>
      <c r="C44" s="108"/>
      <c r="D44" s="108"/>
      <c r="E44" s="108"/>
      <c r="F44" s="108"/>
      <c r="G44" s="108"/>
      <c r="H44" s="108"/>
      <c r="I44" s="108"/>
    </row>
    <row r="45" spans="2:9" ht="91.5" customHeight="1" x14ac:dyDescent="0.3">
      <c r="B45" s="107" t="s">
        <v>259</v>
      </c>
      <c r="C45" s="107"/>
      <c r="D45" s="107"/>
      <c r="E45" s="107"/>
      <c r="F45" s="107"/>
      <c r="G45" s="107"/>
      <c r="H45" s="107"/>
      <c r="I45" s="107"/>
    </row>
    <row r="46" spans="2:9" ht="19.5" customHeight="1" x14ac:dyDescent="0.3">
      <c r="B46" s="108" t="s">
        <v>71</v>
      </c>
      <c r="C46" s="108"/>
      <c r="D46" s="108"/>
      <c r="E46" s="108"/>
      <c r="F46" s="108"/>
      <c r="G46" s="108"/>
      <c r="H46" s="108"/>
      <c r="I46" s="108"/>
    </row>
    <row r="47" spans="2:9" ht="91.5" customHeight="1" x14ac:dyDescent="0.3">
      <c r="B47" s="107" t="s">
        <v>260</v>
      </c>
      <c r="C47" s="107"/>
      <c r="D47" s="107"/>
      <c r="E47" s="107"/>
      <c r="F47" s="107"/>
      <c r="G47" s="107"/>
      <c r="H47" s="107"/>
      <c r="I47" s="107"/>
    </row>
    <row r="48" spans="2:9" ht="19.5" customHeight="1" x14ac:dyDescent="0.3">
      <c r="B48" s="108" t="s">
        <v>72</v>
      </c>
      <c r="C48" s="108"/>
      <c r="D48" s="108"/>
      <c r="E48" s="108"/>
      <c r="F48" s="108"/>
      <c r="G48" s="108"/>
      <c r="H48" s="108"/>
      <c r="I48" s="108"/>
    </row>
    <row r="49" spans="2:9" ht="91.5" customHeight="1" x14ac:dyDescent="0.3">
      <c r="B49" s="107" t="s">
        <v>261</v>
      </c>
      <c r="C49" s="107"/>
      <c r="D49" s="107"/>
      <c r="E49" s="107"/>
      <c r="F49" s="107"/>
      <c r="G49" s="107"/>
      <c r="H49" s="107"/>
      <c r="I49" s="107"/>
    </row>
    <row r="50" spans="2:9" ht="19.5" customHeight="1" x14ac:dyDescent="0.3">
      <c r="B50" s="108" t="s">
        <v>73</v>
      </c>
      <c r="C50" s="108"/>
      <c r="D50" s="108"/>
      <c r="E50" s="108"/>
      <c r="F50" s="108"/>
      <c r="G50" s="108"/>
      <c r="H50" s="108"/>
      <c r="I50" s="108"/>
    </row>
    <row r="51" spans="2:9" ht="91.5" customHeight="1" x14ac:dyDescent="0.3">
      <c r="B51" s="107" t="s">
        <v>74</v>
      </c>
      <c r="C51" s="107"/>
      <c r="D51" s="107"/>
      <c r="E51" s="107"/>
      <c r="F51" s="107"/>
      <c r="G51" s="107"/>
      <c r="H51" s="107"/>
      <c r="I51" s="107"/>
    </row>
  </sheetData>
  <mergeCells count="31">
    <mergeCell ref="B2:AH2"/>
    <mergeCell ref="B3:B4"/>
    <mergeCell ref="C3:C4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B9:T9"/>
    <mergeCell ref="B11:I11"/>
    <mergeCell ref="B18:I18"/>
    <mergeCell ref="B37:I37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</mergeCells>
  <pageMargins left="0.75" right="0.75" top="1" bottom="1" header="0.511811023622047" footer="0.511811023622047"/>
  <pageSetup fitToHeight="0" orientation="landscape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2"/>
  <sheetViews>
    <sheetView showGridLines="0" zoomScaleNormal="100" workbookViewId="0">
      <selection activeCell="O11" sqref="O11"/>
    </sheetView>
  </sheetViews>
  <sheetFormatPr baseColWidth="10" defaultColWidth="8.6640625" defaultRowHeight="14.4" x14ac:dyDescent="0.3"/>
  <cols>
    <col min="1" max="1" width="2" customWidth="1"/>
    <col min="2" max="2" width="44" customWidth="1"/>
    <col min="3" max="3" width="16" customWidth="1"/>
    <col min="4" max="4" width="12" customWidth="1"/>
    <col min="5" max="6" width="13" customWidth="1"/>
    <col min="7" max="8" width="15" customWidth="1"/>
    <col min="9" max="9" width="13" customWidth="1"/>
    <col min="10" max="11" width="14" customWidth="1"/>
    <col min="13" max="13" width="32" bestFit="1" customWidth="1"/>
    <col min="14" max="14" width="13" bestFit="1" customWidth="1"/>
    <col min="15" max="15" width="12.33203125" bestFit="1" customWidth="1"/>
    <col min="16" max="16" width="7" bestFit="1" customWidth="1"/>
  </cols>
  <sheetData>
    <row r="1" spans="2:11" ht="33.75" customHeight="1" x14ac:dyDescent="0.3">
      <c r="B1" s="116" t="s">
        <v>75</v>
      </c>
      <c r="C1" s="116"/>
      <c r="D1" s="116"/>
      <c r="E1" s="116"/>
      <c r="F1" s="116"/>
      <c r="G1" s="116"/>
      <c r="H1" s="116"/>
      <c r="I1" s="116"/>
      <c r="J1" s="116"/>
      <c r="K1" s="116"/>
    </row>
    <row r="2" spans="2:11" ht="31.5" customHeight="1" x14ac:dyDescent="0.3"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2:11" ht="48" customHeight="1" x14ac:dyDescent="0.3">
      <c r="B3" s="54" t="s">
        <v>76</v>
      </c>
      <c r="C3" s="55" t="s">
        <v>77</v>
      </c>
      <c r="D3" s="55" t="s">
        <v>78</v>
      </c>
      <c r="E3" s="55" t="s">
        <v>79</v>
      </c>
      <c r="F3" s="55" t="s">
        <v>80</v>
      </c>
      <c r="G3" s="55" t="s">
        <v>81</v>
      </c>
      <c r="H3" s="55" t="s">
        <v>82</v>
      </c>
      <c r="I3" s="55" t="s">
        <v>83</v>
      </c>
      <c r="J3" s="55" t="s">
        <v>84</v>
      </c>
      <c r="K3" s="55" t="s">
        <v>85</v>
      </c>
    </row>
    <row r="4" spans="2:11" x14ac:dyDescent="0.3">
      <c r="B4" s="56" t="s">
        <v>86</v>
      </c>
      <c r="C4" s="103"/>
      <c r="D4" s="103"/>
      <c r="E4" s="103"/>
      <c r="F4" s="103"/>
      <c r="G4" s="103"/>
      <c r="H4" s="103"/>
      <c r="I4" s="103"/>
      <c r="J4" s="103"/>
      <c r="K4" s="103"/>
    </row>
    <row r="5" spans="2:11" x14ac:dyDescent="0.3">
      <c r="B5" s="57" t="s">
        <v>87</v>
      </c>
      <c r="C5" s="58">
        <f>'Punto de Equilibrio'!$C$50</f>
        <v>3.7586744393487526E-2</v>
      </c>
      <c r="D5" s="104">
        <f t="shared" ref="D5:D21" si="0">C5/$H$5</f>
        <v>1.4290722731968721E-5</v>
      </c>
      <c r="E5" s="59">
        <f>MAX(C5:C20)</f>
        <v>71.5</v>
      </c>
      <c r="F5" s="60">
        <f>E5/H5</f>
        <v>2.7184761325399695E-2</v>
      </c>
      <c r="G5" s="105">
        <f>250+950+1300</f>
        <v>2500</v>
      </c>
      <c r="H5" s="105">
        <f>250*(1+5.5%)+950*(1+5%)+1300*(1+5.3%)</f>
        <v>2630.1499999999996</v>
      </c>
      <c r="I5" s="102">
        <f t="shared" ref="I5:I20" si="1">($H$5-$G$5)/$G$5</f>
        <v>5.2059999999999856E-2</v>
      </c>
      <c r="J5" s="62">
        <f t="shared" ref="J5:J20" si="2">IF(C5=MAX($C$5:$C$20),C5/LARGE($C$5:$C$20,2),C5/MAX($C$5:$C$20))</f>
        <v>5.2568873277604932E-4</v>
      </c>
      <c r="K5" s="63" t="str">
        <f t="shared" ref="K5:K20" si="3">IF(I5&gt;=0.1,IF(J5&gt;=1,"Estrella","Interrogante"),IF(J5&gt;=1,"Vaca","Perro"))</f>
        <v>Perro</v>
      </c>
    </row>
    <row r="6" spans="2:11" ht="26.4" x14ac:dyDescent="0.3">
      <c r="B6" s="64" t="s">
        <v>43</v>
      </c>
      <c r="C6" s="59">
        <v>71.5</v>
      </c>
      <c r="D6" s="60">
        <f t="shared" si="0"/>
        <v>2.7184761325399695E-2</v>
      </c>
      <c r="E6" s="106"/>
      <c r="F6" s="106"/>
      <c r="G6" s="106"/>
      <c r="H6" s="106"/>
      <c r="I6" s="102">
        <f t="shared" si="1"/>
        <v>5.2059999999999856E-2</v>
      </c>
      <c r="J6" s="62">
        <f t="shared" si="2"/>
        <v>1.5543478260869565</v>
      </c>
      <c r="K6" s="63" t="str">
        <f t="shared" si="3"/>
        <v>Vaca</v>
      </c>
    </row>
    <row r="7" spans="2:11" x14ac:dyDescent="0.3">
      <c r="B7" s="64" t="s">
        <v>46</v>
      </c>
      <c r="C7" s="59">
        <v>6.8</v>
      </c>
      <c r="D7" s="60">
        <f t="shared" si="0"/>
        <v>2.585403874303747E-3</v>
      </c>
      <c r="E7" s="106"/>
      <c r="F7" s="106"/>
      <c r="G7" s="106"/>
      <c r="H7" s="106"/>
      <c r="I7" s="102">
        <f t="shared" si="1"/>
        <v>5.2059999999999856E-2</v>
      </c>
      <c r="J7" s="62">
        <f t="shared" si="2"/>
        <v>9.5104895104895101E-2</v>
      </c>
      <c r="K7" s="63" t="str">
        <f t="shared" si="3"/>
        <v>Perro</v>
      </c>
    </row>
    <row r="8" spans="2:11" x14ac:dyDescent="0.3">
      <c r="B8" s="64" t="s">
        <v>48</v>
      </c>
      <c r="C8" s="59">
        <v>32</v>
      </c>
      <c r="D8" s="60">
        <f t="shared" si="0"/>
        <v>1.2166606467311752E-2</v>
      </c>
      <c r="E8" s="106"/>
      <c r="F8" s="106"/>
      <c r="G8" s="106"/>
      <c r="H8" s="106"/>
      <c r="I8" s="102">
        <f t="shared" si="1"/>
        <v>5.2059999999999856E-2</v>
      </c>
      <c r="J8" s="62">
        <f t="shared" si="2"/>
        <v>0.44755244755244755</v>
      </c>
      <c r="K8" s="63" t="str">
        <f t="shared" si="3"/>
        <v>Perro</v>
      </c>
    </row>
    <row r="9" spans="2:11" x14ac:dyDescent="0.3">
      <c r="B9" s="64" t="s">
        <v>50</v>
      </c>
      <c r="C9" s="59">
        <v>26.5</v>
      </c>
      <c r="D9" s="60">
        <f t="shared" si="0"/>
        <v>1.0075470980742544E-2</v>
      </c>
      <c r="E9" s="106"/>
      <c r="F9" s="106"/>
      <c r="G9" s="106"/>
      <c r="H9" s="106"/>
      <c r="I9" s="102">
        <f t="shared" si="1"/>
        <v>5.2059999999999856E-2</v>
      </c>
      <c r="J9" s="62">
        <f t="shared" si="2"/>
        <v>0.37062937062937062</v>
      </c>
      <c r="K9" s="63" t="str">
        <f t="shared" si="3"/>
        <v>Perro</v>
      </c>
    </row>
    <row r="10" spans="2:11" x14ac:dyDescent="0.3">
      <c r="B10" s="64" t="s">
        <v>51</v>
      </c>
      <c r="C10" s="59">
        <v>30.5</v>
      </c>
      <c r="D10" s="60">
        <f t="shared" si="0"/>
        <v>1.1596296789156513E-2</v>
      </c>
      <c r="E10" s="106"/>
      <c r="F10" s="106"/>
      <c r="G10" s="106"/>
      <c r="H10" s="106"/>
      <c r="I10" s="102">
        <f t="shared" si="1"/>
        <v>5.2059999999999856E-2</v>
      </c>
      <c r="J10" s="62">
        <f t="shared" si="2"/>
        <v>0.42657342657342656</v>
      </c>
      <c r="K10" s="63" t="str">
        <f t="shared" si="3"/>
        <v>Perro</v>
      </c>
    </row>
    <row r="11" spans="2:11" ht="26.4" x14ac:dyDescent="0.3">
      <c r="B11" s="64" t="s">
        <v>52</v>
      </c>
      <c r="C11" s="59">
        <v>31.5</v>
      </c>
      <c r="D11" s="60">
        <f t="shared" si="0"/>
        <v>1.1976503241260006E-2</v>
      </c>
      <c r="E11" s="106"/>
      <c r="F11" s="106"/>
      <c r="G11" s="106"/>
      <c r="H11" s="106"/>
      <c r="I11" s="102">
        <f t="shared" si="1"/>
        <v>5.2059999999999856E-2</v>
      </c>
      <c r="J11" s="62">
        <f t="shared" si="2"/>
        <v>0.44055944055944057</v>
      </c>
      <c r="K11" s="63" t="str">
        <f t="shared" si="3"/>
        <v>Perro</v>
      </c>
    </row>
    <row r="12" spans="2:11" x14ac:dyDescent="0.3">
      <c r="B12" s="64" t="s">
        <v>53</v>
      </c>
      <c r="C12" s="59">
        <v>46</v>
      </c>
      <c r="D12" s="60">
        <f t="shared" si="0"/>
        <v>1.7489496796760644E-2</v>
      </c>
      <c r="E12" s="106"/>
      <c r="F12" s="106"/>
      <c r="G12" s="106"/>
      <c r="H12" s="106"/>
      <c r="I12" s="102">
        <f t="shared" si="1"/>
        <v>5.2059999999999856E-2</v>
      </c>
      <c r="J12" s="62">
        <f t="shared" si="2"/>
        <v>0.64335664335664333</v>
      </c>
      <c r="K12" s="63" t="str">
        <f t="shared" si="3"/>
        <v>Perro</v>
      </c>
    </row>
    <row r="13" spans="2:11" x14ac:dyDescent="0.3">
      <c r="B13" s="64" t="s">
        <v>54</v>
      </c>
      <c r="C13" s="59">
        <v>45.5</v>
      </c>
      <c r="D13" s="60">
        <f t="shared" si="0"/>
        <v>1.7299393570708897E-2</v>
      </c>
      <c r="E13" s="106"/>
      <c r="F13" s="106"/>
      <c r="G13" s="106"/>
      <c r="H13" s="106"/>
      <c r="I13" s="102">
        <f t="shared" si="1"/>
        <v>5.2059999999999856E-2</v>
      </c>
      <c r="J13" s="62">
        <f t="shared" si="2"/>
        <v>0.63636363636363635</v>
      </c>
      <c r="K13" s="63" t="str">
        <f t="shared" si="3"/>
        <v>Perro</v>
      </c>
    </row>
    <row r="14" spans="2:11" x14ac:dyDescent="0.3">
      <c r="B14" s="64" t="s">
        <v>55</v>
      </c>
      <c r="C14" s="59">
        <v>20</v>
      </c>
      <c r="D14" s="60">
        <f t="shared" si="0"/>
        <v>7.6041290420698453E-3</v>
      </c>
      <c r="E14" s="106"/>
      <c r="F14" s="106"/>
      <c r="G14" s="106"/>
      <c r="H14" s="106"/>
      <c r="I14" s="102">
        <f t="shared" si="1"/>
        <v>5.2059999999999856E-2</v>
      </c>
      <c r="J14" s="62">
        <f t="shared" si="2"/>
        <v>0.27972027972027974</v>
      </c>
      <c r="K14" s="63" t="str">
        <f t="shared" si="3"/>
        <v>Perro</v>
      </c>
    </row>
    <row r="15" spans="2:11" x14ac:dyDescent="0.3">
      <c r="B15" s="64" t="s">
        <v>57</v>
      </c>
      <c r="C15" s="59">
        <v>7.8</v>
      </c>
      <c r="D15" s="60">
        <f t="shared" si="0"/>
        <v>2.9656103264072394E-3</v>
      </c>
      <c r="E15" s="106"/>
      <c r="F15" s="106"/>
      <c r="G15" s="106"/>
      <c r="H15" s="106"/>
      <c r="I15" s="102">
        <f t="shared" si="1"/>
        <v>5.2059999999999856E-2</v>
      </c>
      <c r="J15" s="62">
        <f t="shared" si="2"/>
        <v>0.10909090909090909</v>
      </c>
      <c r="K15" s="63" t="str">
        <f t="shared" si="3"/>
        <v>Perro</v>
      </c>
    </row>
    <row r="16" spans="2:11" x14ac:dyDescent="0.3">
      <c r="B16" s="64" t="s">
        <v>59</v>
      </c>
      <c r="C16" s="59">
        <v>18.2</v>
      </c>
      <c r="D16" s="60">
        <f t="shared" si="0"/>
        <v>6.9197574282835583E-3</v>
      </c>
      <c r="E16" s="106"/>
      <c r="F16" s="106"/>
      <c r="G16" s="106"/>
      <c r="H16" s="106"/>
      <c r="I16" s="102">
        <f t="shared" si="1"/>
        <v>5.2059999999999856E-2</v>
      </c>
      <c r="J16" s="62">
        <f t="shared" si="2"/>
        <v>0.25454545454545452</v>
      </c>
      <c r="K16" s="63" t="str">
        <f t="shared" si="3"/>
        <v>Perro</v>
      </c>
    </row>
    <row r="17" spans="2:16" x14ac:dyDescent="0.3">
      <c r="B17" s="64" t="s">
        <v>61</v>
      </c>
      <c r="C17" s="59">
        <v>11</v>
      </c>
      <c r="D17" s="60">
        <f t="shared" si="0"/>
        <v>4.1822709731384146E-3</v>
      </c>
      <c r="E17" s="106"/>
      <c r="F17" s="106"/>
      <c r="G17" s="106"/>
      <c r="H17" s="106"/>
      <c r="I17" s="102">
        <f t="shared" si="1"/>
        <v>5.2059999999999856E-2</v>
      </c>
      <c r="J17" s="62">
        <f t="shared" si="2"/>
        <v>0.15384615384615385</v>
      </c>
      <c r="K17" s="63" t="str">
        <f t="shared" si="3"/>
        <v>Perro</v>
      </c>
    </row>
    <row r="18" spans="2:16" x14ac:dyDescent="0.3">
      <c r="B18" s="64" t="s">
        <v>64</v>
      </c>
      <c r="C18" s="59">
        <v>10</v>
      </c>
      <c r="D18" s="60">
        <f t="shared" si="0"/>
        <v>3.8020645210349226E-3</v>
      </c>
      <c r="E18" s="106"/>
      <c r="F18" s="106"/>
      <c r="G18" s="106"/>
      <c r="H18" s="106"/>
      <c r="I18" s="102">
        <f t="shared" si="1"/>
        <v>5.2059999999999856E-2</v>
      </c>
      <c r="J18" s="62">
        <f t="shared" si="2"/>
        <v>0.13986013986013987</v>
      </c>
      <c r="K18" s="63" t="str">
        <f t="shared" si="3"/>
        <v>Perro</v>
      </c>
    </row>
    <row r="19" spans="2:16" x14ac:dyDescent="0.3">
      <c r="B19" s="64" t="s">
        <v>65</v>
      </c>
      <c r="C19" s="59">
        <v>13</v>
      </c>
      <c r="D19" s="60">
        <f t="shared" si="0"/>
        <v>4.9426838773453993E-3</v>
      </c>
      <c r="E19" s="106"/>
      <c r="F19" s="106"/>
      <c r="G19" s="106"/>
      <c r="H19" s="106"/>
      <c r="I19" s="102">
        <f t="shared" si="1"/>
        <v>5.2059999999999856E-2</v>
      </c>
      <c r="J19" s="62">
        <f t="shared" si="2"/>
        <v>0.18181818181818182</v>
      </c>
      <c r="K19" s="63" t="str">
        <f t="shared" si="3"/>
        <v>Perro</v>
      </c>
    </row>
    <row r="20" spans="2:16" x14ac:dyDescent="0.3">
      <c r="B20" s="64" t="s">
        <v>67</v>
      </c>
      <c r="C20" s="59">
        <v>0.3</v>
      </c>
      <c r="D20" s="60">
        <f t="shared" si="0"/>
        <v>1.1406193563104767E-4</v>
      </c>
      <c r="E20" s="106"/>
      <c r="F20" s="106"/>
      <c r="G20" s="106"/>
      <c r="H20" s="106"/>
      <c r="I20" s="102">
        <f t="shared" si="1"/>
        <v>5.2059999999999856E-2</v>
      </c>
      <c r="J20" s="62">
        <f t="shared" si="2"/>
        <v>4.1958041958041958E-3</v>
      </c>
      <c r="K20" s="63" t="str">
        <f t="shared" si="3"/>
        <v>Perro</v>
      </c>
    </row>
    <row r="21" spans="2:16" x14ac:dyDescent="0.3">
      <c r="B21" s="66" t="s">
        <v>88</v>
      </c>
      <c r="C21" s="67">
        <f>SUM(C5:C20)</f>
        <v>370.6375867443935</v>
      </c>
      <c r="D21" s="68">
        <f t="shared" si="0"/>
        <v>0.1409188018722862</v>
      </c>
      <c r="E21" s="69"/>
      <c r="F21" s="69"/>
      <c r="G21" s="69"/>
      <c r="H21" s="69"/>
      <c r="I21" s="69"/>
      <c r="J21" s="69"/>
      <c r="K21" s="69"/>
    </row>
    <row r="22" spans="2:16" ht="30" customHeight="1" x14ac:dyDescent="0.3">
      <c r="B22" s="118" t="s">
        <v>89</v>
      </c>
      <c r="C22" s="119"/>
      <c r="D22" s="119"/>
      <c r="E22" s="119"/>
      <c r="F22" s="119"/>
      <c r="G22" s="119"/>
      <c r="H22" s="119"/>
      <c r="I22" s="119"/>
      <c r="J22" s="119"/>
      <c r="K22" s="119"/>
    </row>
    <row r="24" spans="2:16" ht="15" customHeight="1" x14ac:dyDescent="0.3">
      <c r="B24" s="120" t="s">
        <v>90</v>
      </c>
      <c r="C24" s="120"/>
      <c r="D24" s="120"/>
      <c r="E24" s="120"/>
      <c r="F24" s="120"/>
      <c r="G24" s="120"/>
      <c r="H24" s="120"/>
      <c r="I24" s="120"/>
      <c r="J24" s="120"/>
      <c r="K24" s="120"/>
    </row>
    <row r="25" spans="2:16" ht="79.5" customHeight="1" x14ac:dyDescent="0.3">
      <c r="B25" s="121" t="s">
        <v>91</v>
      </c>
      <c r="C25" s="121"/>
      <c r="D25" s="121"/>
      <c r="E25" s="121"/>
      <c r="F25" s="121"/>
      <c r="G25" s="121"/>
      <c r="H25" s="121"/>
      <c r="I25" s="121"/>
      <c r="J25" s="121"/>
      <c r="K25" s="121"/>
    </row>
    <row r="26" spans="2:16" ht="15" thickBot="1" x14ac:dyDescent="0.35"/>
    <row r="27" spans="2:16" x14ac:dyDescent="0.3">
      <c r="M27" s="70" t="s">
        <v>92</v>
      </c>
      <c r="N27" s="71"/>
      <c r="O27" s="71"/>
      <c r="P27" s="72"/>
    </row>
    <row r="28" spans="2:16" x14ac:dyDescent="0.3">
      <c r="M28" s="73" t="s">
        <v>93</v>
      </c>
      <c r="N28" s="74" t="s">
        <v>94</v>
      </c>
      <c r="O28" s="74" t="s">
        <v>95</v>
      </c>
      <c r="P28" s="75" t="s">
        <v>96</v>
      </c>
    </row>
    <row r="29" spans="2:16" x14ac:dyDescent="0.3">
      <c r="M29" s="76" t="s">
        <v>97</v>
      </c>
      <c r="N29" s="77">
        <v>3.16228</v>
      </c>
      <c r="O29" s="77">
        <v>0.17</v>
      </c>
      <c r="P29" s="78">
        <v>1.0000000000000001E-5</v>
      </c>
    </row>
    <row r="30" spans="2:16" x14ac:dyDescent="0.3">
      <c r="M30" s="76" t="s">
        <v>98</v>
      </c>
      <c r="N30" s="77">
        <v>0.01</v>
      </c>
      <c r="O30" s="77">
        <v>0.17</v>
      </c>
      <c r="P30" s="78">
        <v>1.0000000000000001E-5</v>
      </c>
    </row>
    <row r="31" spans="2:16" x14ac:dyDescent="0.3">
      <c r="M31" s="76" t="s">
        <v>99</v>
      </c>
      <c r="N31" s="77">
        <v>3.16228</v>
      </c>
      <c r="O31" s="77">
        <v>1.4999999999999999E-2</v>
      </c>
      <c r="P31" s="78">
        <v>1.0000000000000001E-5</v>
      </c>
    </row>
    <row r="32" spans="2:16" ht="15" thickBot="1" x14ac:dyDescent="0.35">
      <c r="M32" s="79" t="s">
        <v>100</v>
      </c>
      <c r="N32" s="80">
        <v>0.01</v>
      </c>
      <c r="O32" s="80">
        <v>1.4999999999999999E-2</v>
      </c>
      <c r="P32" s="81">
        <v>1.0000000000000001E-5</v>
      </c>
    </row>
  </sheetData>
  <mergeCells count="5">
    <mergeCell ref="B1:K1"/>
    <mergeCell ref="B2:K2"/>
    <mergeCell ref="B22:K22"/>
    <mergeCell ref="B24:K24"/>
    <mergeCell ref="B25:K25"/>
  </mergeCells>
  <pageMargins left="0.75" right="0.75" top="1" bottom="1" header="0.511811023622047" footer="0.511811023622047"/>
  <pageSetup fitToHeight="0" orientation="landscape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D66"/>
  <sheetViews>
    <sheetView showGridLines="0" topLeftCell="B1" zoomScaleNormal="100" workbookViewId="0">
      <selection activeCell="I31" sqref="I31"/>
    </sheetView>
  </sheetViews>
  <sheetFormatPr baseColWidth="10" defaultColWidth="8.6640625" defaultRowHeight="13.8" x14ac:dyDescent="0.25"/>
  <cols>
    <col min="1" max="1" width="2" style="82" customWidth="1"/>
    <col min="2" max="2" width="52" style="82" customWidth="1"/>
    <col min="3" max="3" width="18" style="82" customWidth="1"/>
    <col min="4" max="4" width="70" style="82" customWidth="1"/>
    <col min="5" max="16384" width="8.6640625" style="82"/>
  </cols>
  <sheetData>
    <row r="2" spans="2:4" ht="24.45" customHeight="1" x14ac:dyDescent="0.25">
      <c r="B2" s="122" t="s">
        <v>101</v>
      </c>
      <c r="C2" s="122"/>
      <c r="D2" s="122"/>
    </row>
    <row r="3" spans="2:4" ht="42" customHeight="1" x14ac:dyDescent="0.25">
      <c r="B3" s="117"/>
      <c r="C3" s="117"/>
      <c r="D3" s="117"/>
    </row>
    <row r="5" spans="2:4" ht="15" customHeight="1" x14ac:dyDescent="0.25">
      <c r="B5" s="120" t="s">
        <v>102</v>
      </c>
      <c r="C5" s="120"/>
      <c r="D5" s="120"/>
    </row>
    <row r="6" spans="2:4" x14ac:dyDescent="0.25">
      <c r="B6" s="84" t="s">
        <v>103</v>
      </c>
      <c r="C6" s="84" t="s">
        <v>104</v>
      </c>
      <c r="D6" s="84" t="s">
        <v>105</v>
      </c>
    </row>
    <row r="7" spans="2:4" x14ac:dyDescent="0.25">
      <c r="B7" s="65" t="s">
        <v>106</v>
      </c>
      <c r="C7" s="85">
        <v>1750905</v>
      </c>
      <c r="D7" s="83" t="s">
        <v>107</v>
      </c>
    </row>
    <row r="8" spans="2:4" x14ac:dyDescent="0.25">
      <c r="B8" s="65" t="s">
        <v>108</v>
      </c>
      <c r="C8" s="85">
        <v>249095</v>
      </c>
      <c r="D8" s="83" t="s">
        <v>108</v>
      </c>
    </row>
    <row r="9" spans="2:4" x14ac:dyDescent="0.25">
      <c r="B9" s="65" t="s">
        <v>109</v>
      </c>
      <c r="C9" s="86">
        <v>0.52</v>
      </c>
      <c r="D9" s="83" t="s">
        <v>110</v>
      </c>
    </row>
    <row r="10" spans="2:4" x14ac:dyDescent="0.25">
      <c r="B10" s="64" t="s">
        <v>111</v>
      </c>
      <c r="C10" s="87">
        <f>C7*(1+C9)+C8</f>
        <v>2910470.6</v>
      </c>
      <c r="D10" s="83" t="s">
        <v>112</v>
      </c>
    </row>
    <row r="12" spans="2:4" ht="15" customHeight="1" x14ac:dyDescent="0.25">
      <c r="B12" s="120" t="s">
        <v>113</v>
      </c>
      <c r="C12" s="120"/>
      <c r="D12" s="120"/>
    </row>
    <row r="13" spans="2:4" x14ac:dyDescent="0.25">
      <c r="B13" s="84" t="s">
        <v>103</v>
      </c>
      <c r="C13" s="84" t="s">
        <v>114</v>
      </c>
      <c r="D13" s="84" t="s">
        <v>115</v>
      </c>
    </row>
    <row r="14" spans="2:4" x14ac:dyDescent="0.25">
      <c r="B14" s="65" t="s">
        <v>116</v>
      </c>
      <c r="C14" s="85">
        <v>1000000</v>
      </c>
      <c r="D14" s="83" t="s">
        <v>117</v>
      </c>
    </row>
    <row r="15" spans="2:4" x14ac:dyDescent="0.25">
      <c r="B15" s="65" t="s">
        <v>118</v>
      </c>
      <c r="C15" s="85">
        <v>300000</v>
      </c>
      <c r="D15" s="83" t="s">
        <v>119</v>
      </c>
    </row>
    <row r="16" spans="2:4" x14ac:dyDescent="0.25">
      <c r="B16" s="65" t="s">
        <v>120</v>
      </c>
      <c r="C16" s="85">
        <f>C10</f>
        <v>2910470.6</v>
      </c>
      <c r="D16" s="83" t="s">
        <v>121</v>
      </c>
    </row>
    <row r="17" spans="2:4" ht="22.8" x14ac:dyDescent="0.25">
      <c r="B17" s="65" t="s">
        <v>122</v>
      </c>
      <c r="C17" s="85">
        <f>9600000/36</f>
        <v>266666.66666666669</v>
      </c>
      <c r="D17" s="83" t="s">
        <v>123</v>
      </c>
    </row>
    <row r="18" spans="2:4" x14ac:dyDescent="0.25">
      <c r="B18" s="65" t="s">
        <v>124</v>
      </c>
      <c r="C18" s="85">
        <v>400000</v>
      </c>
      <c r="D18" s="83" t="s">
        <v>125</v>
      </c>
    </row>
    <row r="19" spans="2:4" x14ac:dyDescent="0.25">
      <c r="B19" s="65" t="s">
        <v>126</v>
      </c>
      <c r="C19" s="85">
        <v>120000</v>
      </c>
      <c r="D19" s="83"/>
    </row>
    <row r="20" spans="2:4" x14ac:dyDescent="0.25">
      <c r="B20" s="65" t="s">
        <v>127</v>
      </c>
      <c r="C20" s="85">
        <v>250000</v>
      </c>
      <c r="D20" s="83" t="s">
        <v>128</v>
      </c>
    </row>
    <row r="21" spans="2:4" x14ac:dyDescent="0.25">
      <c r="B21" s="57" t="s">
        <v>129</v>
      </c>
      <c r="C21" s="88">
        <f>SUM(C14:C20)</f>
        <v>5247137.2666666666</v>
      </c>
      <c r="D21" s="89"/>
    </row>
    <row r="23" spans="2:4" ht="15" customHeight="1" x14ac:dyDescent="0.25">
      <c r="B23" s="120" t="s">
        <v>130</v>
      </c>
      <c r="C23" s="120"/>
      <c r="D23" s="120"/>
    </row>
    <row r="24" spans="2:4" x14ac:dyDescent="0.25">
      <c r="B24" s="84" t="s">
        <v>131</v>
      </c>
      <c r="C24" s="84" t="s">
        <v>132</v>
      </c>
      <c r="D24" s="84" t="s">
        <v>115</v>
      </c>
    </row>
    <row r="25" spans="2:4" x14ac:dyDescent="0.25">
      <c r="B25" s="65" t="s">
        <v>133</v>
      </c>
      <c r="C25" s="85">
        <v>3200</v>
      </c>
      <c r="D25" s="83" t="s">
        <v>134</v>
      </c>
    </row>
    <row r="26" spans="2:4" x14ac:dyDescent="0.25">
      <c r="B26" s="65" t="s">
        <v>135</v>
      </c>
      <c r="C26" s="85">
        <v>5800</v>
      </c>
      <c r="D26" s="83" t="s">
        <v>136</v>
      </c>
    </row>
    <row r="27" spans="2:4" x14ac:dyDescent="0.25">
      <c r="B27" s="65" t="s">
        <v>137</v>
      </c>
      <c r="C27" s="85">
        <v>2400</v>
      </c>
      <c r="D27" s="83"/>
    </row>
    <row r="28" spans="2:4" x14ac:dyDescent="0.25">
      <c r="B28" s="65" t="s">
        <v>138</v>
      </c>
      <c r="C28" s="85">
        <v>2900</v>
      </c>
      <c r="D28" s="83" t="s">
        <v>139</v>
      </c>
    </row>
    <row r="29" spans="2:4" x14ac:dyDescent="0.25">
      <c r="B29" s="65" t="s">
        <v>140</v>
      </c>
      <c r="C29" s="85">
        <v>1600</v>
      </c>
      <c r="D29" s="83" t="s">
        <v>141</v>
      </c>
    </row>
    <row r="30" spans="2:4" x14ac:dyDescent="0.25">
      <c r="B30" s="65" t="s">
        <v>142</v>
      </c>
      <c r="C30" s="85">
        <v>1400</v>
      </c>
      <c r="D30" s="83"/>
    </row>
    <row r="31" spans="2:4" x14ac:dyDescent="0.25">
      <c r="B31" s="65" t="s">
        <v>143</v>
      </c>
      <c r="C31" s="85">
        <v>600</v>
      </c>
      <c r="D31" s="83"/>
    </row>
    <row r="32" spans="2:4" x14ac:dyDescent="0.25">
      <c r="B32" s="65" t="s">
        <v>144</v>
      </c>
      <c r="C32" s="85">
        <v>1800</v>
      </c>
      <c r="D32" s="83" t="s">
        <v>145</v>
      </c>
    </row>
    <row r="33" spans="2:4" x14ac:dyDescent="0.25">
      <c r="B33" s="65" t="s">
        <v>146</v>
      </c>
      <c r="C33" s="85">
        <f>C37*C38</f>
        <v>4990</v>
      </c>
      <c r="D33" s="83" t="s">
        <v>147</v>
      </c>
    </row>
    <row r="34" spans="2:4" x14ac:dyDescent="0.25">
      <c r="B34" s="57" t="s">
        <v>148</v>
      </c>
      <c r="C34" s="88">
        <f>SUM(C25:C33)</f>
        <v>24690</v>
      </c>
      <c r="D34" s="89"/>
    </row>
    <row r="36" spans="2:4" ht="15" customHeight="1" x14ac:dyDescent="0.25">
      <c r="B36" s="120" t="s">
        <v>149</v>
      </c>
      <c r="C36" s="120"/>
      <c r="D36" s="120"/>
    </row>
    <row r="37" spans="2:4" ht="22.8" x14ac:dyDescent="0.25">
      <c r="B37" s="64" t="s">
        <v>150</v>
      </c>
      <c r="C37" s="87">
        <v>49900</v>
      </c>
      <c r="D37" s="83" t="s">
        <v>151</v>
      </c>
    </row>
    <row r="38" spans="2:4" x14ac:dyDescent="0.25">
      <c r="B38" s="65" t="s">
        <v>152</v>
      </c>
      <c r="C38" s="86">
        <v>0.1</v>
      </c>
      <c r="D38" s="83" t="s">
        <v>153</v>
      </c>
    </row>
    <row r="40" spans="2:4" ht="15" customHeight="1" x14ac:dyDescent="0.25">
      <c r="B40" s="120" t="s">
        <v>154</v>
      </c>
      <c r="C40" s="120"/>
      <c r="D40" s="120"/>
    </row>
    <row r="41" spans="2:4" x14ac:dyDescent="0.25">
      <c r="B41" s="84" t="s">
        <v>155</v>
      </c>
      <c r="C41" s="84" t="s">
        <v>156</v>
      </c>
      <c r="D41" s="84" t="s">
        <v>157</v>
      </c>
    </row>
    <row r="42" spans="2:4" x14ac:dyDescent="0.25">
      <c r="B42" s="65" t="s">
        <v>158</v>
      </c>
      <c r="C42" s="85">
        <f>C37-C34</f>
        <v>25210</v>
      </c>
      <c r="D42" s="83" t="s">
        <v>159</v>
      </c>
    </row>
    <row r="43" spans="2:4" x14ac:dyDescent="0.25">
      <c r="B43" s="65" t="s">
        <v>160</v>
      </c>
      <c r="C43" s="61">
        <f>C42/C37</f>
        <v>0.50521042084168333</v>
      </c>
      <c r="D43" s="83" t="s">
        <v>161</v>
      </c>
    </row>
    <row r="44" spans="2:4" x14ac:dyDescent="0.25">
      <c r="B44" s="90" t="s">
        <v>162</v>
      </c>
      <c r="C44" s="91">
        <f>ROUNDUP(C21/C42,0)</f>
        <v>209</v>
      </c>
      <c r="D44" s="83" t="s">
        <v>163</v>
      </c>
    </row>
    <row r="45" spans="2:4" x14ac:dyDescent="0.25">
      <c r="B45" s="65" t="s">
        <v>164</v>
      </c>
      <c r="C45" s="92">
        <f>C44*12</f>
        <v>2508</v>
      </c>
      <c r="D45" s="83" t="s">
        <v>165</v>
      </c>
    </row>
    <row r="46" spans="2:4" x14ac:dyDescent="0.25">
      <c r="B46" s="65" t="s">
        <v>166</v>
      </c>
      <c r="C46" s="85">
        <f>C44*C37</f>
        <v>10429100</v>
      </c>
      <c r="D46" s="83" t="s">
        <v>167</v>
      </c>
    </row>
    <row r="47" spans="2:4" x14ac:dyDescent="0.25">
      <c r="B47" s="90" t="s">
        <v>168</v>
      </c>
      <c r="C47" s="93">
        <f>C46*12</f>
        <v>125149200</v>
      </c>
      <c r="D47" s="83" t="s">
        <v>169</v>
      </c>
    </row>
    <row r="48" spans="2:4" x14ac:dyDescent="0.25">
      <c r="B48" s="65" t="s">
        <v>170</v>
      </c>
      <c r="C48" s="94">
        <v>3329.61</v>
      </c>
      <c r="D48" s="83" t="s">
        <v>171</v>
      </c>
    </row>
    <row r="49" spans="2:4" x14ac:dyDescent="0.25">
      <c r="B49" s="65" t="s">
        <v>172</v>
      </c>
      <c r="C49" s="85">
        <f>C47/C48</f>
        <v>37586.744393487526</v>
      </c>
      <c r="D49" s="83" t="s">
        <v>173</v>
      </c>
    </row>
    <row r="50" spans="2:4" x14ac:dyDescent="0.25">
      <c r="B50" s="90" t="s">
        <v>174</v>
      </c>
      <c r="C50" s="95">
        <f>C49/1000000</f>
        <v>3.7586744393487526E-2</v>
      </c>
      <c r="D50" s="83" t="s">
        <v>175</v>
      </c>
    </row>
    <row r="51" spans="2:4" x14ac:dyDescent="0.25">
      <c r="B51" s="65" t="s">
        <v>176</v>
      </c>
      <c r="C51" s="85">
        <f>C44*C42-C21</f>
        <v>21752.733333333395</v>
      </c>
      <c r="D51" s="83" t="s">
        <v>177</v>
      </c>
    </row>
    <row r="54" spans="2:4" ht="15" customHeight="1" x14ac:dyDescent="0.25">
      <c r="B54" s="120" t="s">
        <v>178</v>
      </c>
      <c r="C54" s="120"/>
      <c r="D54" s="120"/>
    </row>
    <row r="55" spans="2:4" x14ac:dyDescent="0.25">
      <c r="B55" s="84" t="s">
        <v>179</v>
      </c>
      <c r="C55" s="84" t="s">
        <v>180</v>
      </c>
      <c r="D55" s="84" t="s">
        <v>181</v>
      </c>
    </row>
    <row r="56" spans="2:4" x14ac:dyDescent="0.25">
      <c r="B56" s="92">
        <v>0</v>
      </c>
      <c r="C56" s="85">
        <f t="shared" ref="C56:C66" si="0">B56*$C$37</f>
        <v>0</v>
      </c>
      <c r="D56" s="87">
        <f t="shared" ref="D56:D66" si="1">$C$21+B56*$C$34</f>
        <v>5247137.2666666666</v>
      </c>
    </row>
    <row r="57" spans="2:4" x14ac:dyDescent="0.25">
      <c r="B57" s="92">
        <v>50</v>
      </c>
      <c r="C57" s="85">
        <f t="shared" si="0"/>
        <v>2495000</v>
      </c>
      <c r="D57" s="87">
        <f t="shared" si="1"/>
        <v>6481637.2666666666</v>
      </c>
    </row>
    <row r="58" spans="2:4" x14ac:dyDescent="0.25">
      <c r="B58" s="92">
        <v>100</v>
      </c>
      <c r="C58" s="85">
        <f t="shared" si="0"/>
        <v>4990000</v>
      </c>
      <c r="D58" s="87">
        <f t="shared" si="1"/>
        <v>7716137.2666666666</v>
      </c>
    </row>
    <row r="59" spans="2:4" x14ac:dyDescent="0.25">
      <c r="B59" s="92">
        <v>150</v>
      </c>
      <c r="C59" s="85">
        <f t="shared" si="0"/>
        <v>7485000</v>
      </c>
      <c r="D59" s="87">
        <f t="shared" si="1"/>
        <v>8950637.2666666657</v>
      </c>
    </row>
    <row r="60" spans="2:4" x14ac:dyDescent="0.25">
      <c r="B60" s="92">
        <v>200</v>
      </c>
      <c r="C60" s="85">
        <f t="shared" si="0"/>
        <v>9980000</v>
      </c>
      <c r="D60" s="87">
        <f t="shared" si="1"/>
        <v>10185137.266666666</v>
      </c>
    </row>
    <row r="61" spans="2:4" x14ac:dyDescent="0.25">
      <c r="B61" s="92">
        <v>250</v>
      </c>
      <c r="C61" s="85">
        <f t="shared" si="0"/>
        <v>12475000</v>
      </c>
      <c r="D61" s="87">
        <f t="shared" si="1"/>
        <v>11419637.266666666</v>
      </c>
    </row>
    <row r="62" spans="2:4" x14ac:dyDescent="0.25">
      <c r="B62" s="92">
        <v>300</v>
      </c>
      <c r="C62" s="85">
        <f t="shared" si="0"/>
        <v>14970000</v>
      </c>
      <c r="D62" s="87">
        <f t="shared" si="1"/>
        <v>12654137.266666666</v>
      </c>
    </row>
    <row r="63" spans="2:4" x14ac:dyDescent="0.25">
      <c r="B63" s="92">
        <v>350</v>
      </c>
      <c r="C63" s="85">
        <f t="shared" si="0"/>
        <v>17465000</v>
      </c>
      <c r="D63" s="87">
        <f t="shared" si="1"/>
        <v>13888637.266666666</v>
      </c>
    </row>
    <row r="64" spans="2:4" x14ac:dyDescent="0.25">
      <c r="B64" s="92">
        <v>400</v>
      </c>
      <c r="C64" s="85">
        <f t="shared" si="0"/>
        <v>19960000</v>
      </c>
      <c r="D64" s="87">
        <f t="shared" si="1"/>
        <v>15123137.266666666</v>
      </c>
    </row>
    <row r="65" spans="2:4" x14ac:dyDescent="0.25">
      <c r="B65" s="92">
        <v>450</v>
      </c>
      <c r="C65" s="85">
        <f t="shared" si="0"/>
        <v>22455000</v>
      </c>
      <c r="D65" s="87">
        <f t="shared" si="1"/>
        <v>16357637.266666666</v>
      </c>
    </row>
    <row r="66" spans="2:4" x14ac:dyDescent="0.25">
      <c r="B66" s="92">
        <v>500</v>
      </c>
      <c r="C66" s="85">
        <f t="shared" si="0"/>
        <v>24950000</v>
      </c>
      <c r="D66" s="87">
        <f t="shared" si="1"/>
        <v>17592137.266666666</v>
      </c>
    </row>
  </sheetData>
  <mergeCells count="8">
    <mergeCell ref="B36:D36"/>
    <mergeCell ref="B40:D40"/>
    <mergeCell ref="B54:D54"/>
    <mergeCell ref="B2:D2"/>
    <mergeCell ref="B3:D3"/>
    <mergeCell ref="B5:D5"/>
    <mergeCell ref="B12:D12"/>
    <mergeCell ref="B23:D23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8"/>
  <sheetViews>
    <sheetView showGridLines="0" zoomScaleNormal="100" workbookViewId="0">
      <selection activeCell="K7" sqref="K7"/>
    </sheetView>
  </sheetViews>
  <sheetFormatPr baseColWidth="10" defaultColWidth="8.6640625" defaultRowHeight="14.4" x14ac:dyDescent="0.3"/>
  <cols>
    <col min="1" max="1" width="2" style="97" customWidth="1"/>
    <col min="2" max="2" width="5" style="97" customWidth="1"/>
    <col min="3" max="3" width="34" style="97" customWidth="1"/>
    <col min="4" max="4" width="14" style="97" customWidth="1"/>
    <col min="5" max="5" width="13" style="97" customWidth="1"/>
    <col min="6" max="6" width="40" style="97" customWidth="1"/>
    <col min="7" max="7" width="22" style="97" customWidth="1"/>
    <col min="8" max="8" width="14" style="97" customWidth="1"/>
    <col min="9" max="9" width="70" style="97" customWidth="1"/>
    <col min="10" max="16384" width="8.6640625" style="97"/>
  </cols>
  <sheetData>
    <row r="2" spans="2:9" ht="22.2" customHeight="1" x14ac:dyDescent="0.3">
      <c r="B2" s="116" t="s">
        <v>182</v>
      </c>
      <c r="C2" s="116"/>
      <c r="D2" s="116"/>
      <c r="E2" s="116"/>
      <c r="F2" s="116"/>
      <c r="G2" s="116"/>
      <c r="H2" s="116"/>
      <c r="I2" s="116"/>
    </row>
    <row r="4" spans="2:9" ht="26.4" x14ac:dyDescent="0.3">
      <c r="B4" s="84" t="s">
        <v>183</v>
      </c>
      <c r="C4" s="84" t="s">
        <v>184</v>
      </c>
      <c r="D4" s="84" t="s">
        <v>40</v>
      </c>
      <c r="E4" s="84" t="s">
        <v>41</v>
      </c>
      <c r="F4" s="84" t="s">
        <v>185</v>
      </c>
      <c r="G4" s="84" t="s">
        <v>186</v>
      </c>
      <c r="H4" s="84" t="s">
        <v>187</v>
      </c>
      <c r="I4" s="84" t="s">
        <v>188</v>
      </c>
    </row>
    <row r="5" spans="2:9" ht="36" customHeight="1" x14ac:dyDescent="0.3">
      <c r="B5" s="63">
        <v>1</v>
      </c>
      <c r="C5" s="64" t="s">
        <v>189</v>
      </c>
      <c r="D5" s="63" t="s">
        <v>190</v>
      </c>
      <c r="E5" s="63" t="s">
        <v>191</v>
      </c>
      <c r="F5" s="83" t="s">
        <v>192</v>
      </c>
      <c r="G5" s="83" t="s">
        <v>193</v>
      </c>
      <c r="H5" s="63" t="s">
        <v>194</v>
      </c>
      <c r="I5" s="98" t="s">
        <v>195</v>
      </c>
    </row>
    <row r="6" spans="2:9" ht="36" customHeight="1" x14ac:dyDescent="0.3">
      <c r="B6" s="63">
        <v>2</v>
      </c>
      <c r="C6" s="64" t="s">
        <v>43</v>
      </c>
      <c r="D6" s="63" t="s">
        <v>44</v>
      </c>
      <c r="E6" s="63" t="s">
        <v>45</v>
      </c>
      <c r="F6" s="83" t="s">
        <v>196</v>
      </c>
      <c r="G6" s="83" t="s">
        <v>197</v>
      </c>
      <c r="H6" s="99">
        <v>1786</v>
      </c>
      <c r="I6" s="98" t="s">
        <v>198</v>
      </c>
    </row>
    <row r="7" spans="2:9" ht="36" customHeight="1" x14ac:dyDescent="0.3">
      <c r="B7" s="63">
        <v>3</v>
      </c>
      <c r="C7" s="64" t="s">
        <v>46</v>
      </c>
      <c r="D7" s="63" t="s">
        <v>44</v>
      </c>
      <c r="E7" s="63" t="s">
        <v>47</v>
      </c>
      <c r="F7" s="83" t="s">
        <v>199</v>
      </c>
      <c r="G7" s="83" t="s">
        <v>200</v>
      </c>
      <c r="H7" s="99">
        <v>15524</v>
      </c>
      <c r="I7" s="98" t="s">
        <v>201</v>
      </c>
    </row>
    <row r="8" spans="2:9" ht="36" customHeight="1" x14ac:dyDescent="0.3">
      <c r="B8" s="63">
        <v>4</v>
      </c>
      <c r="C8" s="64" t="s">
        <v>48</v>
      </c>
      <c r="D8" s="63" t="s">
        <v>49</v>
      </c>
      <c r="E8" s="63" t="s">
        <v>47</v>
      </c>
      <c r="F8" s="83" t="s">
        <v>202</v>
      </c>
      <c r="G8" s="83" t="s">
        <v>203</v>
      </c>
      <c r="H8" s="99">
        <f>8169*$D$23</f>
        <v>9230.9699999999993</v>
      </c>
      <c r="I8" s="98" t="s">
        <v>204</v>
      </c>
    </row>
    <row r="9" spans="2:9" ht="36" customHeight="1" x14ac:dyDescent="0.3">
      <c r="B9" s="63">
        <v>5</v>
      </c>
      <c r="C9" s="64" t="s">
        <v>50</v>
      </c>
      <c r="D9" s="63" t="s">
        <v>44</v>
      </c>
      <c r="E9" s="63" t="s">
        <v>47</v>
      </c>
      <c r="F9" s="83" t="s">
        <v>205</v>
      </c>
      <c r="G9" s="83" t="s">
        <v>206</v>
      </c>
      <c r="H9" s="99">
        <v>7200</v>
      </c>
      <c r="I9" s="98" t="s">
        <v>207</v>
      </c>
    </row>
    <row r="10" spans="2:9" ht="36" customHeight="1" x14ac:dyDescent="0.3">
      <c r="B10" s="63">
        <v>6</v>
      </c>
      <c r="C10" s="64" t="s">
        <v>51</v>
      </c>
      <c r="D10" s="63" t="s">
        <v>44</v>
      </c>
      <c r="E10" s="63" t="s">
        <v>45</v>
      </c>
      <c r="F10" s="83" t="s">
        <v>208</v>
      </c>
      <c r="G10" s="83" t="s">
        <v>209</v>
      </c>
      <c r="H10" s="99">
        <v>2110</v>
      </c>
      <c r="I10" s="98" t="s">
        <v>210</v>
      </c>
    </row>
    <row r="11" spans="2:9" ht="36" customHeight="1" x14ac:dyDescent="0.3">
      <c r="B11" s="63">
        <v>7</v>
      </c>
      <c r="C11" s="64" t="s">
        <v>52</v>
      </c>
      <c r="D11" s="63" t="s">
        <v>44</v>
      </c>
      <c r="E11" s="63" t="s">
        <v>45</v>
      </c>
      <c r="F11" s="83" t="s">
        <v>211</v>
      </c>
      <c r="G11" s="83" t="s">
        <v>212</v>
      </c>
      <c r="H11" s="99">
        <v>1153.7</v>
      </c>
      <c r="I11" s="98" t="s">
        <v>213</v>
      </c>
    </row>
    <row r="12" spans="2:9" ht="36" customHeight="1" x14ac:dyDescent="0.3">
      <c r="B12" s="63">
        <v>8</v>
      </c>
      <c r="C12" s="64" t="s">
        <v>53</v>
      </c>
      <c r="D12" s="63" t="s">
        <v>44</v>
      </c>
      <c r="E12" s="63" t="s">
        <v>45</v>
      </c>
      <c r="F12" s="83" t="s">
        <v>214</v>
      </c>
      <c r="G12" s="83" t="s">
        <v>215</v>
      </c>
      <c r="H12" s="99">
        <v>606.9</v>
      </c>
      <c r="I12" s="98" t="s">
        <v>216</v>
      </c>
    </row>
    <row r="13" spans="2:9" ht="36" customHeight="1" x14ac:dyDescent="0.3">
      <c r="B13" s="63">
        <v>9</v>
      </c>
      <c r="C13" s="64" t="s">
        <v>54</v>
      </c>
      <c r="D13" s="63" t="s">
        <v>44</v>
      </c>
      <c r="E13" s="63" t="s">
        <v>45</v>
      </c>
      <c r="F13" s="83" t="s">
        <v>217</v>
      </c>
      <c r="G13" s="83" t="s">
        <v>218</v>
      </c>
      <c r="H13" s="99">
        <v>647.9</v>
      </c>
      <c r="I13" s="98" t="s">
        <v>219</v>
      </c>
    </row>
    <row r="14" spans="2:9" ht="36" customHeight="1" x14ac:dyDescent="0.3">
      <c r="B14" s="63">
        <v>10</v>
      </c>
      <c r="C14" s="64" t="s">
        <v>55</v>
      </c>
      <c r="D14" s="63" t="s">
        <v>56</v>
      </c>
      <c r="E14" s="63" t="s">
        <v>45</v>
      </c>
      <c r="F14" s="83" t="s">
        <v>220</v>
      </c>
      <c r="G14" s="83" t="s">
        <v>221</v>
      </c>
      <c r="H14" s="99">
        <f>969*$D$23</f>
        <v>1094.9699999999998</v>
      </c>
      <c r="I14" s="98" t="s">
        <v>222</v>
      </c>
    </row>
    <row r="15" spans="2:9" ht="36" customHeight="1" x14ac:dyDescent="0.3">
      <c r="B15" s="63">
        <v>11</v>
      </c>
      <c r="C15" s="64" t="s">
        <v>57</v>
      </c>
      <c r="D15" s="63" t="s">
        <v>58</v>
      </c>
      <c r="E15" s="63" t="s">
        <v>45</v>
      </c>
      <c r="F15" s="83" t="s">
        <v>223</v>
      </c>
      <c r="G15" s="83" t="s">
        <v>224</v>
      </c>
      <c r="H15" s="99">
        <f>1140.2*$D$23</f>
        <v>1288.4259999999999</v>
      </c>
      <c r="I15" s="98" t="s">
        <v>225</v>
      </c>
    </row>
    <row r="16" spans="2:9" ht="36" customHeight="1" x14ac:dyDescent="0.3">
      <c r="B16" s="63">
        <v>12</v>
      </c>
      <c r="C16" s="64" t="s">
        <v>59</v>
      </c>
      <c r="D16" s="63" t="s">
        <v>60</v>
      </c>
      <c r="E16" s="63" t="s">
        <v>45</v>
      </c>
      <c r="F16" s="83" t="s">
        <v>226</v>
      </c>
      <c r="G16" s="83" t="s">
        <v>227</v>
      </c>
      <c r="H16" s="99">
        <f>9600/$D$24</f>
        <v>1781.0760667903526</v>
      </c>
      <c r="I16" s="98" t="s">
        <v>228</v>
      </c>
    </row>
    <row r="17" spans="2:9" ht="36" customHeight="1" x14ac:dyDescent="0.3">
      <c r="B17" s="63">
        <v>13</v>
      </c>
      <c r="C17" s="64" t="s">
        <v>61</v>
      </c>
      <c r="D17" s="63" t="s">
        <v>62</v>
      </c>
      <c r="E17" s="63" t="s">
        <v>63</v>
      </c>
      <c r="F17" s="83" t="s">
        <v>229</v>
      </c>
      <c r="G17" s="83" t="s">
        <v>230</v>
      </c>
      <c r="H17" s="63" t="s">
        <v>194</v>
      </c>
      <c r="I17" s="98" t="s">
        <v>231</v>
      </c>
    </row>
    <row r="18" spans="2:9" ht="36" customHeight="1" x14ac:dyDescent="0.3">
      <c r="B18" s="63">
        <v>14</v>
      </c>
      <c r="C18" s="64" t="s">
        <v>64</v>
      </c>
      <c r="D18" s="63" t="s">
        <v>62</v>
      </c>
      <c r="E18" s="63" t="s">
        <v>63</v>
      </c>
      <c r="F18" s="83" t="s">
        <v>232</v>
      </c>
      <c r="G18" s="83" t="s">
        <v>233</v>
      </c>
      <c r="H18" s="63" t="s">
        <v>194</v>
      </c>
      <c r="I18" s="98" t="s">
        <v>234</v>
      </c>
    </row>
    <row r="19" spans="2:9" ht="36" customHeight="1" x14ac:dyDescent="0.3">
      <c r="B19" s="63">
        <v>15</v>
      </c>
      <c r="C19" s="64" t="s">
        <v>65</v>
      </c>
      <c r="D19" s="63" t="s">
        <v>66</v>
      </c>
      <c r="E19" s="63" t="s">
        <v>63</v>
      </c>
      <c r="F19" s="83" t="s">
        <v>235</v>
      </c>
      <c r="G19" s="83" t="s">
        <v>236</v>
      </c>
      <c r="H19" s="63" t="s">
        <v>194</v>
      </c>
      <c r="I19" s="98" t="s">
        <v>237</v>
      </c>
    </row>
    <row r="20" spans="2:9" ht="36" customHeight="1" x14ac:dyDescent="0.3">
      <c r="B20" s="63">
        <v>16</v>
      </c>
      <c r="C20" s="64" t="s">
        <v>67</v>
      </c>
      <c r="D20" s="63" t="s">
        <v>68</v>
      </c>
      <c r="E20" s="63" t="s">
        <v>63</v>
      </c>
      <c r="F20" s="83" t="s">
        <v>238</v>
      </c>
      <c r="G20" s="83" t="s">
        <v>239</v>
      </c>
      <c r="H20" s="63" t="s">
        <v>194</v>
      </c>
      <c r="I20" s="98" t="s">
        <v>240</v>
      </c>
    </row>
    <row r="22" spans="2:9" x14ac:dyDescent="0.3">
      <c r="C22" s="56" t="s">
        <v>241</v>
      </c>
      <c r="D22" s="96" t="s">
        <v>156</v>
      </c>
    </row>
    <row r="23" spans="2:9" x14ac:dyDescent="0.3">
      <c r="C23" s="64" t="s">
        <v>242</v>
      </c>
      <c r="D23" s="100">
        <v>1.1299999999999999</v>
      </c>
    </row>
    <row r="24" spans="2:9" ht="26.4" x14ac:dyDescent="0.3">
      <c r="C24" s="64" t="s">
        <v>243</v>
      </c>
      <c r="D24" s="100">
        <v>5.39</v>
      </c>
    </row>
    <row r="25" spans="2:9" x14ac:dyDescent="0.3">
      <c r="C25" s="64" t="s">
        <v>244</v>
      </c>
      <c r="D25" s="101">
        <f>'Punto de Equilibrio'!$C$48</f>
        <v>3329.61</v>
      </c>
    </row>
    <row r="28" spans="2:9" x14ac:dyDescent="0.3">
      <c r="C28" s="56" t="s">
        <v>245</v>
      </c>
      <c r="D28" s="96" t="s">
        <v>246</v>
      </c>
      <c r="E28" s="96" t="s">
        <v>247</v>
      </c>
      <c r="F28" s="96" t="s">
        <v>188</v>
      </c>
    </row>
    <row r="29" spans="2:9" ht="15" customHeight="1" x14ac:dyDescent="0.3">
      <c r="C29" s="64" t="s">
        <v>248</v>
      </c>
      <c r="D29" s="99">
        <v>250</v>
      </c>
      <c r="E29" s="102">
        <v>5.5E-2</v>
      </c>
      <c r="F29" s="123" t="s">
        <v>249</v>
      </c>
      <c r="G29" s="123"/>
      <c r="H29" s="123"/>
      <c r="I29" s="123"/>
    </row>
    <row r="30" spans="2:9" ht="15" customHeight="1" x14ac:dyDescent="0.3">
      <c r="C30" s="64" t="s">
        <v>250</v>
      </c>
      <c r="D30" s="99">
        <v>1200</v>
      </c>
      <c r="E30" s="102">
        <v>0.05</v>
      </c>
      <c r="F30" s="123" t="s">
        <v>251</v>
      </c>
      <c r="G30" s="123"/>
      <c r="H30" s="123"/>
      <c r="I30" s="123"/>
    </row>
    <row r="31" spans="2:9" ht="15" customHeight="1" x14ac:dyDescent="0.3">
      <c r="C31" s="64" t="s">
        <v>252</v>
      </c>
      <c r="D31" s="99">
        <v>1300</v>
      </c>
      <c r="E31" s="102">
        <v>5.2999999999999999E-2</v>
      </c>
      <c r="F31" s="123" t="s">
        <v>253</v>
      </c>
      <c r="G31" s="123"/>
      <c r="H31" s="123"/>
      <c r="I31" s="123"/>
    </row>
    <row r="32" spans="2:9" ht="15" customHeight="1" x14ac:dyDescent="0.3">
      <c r="C32" s="64" t="s">
        <v>254</v>
      </c>
      <c r="D32" s="99">
        <v>4800</v>
      </c>
      <c r="E32" s="102">
        <v>7.3999999999999996E-2</v>
      </c>
      <c r="F32" s="123" t="s">
        <v>255</v>
      </c>
      <c r="G32" s="123"/>
      <c r="H32" s="123"/>
      <c r="I32" s="123"/>
    </row>
    <row r="33" spans="3:9" ht="23.85" customHeight="1" x14ac:dyDescent="0.3">
      <c r="C33" s="64" t="s">
        <v>256</v>
      </c>
      <c r="D33" s="99" t="s">
        <v>257</v>
      </c>
      <c r="E33" s="102">
        <v>6.6000000000000003E-2</v>
      </c>
      <c r="F33" s="123" t="s">
        <v>258</v>
      </c>
      <c r="G33" s="123"/>
      <c r="H33" s="123"/>
      <c r="I33" s="123"/>
    </row>
    <row r="35" spans="3:9" ht="21.75" customHeight="1" x14ac:dyDescent="0.3">
      <c r="C35" s="124"/>
      <c r="D35" s="124"/>
      <c r="E35" s="124"/>
      <c r="F35" s="124"/>
      <c r="G35" s="124"/>
      <c r="H35" s="124"/>
      <c r="I35" s="124"/>
    </row>
    <row r="36" spans="3:9" ht="21.75" customHeight="1" x14ac:dyDescent="0.3">
      <c r="C36" s="124"/>
      <c r="D36" s="124"/>
      <c r="E36" s="124"/>
      <c r="F36" s="124"/>
      <c r="G36" s="124"/>
      <c r="H36" s="124"/>
      <c r="I36" s="124"/>
    </row>
    <row r="37" spans="3:9" ht="21.75" customHeight="1" x14ac:dyDescent="0.3">
      <c r="C37" s="124"/>
      <c r="D37" s="124"/>
      <c r="E37" s="124"/>
      <c r="F37" s="124"/>
      <c r="G37" s="124"/>
      <c r="H37" s="124"/>
      <c r="I37" s="124"/>
    </row>
    <row r="38" spans="3:9" ht="21.75" customHeight="1" x14ac:dyDescent="0.3">
      <c r="C38" s="124"/>
      <c r="D38" s="124"/>
      <c r="E38" s="124"/>
      <c r="F38" s="124"/>
      <c r="G38" s="124"/>
      <c r="H38" s="124"/>
      <c r="I38" s="124"/>
    </row>
  </sheetData>
  <mergeCells count="7">
    <mergeCell ref="F33:I33"/>
    <mergeCell ref="C35:I38"/>
    <mergeCell ref="B2:I2"/>
    <mergeCell ref="F29:I29"/>
    <mergeCell ref="F30:I30"/>
    <mergeCell ref="F31:I31"/>
    <mergeCell ref="F32:I32"/>
  </mergeCells>
  <hyperlinks>
    <hyperlink ref="I6" r:id="rId1" xr:uid="{00000000-0004-0000-0300-000000000000}"/>
    <hyperlink ref="I7" r:id="rId2" xr:uid="{00000000-0004-0000-0300-000001000000}"/>
    <hyperlink ref="I8" r:id="rId3" xr:uid="{00000000-0004-0000-0300-000002000000}"/>
    <hyperlink ref="I9" r:id="rId4" xr:uid="{00000000-0004-0000-0300-000003000000}"/>
    <hyperlink ref="I10" r:id="rId5" xr:uid="{00000000-0004-0000-0300-000004000000}"/>
    <hyperlink ref="I11" r:id="rId6" xr:uid="{00000000-0004-0000-0300-000005000000}"/>
    <hyperlink ref="I12" r:id="rId7" xr:uid="{00000000-0004-0000-0300-000006000000}"/>
    <hyperlink ref="I13" r:id="rId8" xr:uid="{00000000-0004-0000-0300-000007000000}"/>
    <hyperlink ref="I14" r:id="rId9" xr:uid="{00000000-0004-0000-0300-000008000000}"/>
    <hyperlink ref="I15" r:id="rId10" xr:uid="{00000000-0004-0000-0300-000009000000}"/>
    <hyperlink ref="I16" r:id="rId11" xr:uid="{00000000-0004-0000-0300-00000A000000}"/>
    <hyperlink ref="I17" r:id="rId12" xr:uid="{00000000-0004-0000-0300-00000B000000}"/>
    <hyperlink ref="I18" r:id="rId13" xr:uid="{00000000-0004-0000-0300-00000C000000}"/>
    <hyperlink ref="I19" r:id="rId14" xr:uid="{00000000-0004-0000-0300-00000D000000}"/>
    <hyperlink ref="I20" r:id="rId15" xr:uid="{00000000-0004-0000-0300-00000E000000}"/>
    <hyperlink ref="F29" r:id="rId16" xr:uid="{00000000-0004-0000-0300-00000F000000}"/>
    <hyperlink ref="F30" r:id="rId17" xr:uid="{00000000-0004-0000-0300-000010000000}"/>
    <hyperlink ref="F31" r:id="rId18" xr:uid="{00000000-0004-0000-0300-000011000000}"/>
    <hyperlink ref="F32" r:id="rId19" xr:uid="{00000000-0004-0000-0300-000012000000}"/>
    <hyperlink ref="F33" r:id="rId20" xr:uid="{00000000-0004-0000-0300-000013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1BC3-129F-4F98-A425-23CA162179FB}">
  <dimension ref="B2:F18"/>
  <sheetViews>
    <sheetView tabSelected="1" workbookViewId="0">
      <selection activeCell="E3" sqref="E3"/>
    </sheetView>
  </sheetViews>
  <sheetFormatPr baseColWidth="10" defaultRowHeight="14.4" x14ac:dyDescent="0.3"/>
  <cols>
    <col min="2" max="2" width="61.5546875" customWidth="1"/>
    <col min="3" max="3" width="24.44140625" customWidth="1"/>
    <col min="4" max="4" width="23.109375" customWidth="1"/>
    <col min="5" max="5" width="29.6640625" customWidth="1"/>
    <col min="6" max="6" width="24.21875" customWidth="1"/>
  </cols>
  <sheetData>
    <row r="2" spans="2:6" x14ac:dyDescent="0.3">
      <c r="B2" s="134" t="s">
        <v>262</v>
      </c>
    </row>
    <row r="3" spans="2:6" ht="303.60000000000002" customHeight="1" x14ac:dyDescent="0.3">
      <c r="B3" s="125" t="e" vm="1">
        <v>#VALUE!</v>
      </c>
    </row>
    <row r="5" spans="2:6" x14ac:dyDescent="0.3">
      <c r="C5" s="128" t="s">
        <v>263</v>
      </c>
      <c r="D5" s="128" t="s">
        <v>264</v>
      </c>
      <c r="E5" s="128" t="s">
        <v>265</v>
      </c>
      <c r="F5" s="128" t="s">
        <v>266</v>
      </c>
    </row>
    <row r="6" spans="2:6" ht="141.6" customHeight="1" x14ac:dyDescent="0.3">
      <c r="C6" s="126" t="s">
        <v>267</v>
      </c>
      <c r="D6" s="126" t="s">
        <v>268</v>
      </c>
      <c r="E6" s="126" t="s">
        <v>269</v>
      </c>
      <c r="F6" s="126" t="s">
        <v>270</v>
      </c>
    </row>
    <row r="7" spans="2:6" ht="100.8" customHeight="1" x14ac:dyDescent="0.3">
      <c r="C7" s="126" t="s">
        <v>271</v>
      </c>
      <c r="D7" s="126" t="s">
        <v>280</v>
      </c>
      <c r="E7" s="126" t="s">
        <v>281</v>
      </c>
      <c r="F7" s="126" t="s">
        <v>286</v>
      </c>
    </row>
    <row r="8" spans="2:6" ht="59.4" customHeight="1" x14ac:dyDescent="0.3">
      <c r="C8" s="126" t="s">
        <v>272</v>
      </c>
      <c r="D8" s="126" t="s">
        <v>276</v>
      </c>
      <c r="E8" s="126" t="s">
        <v>282</v>
      </c>
      <c r="F8" s="126" t="s">
        <v>286</v>
      </c>
    </row>
    <row r="9" spans="2:6" ht="78.599999999999994" customHeight="1" x14ac:dyDescent="0.3">
      <c r="C9" s="126" t="s">
        <v>273</v>
      </c>
      <c r="D9" s="126" t="s">
        <v>277</v>
      </c>
      <c r="E9" s="126" t="s">
        <v>283</v>
      </c>
      <c r="F9" s="126" t="s">
        <v>286</v>
      </c>
    </row>
    <row r="10" spans="2:6" ht="62.4" customHeight="1" x14ac:dyDescent="0.3">
      <c r="C10" s="126" t="s">
        <v>274</v>
      </c>
      <c r="D10" s="126" t="s">
        <v>278</v>
      </c>
      <c r="E10" s="126" t="s">
        <v>284</v>
      </c>
      <c r="F10" s="126" t="s">
        <v>287</v>
      </c>
    </row>
    <row r="11" spans="2:6" ht="64.8" customHeight="1" x14ac:dyDescent="0.3">
      <c r="C11" s="126" t="s">
        <v>275</v>
      </c>
      <c r="D11" s="126" t="s">
        <v>279</v>
      </c>
      <c r="E11" s="126" t="s">
        <v>285</v>
      </c>
      <c r="F11" s="126" t="s">
        <v>288</v>
      </c>
    </row>
    <row r="12" spans="2:6" x14ac:dyDescent="0.3">
      <c r="C12" s="127"/>
      <c r="D12" s="127"/>
      <c r="E12" s="127"/>
      <c r="F12" s="127"/>
    </row>
    <row r="13" spans="2:6" ht="42.6" customHeight="1" x14ac:dyDescent="0.3">
      <c r="B13" s="129" t="s">
        <v>289</v>
      </c>
      <c r="C13" s="129"/>
      <c r="D13" s="129"/>
      <c r="E13" s="129"/>
      <c r="F13" s="129"/>
    </row>
    <row r="14" spans="2:6" ht="38.4" customHeight="1" x14ac:dyDescent="0.3">
      <c r="B14" s="133" t="s">
        <v>290</v>
      </c>
      <c r="C14" s="133"/>
      <c r="D14" s="133"/>
      <c r="E14" s="133"/>
      <c r="F14" s="133"/>
    </row>
    <row r="15" spans="2:6" ht="49.8" customHeight="1" x14ac:dyDescent="0.3">
      <c r="B15" s="130" t="s">
        <v>291</v>
      </c>
      <c r="C15" s="131"/>
      <c r="D15" s="131"/>
      <c r="E15" s="131"/>
      <c r="F15" s="132"/>
    </row>
    <row r="16" spans="2:6" ht="36.6" customHeight="1" x14ac:dyDescent="0.3">
      <c r="B16" s="130" t="s">
        <v>292</v>
      </c>
      <c r="C16" s="131"/>
      <c r="D16" s="131"/>
      <c r="E16" s="131"/>
      <c r="F16" s="132"/>
    </row>
    <row r="17" spans="2:6" ht="38.4" customHeight="1" x14ac:dyDescent="0.3">
      <c r="B17" s="130" t="s">
        <v>293</v>
      </c>
      <c r="C17" s="131"/>
      <c r="D17" s="131"/>
      <c r="E17" s="131"/>
      <c r="F17" s="132"/>
    </row>
    <row r="18" spans="2:6" ht="31.8" customHeight="1" x14ac:dyDescent="0.3">
      <c r="B18" s="130" t="s">
        <v>294</v>
      </c>
      <c r="C18" s="131"/>
      <c r="D18" s="131"/>
      <c r="E18" s="131"/>
      <c r="F18" s="132"/>
    </row>
  </sheetData>
  <mergeCells count="6">
    <mergeCell ref="B13:F13"/>
    <mergeCell ref="B14:F14"/>
    <mergeCell ref="B15:F15"/>
    <mergeCell ref="B16:F16"/>
    <mergeCell ref="B17:F17"/>
    <mergeCell ref="B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MPC</vt:lpstr>
      <vt:lpstr>BCG2</vt:lpstr>
      <vt:lpstr>Punto de Equilibrio</vt:lpstr>
      <vt:lpstr>Fuentes y supuestos</vt:lpstr>
      <vt:lpstr>patentes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Fonseca Prieto</cp:lastModifiedBy>
  <cp:revision>1</cp:revision>
  <dcterms:created xsi:type="dcterms:W3CDTF">2026-09-25T17:52:49Z</dcterms:created>
  <dcterms:modified xsi:type="dcterms:W3CDTF">2026-09-27T22:34:19Z</dcterms:modified>
  <dc:language>en-US</dc:language>
</cp:coreProperties>
</file>