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lustiga/Dropbox (HHMI)/Code/karpova_lab/Syringe/doc_src/source/BOMs/"/>
    </mc:Choice>
  </mc:AlternateContent>
  <xr:revisionPtr revIDLastSave="0" documentId="13_ncr:1_{06F070B6-AB96-2848-89F7-BA86A9BD0B56}" xr6:coauthVersionLast="46" xr6:coauthVersionMax="46" xr10:uidLastSave="{00000000-0000-0000-0000-000000000000}"/>
  <bookViews>
    <workbookView xWindow="0" yWindow="460" windowWidth="38400" windowHeight="23540" tabRatio="500" xr2:uid="{00000000-000D-0000-FFFF-FFFF00000000}"/>
  </bookViews>
  <sheets>
    <sheet name="BOM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6" i="1" l="1"/>
  <c r="Y16" i="1" s="1"/>
  <c r="Z16" i="1" s="1"/>
  <c r="X15" i="1"/>
  <c r="Y15" i="1" s="1"/>
  <c r="Z15" i="1" s="1"/>
  <c r="X14" i="1"/>
  <c r="Y14" i="1" s="1"/>
  <c r="Z14" i="1" s="1"/>
  <c r="X13" i="1"/>
  <c r="Y13" i="1" s="1"/>
  <c r="Z13" i="1" s="1"/>
  <c r="X12" i="1"/>
  <c r="Y12" i="1" s="1"/>
  <c r="Z12" i="1" s="1"/>
  <c r="X11" i="1"/>
  <c r="Y11" i="1" s="1"/>
  <c r="Z11" i="1" s="1"/>
  <c r="X10" i="1"/>
  <c r="Y10" i="1" s="1"/>
  <c r="Z10" i="1" s="1"/>
  <c r="X9" i="1"/>
  <c r="Y9" i="1" s="1"/>
  <c r="Z9" i="1" s="1"/>
  <c r="X8" i="1"/>
  <c r="Y8" i="1" s="1"/>
  <c r="Z8" i="1" s="1"/>
  <c r="X7" i="1"/>
  <c r="Y7" i="1" s="1"/>
  <c r="Z7" i="1" s="1"/>
  <c r="X6" i="1"/>
  <c r="Y6" i="1" s="1"/>
  <c r="Z6" i="1" s="1"/>
  <c r="X5" i="1"/>
  <c r="Y5" i="1" s="1"/>
  <c r="Z5" i="1" s="1"/>
  <c r="X4" i="1"/>
  <c r="Y4" i="1" s="1"/>
  <c r="Z4" i="1" s="1"/>
  <c r="X3" i="1"/>
  <c r="Y3" i="1" s="1"/>
  <c r="Z3" i="1" s="1"/>
  <c r="X2" i="1"/>
  <c r="Y2" i="1" s="1"/>
  <c r="Z2" i="1" s="1"/>
  <c r="U16" i="1"/>
  <c r="V16" i="1" s="1"/>
  <c r="W16" i="1" s="1"/>
  <c r="U15" i="1"/>
  <c r="V15" i="1" s="1"/>
  <c r="W15" i="1" s="1"/>
  <c r="U14" i="1"/>
  <c r="V14" i="1" s="1"/>
  <c r="W14" i="1" s="1"/>
  <c r="U13" i="1"/>
  <c r="V13" i="1" s="1"/>
  <c r="W13" i="1" s="1"/>
  <c r="U12" i="1"/>
  <c r="V12" i="1" s="1"/>
  <c r="W12" i="1" s="1"/>
  <c r="U11" i="1"/>
  <c r="V11" i="1" s="1"/>
  <c r="W11" i="1" s="1"/>
  <c r="U10" i="1"/>
  <c r="V10" i="1" s="1"/>
  <c r="W10" i="1" s="1"/>
  <c r="U9" i="1"/>
  <c r="V9" i="1" s="1"/>
  <c r="W9" i="1" s="1"/>
  <c r="U8" i="1"/>
  <c r="V8" i="1" s="1"/>
  <c r="W8" i="1" s="1"/>
  <c r="U7" i="1"/>
  <c r="V7" i="1" s="1"/>
  <c r="W7" i="1" s="1"/>
  <c r="U6" i="1"/>
  <c r="V6" i="1" s="1"/>
  <c r="W6" i="1" s="1"/>
  <c r="U5" i="1"/>
  <c r="V5" i="1" s="1"/>
  <c r="W5" i="1" s="1"/>
  <c r="U4" i="1"/>
  <c r="V4" i="1" s="1"/>
  <c r="W4" i="1" s="1"/>
  <c r="U3" i="1"/>
  <c r="V3" i="1" s="1"/>
  <c r="W3" i="1" s="1"/>
  <c r="U2" i="1"/>
  <c r="V2" i="1" s="1"/>
  <c r="W2" i="1" s="1"/>
  <c r="O16" i="1"/>
  <c r="P16" i="1" s="1"/>
  <c r="Q16" i="1" s="1"/>
  <c r="O15" i="1"/>
  <c r="P15" i="1" s="1"/>
  <c r="Q15" i="1" s="1"/>
  <c r="O14" i="1"/>
  <c r="P14" i="1" s="1"/>
  <c r="Q14" i="1" s="1"/>
  <c r="O13" i="1"/>
  <c r="P13" i="1" s="1"/>
  <c r="Q13" i="1" s="1"/>
  <c r="O12" i="1"/>
  <c r="P12" i="1" s="1"/>
  <c r="Q12" i="1" s="1"/>
  <c r="O11" i="1"/>
  <c r="P11" i="1" s="1"/>
  <c r="Q11" i="1" s="1"/>
  <c r="O10" i="1"/>
  <c r="P10" i="1" s="1"/>
  <c r="Q10" i="1" s="1"/>
  <c r="O9" i="1"/>
  <c r="P9" i="1" s="1"/>
  <c r="Q9" i="1" s="1"/>
  <c r="O8" i="1"/>
  <c r="P8" i="1" s="1"/>
  <c r="Q8" i="1" s="1"/>
  <c r="O7" i="1"/>
  <c r="P7" i="1" s="1"/>
  <c r="Q7" i="1" s="1"/>
  <c r="O6" i="1"/>
  <c r="P6" i="1" s="1"/>
  <c r="Q6" i="1" s="1"/>
  <c r="O5" i="1"/>
  <c r="P5" i="1" s="1"/>
  <c r="Q5" i="1" s="1"/>
  <c r="O4" i="1"/>
  <c r="P4" i="1" s="1"/>
  <c r="Q4" i="1" s="1"/>
  <c r="O3" i="1"/>
  <c r="P3" i="1" s="1"/>
  <c r="Q3" i="1" s="1"/>
  <c r="O2" i="1"/>
  <c r="P2" i="1" s="1"/>
  <c r="Q2" i="1" s="1"/>
  <c r="R16" i="1"/>
  <c r="S16" i="1" s="1"/>
  <c r="T16" i="1" s="1"/>
  <c r="R15" i="1"/>
  <c r="S15" i="1" s="1"/>
  <c r="T15" i="1" s="1"/>
  <c r="R14" i="1"/>
  <c r="S14" i="1" s="1"/>
  <c r="T14" i="1" s="1"/>
  <c r="R13" i="1"/>
  <c r="S13" i="1" s="1"/>
  <c r="T13" i="1" s="1"/>
  <c r="R12" i="1"/>
  <c r="S12" i="1" s="1"/>
  <c r="T12" i="1" s="1"/>
  <c r="R11" i="1"/>
  <c r="S11" i="1" s="1"/>
  <c r="T11" i="1" s="1"/>
  <c r="R10" i="1"/>
  <c r="S10" i="1" s="1"/>
  <c r="T10" i="1" s="1"/>
  <c r="R9" i="1"/>
  <c r="S9" i="1" s="1"/>
  <c r="T9" i="1" s="1"/>
  <c r="R8" i="1"/>
  <c r="S8" i="1" s="1"/>
  <c r="T8" i="1" s="1"/>
  <c r="R7" i="1"/>
  <c r="S7" i="1" s="1"/>
  <c r="T7" i="1" s="1"/>
  <c r="R6" i="1"/>
  <c r="S6" i="1" s="1"/>
  <c r="T6" i="1" s="1"/>
  <c r="R5" i="1"/>
  <c r="S5" i="1" s="1"/>
  <c r="T5" i="1" s="1"/>
  <c r="R4" i="1"/>
  <c r="S4" i="1" s="1"/>
  <c r="T4" i="1" s="1"/>
  <c r="R3" i="1"/>
  <c r="S3" i="1" s="1"/>
  <c r="T3" i="1" s="1"/>
  <c r="R2" i="1"/>
  <c r="S2" i="1" s="1"/>
  <c r="T2" i="1" s="1"/>
  <c r="L16" i="1"/>
  <c r="M16" i="1" s="1"/>
  <c r="N16" i="1" s="1"/>
  <c r="L15" i="1"/>
  <c r="M15" i="1" s="1"/>
  <c r="N15" i="1" s="1"/>
  <c r="L14" i="1"/>
  <c r="M14" i="1" s="1"/>
  <c r="N14" i="1" s="1"/>
  <c r="L13" i="1"/>
  <c r="M13" i="1" s="1"/>
  <c r="N13" i="1" s="1"/>
  <c r="L12" i="1"/>
  <c r="M12" i="1" s="1"/>
  <c r="N12" i="1" s="1"/>
  <c r="L11" i="1"/>
  <c r="M11" i="1" s="1"/>
  <c r="N11" i="1" s="1"/>
  <c r="L10" i="1"/>
  <c r="M10" i="1" s="1"/>
  <c r="N10" i="1" s="1"/>
  <c r="L9" i="1"/>
  <c r="M9" i="1" s="1"/>
  <c r="N9" i="1" s="1"/>
  <c r="L8" i="1"/>
  <c r="M8" i="1" s="1"/>
  <c r="N8" i="1" s="1"/>
  <c r="L7" i="1"/>
  <c r="M7" i="1" s="1"/>
  <c r="N7" i="1" s="1"/>
  <c r="L6" i="1"/>
  <c r="M6" i="1" s="1"/>
  <c r="N6" i="1" s="1"/>
  <c r="L5" i="1"/>
  <c r="M5" i="1" s="1"/>
  <c r="N5" i="1" s="1"/>
  <c r="L4" i="1"/>
  <c r="M4" i="1" s="1"/>
  <c r="N4" i="1" s="1"/>
  <c r="L3" i="1"/>
  <c r="M3" i="1" s="1"/>
  <c r="N3" i="1" s="1"/>
  <c r="L2" i="1"/>
  <c r="M2" i="1" s="1"/>
  <c r="N2" i="1" s="1"/>
  <c r="I3" i="1"/>
  <c r="J3" i="1" s="1"/>
  <c r="K3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5" i="1"/>
  <c r="J15" i="1" s="1"/>
  <c r="K15" i="1" s="1"/>
  <c r="I16" i="1"/>
  <c r="J16" i="1" s="1"/>
  <c r="K16" i="1" s="1"/>
  <c r="I2" i="1"/>
  <c r="J2" i="1" s="1"/>
  <c r="K2" i="1" s="1"/>
  <c r="C11" i="1"/>
  <c r="C3" i="1"/>
  <c r="C15" i="1"/>
  <c r="C14" i="1"/>
  <c r="Z17" i="1" l="1"/>
  <c r="K17" i="1"/>
  <c r="N17" i="1"/>
  <c r="T17" i="1"/>
  <c r="W17" i="1"/>
  <c r="Q17" i="1"/>
  <c r="AB1" i="1"/>
  <c r="AC2" i="1"/>
  <c r="C7" i="1"/>
  <c r="C2" i="1" l="1"/>
  <c r="C5" i="1"/>
  <c r="C8" i="1" l="1"/>
  <c r="C16" i="1"/>
  <c r="C9" i="1"/>
  <c r="C12" i="1"/>
  <c r="C10" i="1"/>
  <c r="C6" i="1"/>
  <c r="C4" i="1"/>
  <c r="C13" i="1"/>
  <c r="AD2" i="1" l="1"/>
  <c r="AD17" i="1"/>
</calcChain>
</file>

<file path=xl/sharedStrings.xml><?xml version="1.0" encoding="utf-8"?>
<sst xmlns="http://schemas.openxmlformats.org/spreadsheetml/2006/main" count="92" uniqueCount="73">
  <si>
    <t>link</t>
  </si>
  <si>
    <t>Supplier</t>
  </si>
  <si>
    <t>QTY</t>
  </si>
  <si>
    <t>Price</t>
  </si>
  <si>
    <t>Included QTY</t>
  </si>
  <si>
    <t>5 mm to 8 mm coupler</t>
  </si>
  <si>
    <t>Part Number</t>
  </si>
  <si>
    <t>Description</t>
  </si>
  <si>
    <t>link text</t>
  </si>
  <si>
    <t>McMaster-Carr</t>
  </si>
  <si>
    <t>94510A240</t>
  </si>
  <si>
    <t>https://www.mcmaster.com/#94510A240</t>
  </si>
  <si>
    <t>1</t>
  </si>
  <si>
    <t>200 x  8 mm shaft</t>
  </si>
  <si>
    <t>8mm lead screw nut</t>
  </si>
  <si>
    <t>STEPPERONLINE</t>
  </si>
  <si>
    <t>Amazon</t>
  </si>
  <si>
    <t>https://www.mcmaster.com/#92000A120</t>
  </si>
  <si>
    <t>92000A120</t>
  </si>
  <si>
    <t>4</t>
  </si>
  <si>
    <t>Digi-Key</t>
  </si>
  <si>
    <t>https://www.digikey.com/products/en?keywords=255-5122-nd</t>
  </si>
  <si>
    <t>2</t>
  </si>
  <si>
    <t>255-5122-ND</t>
  </si>
  <si>
    <t>Knob</t>
  </si>
  <si>
    <t>6479K78</t>
  </si>
  <si>
    <t>https://www.mcmaster.com/#6479K78</t>
  </si>
  <si>
    <t>17HS24-0644S</t>
  </si>
  <si>
    <t>https://www.omc-stepperonline.com/hybrid-stepper-motor/nema-17-bipolar-18deg-60ncm-85ozin-064a-10v-42x42x60mm-4-wires-17hs24-0644s.html?search=17hs24-0644s</t>
  </si>
  <si>
    <t>Qty for # of pumps</t>
  </si>
  <si>
    <t>Qty to order</t>
  </si>
  <si>
    <t>for 5</t>
  </si>
  <si>
    <t>.249"  aluminum 5052</t>
  </si>
  <si>
    <t>.25" aluminum 6061</t>
  </si>
  <si>
    <t>1 to 4</t>
  </si>
  <si>
    <t>.25" polycarbonate</t>
  </si>
  <si>
    <t>10 to 49</t>
  </si>
  <si>
    <t>50-99</t>
  </si>
  <si>
    <t>.25" clear acylic</t>
  </si>
  <si>
    <t>92005A130</t>
  </si>
  <si>
    <t>https://www.mcmaster.com/#92005A130</t>
  </si>
  <si>
    <t>Spring</t>
  </si>
  <si>
    <t>https://www.mcmaster.com/#9657K267</t>
  </si>
  <si>
    <t>9657K267</t>
  </si>
  <si>
    <t>M3 x 25mm machine screw</t>
  </si>
  <si>
    <t>M3 x 10mm machine screw</t>
  </si>
  <si>
    <t>M3 Threaded insert</t>
  </si>
  <si>
    <t>Nema 17 bipolar 60Ncm 200steps</t>
  </si>
  <si>
    <t>https://www.amazon.com/Befenybay-Coupling-Diameter-Coupler-Aluminum/dp/B07Q5Q3DCB/ref=sr_1_1?keywords=B07Q5Q3DCB&amp;qid=1565137893&amp;s=gateway&amp;sr=8-1</t>
  </si>
  <si>
    <t>B07Q5Q3DCB</t>
  </si>
  <si>
    <t>Limit Switch</t>
  </si>
  <si>
    <t>https://www.digikey.com/products/en?keywords=277-2296-nd</t>
  </si>
  <si>
    <t>277-2296-ND</t>
  </si>
  <si>
    <t>DIN clip</t>
  </si>
  <si>
    <t>https://www.gobilda.com/2100-series-stainless-steel-round-shaft-8mm-diameter-200mm-length/</t>
  </si>
  <si>
    <t>https://www.gobilda.com/3505-series-lead-screw-pattern-nut-8mm-lead-4-start-32mm-od-16mm-length/</t>
  </si>
  <si>
    <t xml:space="preserve">250 x 8mm lead screw </t>
  </si>
  <si>
    <t>https://www.gobilda.com/3501-series-lead-screw-8mm-lead-4-start-250mm-length/</t>
  </si>
  <si>
    <t>goBILDA</t>
  </si>
  <si>
    <t>10</t>
  </si>
  <si>
    <t>3</t>
  </si>
  <si>
    <t>97259A101</t>
  </si>
  <si>
    <t>https://www.mcmaster.com/97259A101/</t>
  </si>
  <si>
    <t>M3 x 16mm machine screw</t>
  </si>
  <si>
    <t>https://www.mcmaster.com/92005A126/</t>
  </si>
  <si>
    <t>92005A126</t>
  </si>
  <si>
    <t>M3 Thin square nut</t>
  </si>
  <si>
    <t>Linear ball bearing</t>
  </si>
  <si>
    <t>https://www.gobilda.com/1612-series-linear-ball-bearing-8mm-id-x-15mm-od-45mm-length-2-pack/</t>
  </si>
  <si>
    <t>1612-0815-0045</t>
  </si>
  <si>
    <t>3505-0804-3216</t>
  </si>
  <si>
    <t>3501-0804-0250</t>
  </si>
  <si>
    <t>2100-0008-0200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</si>
</sst>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\ &quot;Assemblies&quot;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4" fontId="0" fillId="0" borderId="0" xfId="3" applyFont="1" applyAlignment="1">
      <alignment horizontal="left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3" applyNumberFormat="1" applyFont="1" applyAlignment="1">
      <alignment horizontal="left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3" applyFont="1" applyAlignment="1">
      <alignment horizontal="center" vertical="center" wrapText="1"/>
    </xf>
    <xf numFmtId="1" fontId="0" fillId="0" borderId="0" xfId="3" applyNumberFormat="1" applyFon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164" fontId="0" fillId="2" borderId="4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Per Pump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BOM!$AB$4:$AB$14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BOM!$AD$4:$AD$14</c:f>
              <c:numCache>
                <c:formatCode>_("$"* #,##0.00_);_("$"* \(#,##0.00\);_("$"* "-"??_);_(@_)</c:formatCode>
                <c:ptCount val="11"/>
                <c:pt idx="0">
                  <c:v>106.07</c:v>
                </c:pt>
                <c:pt idx="1">
                  <c:v>76.22</c:v>
                </c:pt>
                <c:pt idx="2">
                  <c:v>71.930000000000007</c:v>
                </c:pt>
                <c:pt idx="3">
                  <c:v>68.167500000000004</c:v>
                </c:pt>
                <c:pt idx="4">
                  <c:v>67.204000000000008</c:v>
                </c:pt>
                <c:pt idx="5">
                  <c:v>63.731666666666662</c:v>
                </c:pt>
                <c:pt idx="6">
                  <c:v>65.178571428571431</c:v>
                </c:pt>
                <c:pt idx="7">
                  <c:v>62.827500000000001</c:v>
                </c:pt>
                <c:pt idx="8">
                  <c:v>62.885555555555555</c:v>
                </c:pt>
                <c:pt idx="9">
                  <c:v>62.285000000000004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F0-CE40-9B6B-089049FE7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051967"/>
        <c:axId val="1106053663"/>
      </c:scatterChart>
      <c:valAx>
        <c:axId val="110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Pumps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53663"/>
        <c:crosses val="autoZero"/>
        <c:crossBetween val="midCat"/>
      </c:valAx>
      <c:valAx>
        <c:axId val="110605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5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BOM!$AB$4:$AB$13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BOM!$AD$4:$AD$13</c:f>
              <c:numCache>
                <c:formatCode>_("$"* #,##0.00_);_("$"* \(#,##0.00\);_("$"* "-"??_);_(@_)</c:formatCode>
                <c:ptCount val="10"/>
                <c:pt idx="0">
                  <c:v>106.07</c:v>
                </c:pt>
                <c:pt idx="1">
                  <c:v>76.22</c:v>
                </c:pt>
                <c:pt idx="2">
                  <c:v>71.930000000000007</c:v>
                </c:pt>
                <c:pt idx="3">
                  <c:v>68.167500000000004</c:v>
                </c:pt>
                <c:pt idx="4">
                  <c:v>67.204000000000008</c:v>
                </c:pt>
                <c:pt idx="5">
                  <c:v>63.731666666666662</c:v>
                </c:pt>
                <c:pt idx="6">
                  <c:v>65.178571428571431</c:v>
                </c:pt>
                <c:pt idx="7">
                  <c:v>62.827500000000001</c:v>
                </c:pt>
                <c:pt idx="8">
                  <c:v>62.885555555555555</c:v>
                </c:pt>
                <c:pt idx="9">
                  <c:v>62.285000000000004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62-0942-8AD2-5C3FD2C51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002319"/>
        <c:axId val="2060863519"/>
      </c:scatterChart>
      <c:valAx>
        <c:axId val="206100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863519"/>
        <c:crosses val="autoZero"/>
        <c:crossBetween val="midCat"/>
      </c:valAx>
      <c:valAx>
        <c:axId val="206086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00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241300</xdr:colOff>
      <xdr:row>1</xdr:row>
      <xdr:rowOff>25400</xdr:rowOff>
    </xdr:from>
    <xdr:to>
      <xdr:col>37</xdr:col>
      <xdr:colOff>406400</xdr:colOff>
      <xdr:row>16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51024C-3302-6649-857D-91C92D76A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781050</xdr:colOff>
      <xdr:row>19</xdr:row>
      <xdr:rowOff>82550</xdr:rowOff>
    </xdr:from>
    <xdr:to>
      <xdr:col>32</xdr:col>
      <xdr:colOff>400050</xdr:colOff>
      <xdr:row>32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3F2A0F-EAEE-F941-87E7-2DA31A89A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"/>
  <sheetViews>
    <sheetView tabSelected="1" zoomScaleNormal="100" workbookViewId="0">
      <selection activeCell="F11" sqref="F11"/>
    </sheetView>
  </sheetViews>
  <sheetFormatPr baseColWidth="10" defaultRowHeight="16" x14ac:dyDescent="0.2"/>
  <cols>
    <col min="1" max="1" width="5.6640625" style="3" bestFit="1" customWidth="1"/>
    <col min="2" max="2" width="29.6640625" style="1" bestFit="1" customWidth="1"/>
    <col min="3" max="3" width="36.33203125" style="1" customWidth="1"/>
    <col min="4" max="4" width="14.33203125" style="1" bestFit="1" customWidth="1"/>
    <col min="5" max="5" width="12.83203125" style="1" bestFit="1" customWidth="1"/>
    <col min="6" max="6" width="54.1640625" style="1" customWidth="1"/>
    <col min="7" max="7" width="6.6640625" style="1" bestFit="1" customWidth="1"/>
    <col min="8" max="8" width="7" style="1" bestFit="1" customWidth="1"/>
    <col min="9" max="9" width="10.5" style="1" bestFit="1" customWidth="1"/>
    <col min="10" max="10" width="6.1640625" style="4" bestFit="1" customWidth="1"/>
    <col min="11" max="12" width="11.6640625" style="1" customWidth="1"/>
    <col min="13" max="13" width="6.1640625" style="1" bestFit="1" customWidth="1"/>
    <col min="14" max="14" width="12" style="1" bestFit="1" customWidth="1"/>
    <col min="15" max="15" width="11.6640625" style="1" customWidth="1"/>
    <col min="16" max="16" width="6.1640625" style="1" bestFit="1" customWidth="1"/>
    <col min="17" max="17" width="13" style="1" bestFit="1" customWidth="1"/>
    <col min="18" max="18" width="11.6640625" style="1" customWidth="1"/>
    <col min="19" max="19" width="6.1640625" style="1" bestFit="1" customWidth="1"/>
    <col min="20" max="20" width="13" style="1" bestFit="1" customWidth="1"/>
    <col min="21" max="21" width="11.6640625" style="1" customWidth="1"/>
    <col min="22" max="22" width="6.1640625" style="1" bestFit="1" customWidth="1"/>
    <col min="23" max="23" width="13" style="1" bestFit="1" customWidth="1"/>
    <col min="24" max="24" width="11.6640625" style="1" customWidth="1"/>
    <col min="25" max="25" width="6.1640625" style="1" bestFit="1" customWidth="1"/>
    <col min="26" max="26" width="13" style="1" bestFit="1" customWidth="1"/>
    <col min="27" max="27" width="10.83203125" style="1"/>
    <col min="28" max="28" width="13" style="11" bestFit="1" customWidth="1"/>
    <col min="29" max="29" width="10.5" style="10" bestFit="1" customWidth="1"/>
    <col min="30" max="30" width="9" style="10" bestFit="1" customWidth="1"/>
    <col min="31" max="38" width="10.83203125" style="1"/>
    <col min="39" max="39" width="19.5" style="1" bestFit="1" customWidth="1"/>
    <col min="40" max="16384" width="10.83203125" style="1"/>
  </cols>
  <sheetData>
    <row r="1" spans="1:43" s="15" customFormat="1" ht="35" thickBot="1" x14ac:dyDescent="0.25">
      <c r="A1" s="14" t="s">
        <v>2</v>
      </c>
      <c r="B1" s="15" t="s">
        <v>7</v>
      </c>
      <c r="C1" s="15" t="s">
        <v>6</v>
      </c>
      <c r="D1" s="15" t="s">
        <v>1</v>
      </c>
      <c r="E1" s="15" t="s">
        <v>8</v>
      </c>
      <c r="F1" s="15" t="s">
        <v>0</v>
      </c>
      <c r="G1" s="15" t="s">
        <v>3</v>
      </c>
      <c r="H1" s="15" t="s">
        <v>4</v>
      </c>
      <c r="I1" s="18" t="s">
        <v>29</v>
      </c>
      <c r="J1" s="19" t="s">
        <v>30</v>
      </c>
      <c r="K1" s="20">
        <v>1</v>
      </c>
      <c r="L1" s="18" t="s">
        <v>29</v>
      </c>
      <c r="M1" s="19" t="s">
        <v>30</v>
      </c>
      <c r="N1" s="20">
        <v>2</v>
      </c>
      <c r="O1" s="18" t="s">
        <v>29</v>
      </c>
      <c r="P1" s="19" t="s">
        <v>30</v>
      </c>
      <c r="Q1" s="20">
        <v>4</v>
      </c>
      <c r="R1" s="18" t="s">
        <v>29</v>
      </c>
      <c r="S1" s="19" t="s">
        <v>30</v>
      </c>
      <c r="T1" s="20">
        <v>6</v>
      </c>
      <c r="U1" s="18" t="s">
        <v>29</v>
      </c>
      <c r="V1" s="19" t="s">
        <v>30</v>
      </c>
      <c r="W1" s="20">
        <v>8</v>
      </c>
      <c r="X1" s="18" t="s">
        <v>29</v>
      </c>
      <c r="Y1" s="19" t="s">
        <v>30</v>
      </c>
      <c r="Z1" s="20">
        <v>10</v>
      </c>
      <c r="AB1" s="21">
        <f>SUM(K2:K16)</f>
        <v>111.22</v>
      </c>
      <c r="AC1" s="16"/>
      <c r="AD1" s="16"/>
    </row>
    <row r="2" spans="1:43" x14ac:dyDescent="0.2">
      <c r="A2" s="3" t="s">
        <v>19</v>
      </c>
      <c r="B2" s="1" t="s">
        <v>44</v>
      </c>
      <c r="C2" s="1" t="str">
        <f t="shared" ref="C2:C16" si="0">CONCATENATE("`",E2," &lt;",F2,"&gt;`_")</f>
        <v>`92005A130 &lt;https://www.mcmaster.com/#92005A130&gt;`_</v>
      </c>
      <c r="D2" s="1" t="s">
        <v>9</v>
      </c>
      <c r="E2" s="1" t="s">
        <v>39</v>
      </c>
      <c r="F2" s="1" t="s">
        <v>40</v>
      </c>
      <c r="G2" s="6">
        <v>3.36</v>
      </c>
      <c r="H2" s="1">
        <v>100</v>
      </c>
      <c r="I2" s="17">
        <f xml:space="preserve"> $A2*K$1</f>
        <v>4</v>
      </c>
      <c r="J2" s="17">
        <f>ROUNDUP(I2/$H2,0)</f>
        <v>1</v>
      </c>
      <c r="K2" s="6">
        <f>J2*$G2/K$1</f>
        <v>3.36</v>
      </c>
      <c r="L2" s="17">
        <f xml:space="preserve"> $A2*N$1</f>
        <v>8</v>
      </c>
      <c r="M2" s="17">
        <f>ROUNDUP(L2/$H2,0)</f>
        <v>1</v>
      </c>
      <c r="N2" s="6">
        <f>M2*$G2/N$1</f>
        <v>1.68</v>
      </c>
      <c r="O2" s="17">
        <f xml:space="preserve"> $A2*Q$1</f>
        <v>16</v>
      </c>
      <c r="P2" s="17">
        <f>ROUNDUP(O2/$H2,0)</f>
        <v>1</v>
      </c>
      <c r="Q2" s="6">
        <f>P2*$G2/Q$1</f>
        <v>0.84</v>
      </c>
      <c r="R2" s="17">
        <f xml:space="preserve"> $A2*T$1</f>
        <v>24</v>
      </c>
      <c r="S2" s="17">
        <f>ROUNDUP(R2/$H2,0)</f>
        <v>1</v>
      </c>
      <c r="T2" s="6">
        <f>S2*$G2/T$1</f>
        <v>0.55999999999999994</v>
      </c>
      <c r="U2" s="17">
        <f xml:space="preserve"> $A2*W$1</f>
        <v>32</v>
      </c>
      <c r="V2" s="17">
        <f>ROUNDUP(U2/$H2,0)</f>
        <v>1</v>
      </c>
      <c r="W2" s="6">
        <f>V2*$G2/W$1</f>
        <v>0.42</v>
      </c>
      <c r="X2" s="17">
        <f xml:space="preserve"> $A2*Z$1</f>
        <v>40</v>
      </c>
      <c r="Y2" s="17">
        <f>ROUNDUP(X2/$H2,0)</f>
        <v>1</v>
      </c>
      <c r="Z2" s="6">
        <f>Y2*$G2/Z$1</f>
        <v>0.33599999999999997</v>
      </c>
      <c r="AC2" s="10">
        <f>SUMPRODUCT(BOM!J2:J16,BOM!G2:G16)</f>
        <v>111.22</v>
      </c>
      <c r="AD2" s="10">
        <f>AC2/K1</f>
        <v>111.22</v>
      </c>
      <c r="AE2"/>
      <c r="AF2"/>
      <c r="AG2"/>
      <c r="AH2"/>
      <c r="AI2"/>
      <c r="AJ2"/>
      <c r="AK2"/>
      <c r="AL2"/>
    </row>
    <row r="3" spans="1:43" x14ac:dyDescent="0.2">
      <c r="A3" s="3" t="s">
        <v>19</v>
      </c>
      <c r="B3" s="1" t="s">
        <v>63</v>
      </c>
      <c r="C3" s="1" t="str">
        <f t="shared" si="0"/>
        <v>`92005A126 &lt;https://www.mcmaster.com/92005A126/&gt;`_</v>
      </c>
      <c r="E3" s="1" t="s">
        <v>65</v>
      </c>
      <c r="F3" t="s">
        <v>64</v>
      </c>
      <c r="G3" s="1">
        <v>3.9</v>
      </c>
      <c r="H3" s="1">
        <v>100</v>
      </c>
      <c r="I3" s="17">
        <f t="shared" ref="I3:I16" si="1" xml:space="preserve"> $A3*K$1</f>
        <v>4</v>
      </c>
      <c r="J3" s="17">
        <f t="shared" ref="J3:J16" si="2">ROUNDUP(I3/$H3,0)</f>
        <v>1</v>
      </c>
      <c r="K3" s="6">
        <f t="shared" ref="K3:K16" si="3">J3*$G3/K$1</f>
        <v>3.9</v>
      </c>
      <c r="L3" s="17">
        <f t="shared" ref="L3:L16" si="4" xml:space="preserve"> $A3*N$1</f>
        <v>8</v>
      </c>
      <c r="M3" s="17">
        <f t="shared" ref="M3:M16" si="5">ROUNDUP(L3/$H3,0)</f>
        <v>1</v>
      </c>
      <c r="N3" s="6">
        <f t="shared" ref="N3:N16" si="6">M3*$G3/N$1</f>
        <v>1.95</v>
      </c>
      <c r="O3" s="17">
        <f t="shared" ref="O3:O16" si="7" xml:space="preserve"> $A3*Q$1</f>
        <v>16</v>
      </c>
      <c r="P3" s="17">
        <f t="shared" ref="P3:P16" si="8">ROUNDUP(O3/$H3,0)</f>
        <v>1</v>
      </c>
      <c r="Q3" s="6">
        <f t="shared" ref="Q3:Q16" si="9">P3*$G3/Q$1</f>
        <v>0.97499999999999998</v>
      </c>
      <c r="R3" s="17">
        <f t="shared" ref="R3:R16" si="10" xml:space="preserve"> $A3*T$1</f>
        <v>24</v>
      </c>
      <c r="S3" s="17">
        <f t="shared" ref="S3:S16" si="11">ROUNDUP(R3/$H3,0)</f>
        <v>1</v>
      </c>
      <c r="T3" s="6">
        <f t="shared" ref="T3:T16" si="12">S3*$G3/T$1</f>
        <v>0.65</v>
      </c>
      <c r="U3" s="17">
        <f t="shared" ref="U3:U16" si="13" xml:space="preserve"> $A3*W$1</f>
        <v>32</v>
      </c>
      <c r="V3" s="17">
        <f t="shared" ref="V3:V16" si="14">ROUNDUP(U3/$H3,0)</f>
        <v>1</v>
      </c>
      <c r="W3" s="6">
        <f t="shared" ref="W3:W16" si="15">V3*$G3/W$1</f>
        <v>0.48749999999999999</v>
      </c>
      <c r="X3" s="17">
        <f t="shared" ref="X3:X16" si="16" xml:space="preserve"> $A3*Z$1</f>
        <v>40</v>
      </c>
      <c r="Y3" s="17">
        <f t="shared" ref="Y3:Y16" si="17">ROUNDUP(X3/$H3,0)</f>
        <v>1</v>
      </c>
      <c r="Z3" s="6">
        <f t="shared" ref="Z3:Z16" si="18">Y3*$G3/Z$1</f>
        <v>0.39</v>
      </c>
      <c r="AE3"/>
      <c r="AF3"/>
      <c r="AG3"/>
      <c r="AH3"/>
      <c r="AI3"/>
      <c r="AJ3"/>
      <c r="AK3"/>
      <c r="AL3"/>
    </row>
    <row r="4" spans="1:43" x14ac:dyDescent="0.2">
      <c r="A4" s="3" t="s">
        <v>59</v>
      </c>
      <c r="B4" s="1" t="s">
        <v>45</v>
      </c>
      <c r="C4" s="1" t="str">
        <f t="shared" si="0"/>
        <v>`92000A120 &lt;https://www.mcmaster.com/#92000A120&gt;`_</v>
      </c>
      <c r="E4" s="1" t="s">
        <v>18</v>
      </c>
      <c r="F4" s="1" t="s">
        <v>17</v>
      </c>
      <c r="G4" s="6">
        <v>4.7</v>
      </c>
      <c r="H4" s="1">
        <v>100</v>
      </c>
      <c r="I4" s="17">
        <f t="shared" si="1"/>
        <v>10</v>
      </c>
      <c r="J4" s="17">
        <f t="shared" si="2"/>
        <v>1</v>
      </c>
      <c r="K4" s="6">
        <f t="shared" si="3"/>
        <v>4.7</v>
      </c>
      <c r="L4" s="17">
        <f t="shared" si="4"/>
        <v>20</v>
      </c>
      <c r="M4" s="17">
        <f t="shared" si="5"/>
        <v>1</v>
      </c>
      <c r="N4" s="6">
        <f t="shared" si="6"/>
        <v>2.35</v>
      </c>
      <c r="O4" s="17">
        <f t="shared" si="7"/>
        <v>40</v>
      </c>
      <c r="P4" s="17">
        <f t="shared" si="8"/>
        <v>1</v>
      </c>
      <c r="Q4" s="6">
        <f t="shared" si="9"/>
        <v>1.175</v>
      </c>
      <c r="R4" s="17">
        <f t="shared" si="10"/>
        <v>60</v>
      </c>
      <c r="S4" s="17">
        <f t="shared" si="11"/>
        <v>1</v>
      </c>
      <c r="T4" s="6">
        <f t="shared" si="12"/>
        <v>0.78333333333333333</v>
      </c>
      <c r="U4" s="17">
        <f t="shared" si="13"/>
        <v>80</v>
      </c>
      <c r="V4" s="17">
        <f t="shared" si="14"/>
        <v>1</v>
      </c>
      <c r="W4" s="6">
        <f t="shared" si="15"/>
        <v>0.58750000000000002</v>
      </c>
      <c r="X4" s="17">
        <f t="shared" si="16"/>
        <v>100</v>
      </c>
      <c r="Y4" s="17">
        <f t="shared" si="17"/>
        <v>1</v>
      </c>
      <c r="Z4" s="6">
        <f t="shared" si="18"/>
        <v>0.47000000000000003</v>
      </c>
      <c r="AB4" s="11">
        <v>1</v>
      </c>
      <c r="AC4" s="10">
        <v>106.07</v>
      </c>
      <c r="AD4" s="10">
        <v>106.07</v>
      </c>
      <c r="AE4"/>
      <c r="AF4"/>
      <c r="AG4"/>
      <c r="AH4"/>
      <c r="AI4"/>
      <c r="AJ4"/>
      <c r="AK4"/>
      <c r="AL4"/>
    </row>
    <row r="5" spans="1:43" x14ac:dyDescent="0.2">
      <c r="A5" s="3" t="s">
        <v>19</v>
      </c>
      <c r="B5" s="1" t="s">
        <v>66</v>
      </c>
      <c r="C5" s="1" t="str">
        <f t="shared" si="0"/>
        <v>`97259A101 &lt;https://www.mcmaster.com/97259A101/&gt;`_</v>
      </c>
      <c r="E5" s="1" t="s">
        <v>61</v>
      </c>
      <c r="F5" t="s">
        <v>62</v>
      </c>
      <c r="G5" s="6">
        <v>8</v>
      </c>
      <c r="H5" s="1">
        <v>100</v>
      </c>
      <c r="I5" s="17">
        <f t="shared" si="1"/>
        <v>4</v>
      </c>
      <c r="J5" s="17">
        <f t="shared" si="2"/>
        <v>1</v>
      </c>
      <c r="K5" s="6">
        <f t="shared" si="3"/>
        <v>8</v>
      </c>
      <c r="L5" s="17">
        <f t="shared" si="4"/>
        <v>8</v>
      </c>
      <c r="M5" s="17">
        <f t="shared" si="5"/>
        <v>1</v>
      </c>
      <c r="N5" s="6">
        <f t="shared" si="6"/>
        <v>4</v>
      </c>
      <c r="O5" s="17">
        <f t="shared" si="7"/>
        <v>16</v>
      </c>
      <c r="P5" s="17">
        <f t="shared" si="8"/>
        <v>1</v>
      </c>
      <c r="Q5" s="6">
        <f t="shared" si="9"/>
        <v>2</v>
      </c>
      <c r="R5" s="17">
        <f t="shared" si="10"/>
        <v>24</v>
      </c>
      <c r="S5" s="17">
        <f t="shared" si="11"/>
        <v>1</v>
      </c>
      <c r="T5" s="6">
        <f t="shared" si="12"/>
        <v>1.3333333333333333</v>
      </c>
      <c r="U5" s="17">
        <f t="shared" si="13"/>
        <v>32</v>
      </c>
      <c r="V5" s="17">
        <f t="shared" si="14"/>
        <v>1</v>
      </c>
      <c r="W5" s="6">
        <f t="shared" si="15"/>
        <v>1</v>
      </c>
      <c r="X5" s="17">
        <f t="shared" si="16"/>
        <v>40</v>
      </c>
      <c r="Y5" s="17">
        <f t="shared" si="17"/>
        <v>1</v>
      </c>
      <c r="Z5" s="6">
        <f t="shared" si="18"/>
        <v>0.8</v>
      </c>
      <c r="AB5" s="11">
        <v>2</v>
      </c>
      <c r="AC5" s="10">
        <v>152.44</v>
      </c>
      <c r="AD5" s="10">
        <v>76.22</v>
      </c>
      <c r="AE5"/>
      <c r="AF5"/>
      <c r="AG5"/>
      <c r="AH5"/>
      <c r="AI5"/>
      <c r="AJ5"/>
      <c r="AK5"/>
      <c r="AL5"/>
    </row>
    <row r="6" spans="1:43" x14ac:dyDescent="0.2">
      <c r="A6" s="3" t="s">
        <v>60</v>
      </c>
      <c r="B6" s="1" t="s">
        <v>46</v>
      </c>
      <c r="C6" s="1" t="str">
        <f t="shared" si="0"/>
        <v>`94510A240 &lt;https://www.mcmaster.com/#94510A240&gt;`_</v>
      </c>
      <c r="E6" s="1" t="s">
        <v>10</v>
      </c>
      <c r="F6" s="1" t="s">
        <v>11</v>
      </c>
      <c r="G6" s="6">
        <v>7.2</v>
      </c>
      <c r="H6" s="1">
        <v>50</v>
      </c>
      <c r="I6" s="17">
        <f t="shared" si="1"/>
        <v>3</v>
      </c>
      <c r="J6" s="17">
        <f t="shared" si="2"/>
        <v>1</v>
      </c>
      <c r="K6" s="6">
        <f t="shared" si="3"/>
        <v>7.2</v>
      </c>
      <c r="L6" s="17">
        <f t="shared" si="4"/>
        <v>6</v>
      </c>
      <c r="M6" s="17">
        <f t="shared" si="5"/>
        <v>1</v>
      </c>
      <c r="N6" s="6">
        <f t="shared" si="6"/>
        <v>3.6</v>
      </c>
      <c r="O6" s="17">
        <f t="shared" si="7"/>
        <v>12</v>
      </c>
      <c r="P6" s="17">
        <f t="shared" si="8"/>
        <v>1</v>
      </c>
      <c r="Q6" s="6">
        <f t="shared" si="9"/>
        <v>1.8</v>
      </c>
      <c r="R6" s="17">
        <f t="shared" si="10"/>
        <v>18</v>
      </c>
      <c r="S6" s="17">
        <f t="shared" si="11"/>
        <v>1</v>
      </c>
      <c r="T6" s="6">
        <f t="shared" si="12"/>
        <v>1.2</v>
      </c>
      <c r="U6" s="17">
        <f t="shared" si="13"/>
        <v>24</v>
      </c>
      <c r="V6" s="17">
        <f t="shared" si="14"/>
        <v>1</v>
      </c>
      <c r="W6" s="6">
        <f t="shared" si="15"/>
        <v>0.9</v>
      </c>
      <c r="X6" s="17">
        <f t="shared" si="16"/>
        <v>30</v>
      </c>
      <c r="Y6" s="17">
        <f t="shared" si="17"/>
        <v>1</v>
      </c>
      <c r="Z6" s="6">
        <f t="shared" si="18"/>
        <v>0.72</v>
      </c>
      <c r="AB6" s="11">
        <v>3</v>
      </c>
      <c r="AC6" s="10">
        <v>215.79000000000002</v>
      </c>
      <c r="AD6" s="10">
        <v>71.930000000000007</v>
      </c>
      <c r="AE6"/>
      <c r="AF6"/>
      <c r="AG6"/>
      <c r="AH6"/>
      <c r="AI6"/>
      <c r="AJ6"/>
      <c r="AK6"/>
      <c r="AL6"/>
    </row>
    <row r="7" spans="1:43" x14ac:dyDescent="0.2">
      <c r="A7" s="3" t="s">
        <v>19</v>
      </c>
      <c r="B7" s="1" t="s">
        <v>41</v>
      </c>
      <c r="C7" s="1" t="str">
        <f t="shared" si="0"/>
        <v>`9657K267 &lt;https://www.mcmaster.com/#9657K267&gt;`_</v>
      </c>
      <c r="E7" s="1" t="s">
        <v>43</v>
      </c>
      <c r="F7" s="1" t="s">
        <v>42</v>
      </c>
      <c r="G7" s="6">
        <v>10.51</v>
      </c>
      <c r="H7" s="1">
        <v>12</v>
      </c>
      <c r="I7" s="17">
        <f t="shared" si="1"/>
        <v>4</v>
      </c>
      <c r="J7" s="17">
        <f t="shared" si="2"/>
        <v>1</v>
      </c>
      <c r="K7" s="6">
        <f t="shared" si="3"/>
        <v>10.51</v>
      </c>
      <c r="L7" s="17">
        <f t="shared" si="4"/>
        <v>8</v>
      </c>
      <c r="M7" s="17">
        <f t="shared" si="5"/>
        <v>1</v>
      </c>
      <c r="N7" s="6">
        <f t="shared" si="6"/>
        <v>5.2549999999999999</v>
      </c>
      <c r="O7" s="17">
        <f t="shared" si="7"/>
        <v>16</v>
      </c>
      <c r="P7" s="17">
        <f t="shared" si="8"/>
        <v>2</v>
      </c>
      <c r="Q7" s="6">
        <f t="shared" si="9"/>
        <v>5.2549999999999999</v>
      </c>
      <c r="R7" s="17">
        <f t="shared" si="10"/>
        <v>24</v>
      </c>
      <c r="S7" s="17">
        <f t="shared" si="11"/>
        <v>2</v>
      </c>
      <c r="T7" s="6">
        <f t="shared" si="12"/>
        <v>3.5033333333333334</v>
      </c>
      <c r="U7" s="17">
        <f t="shared" si="13"/>
        <v>32</v>
      </c>
      <c r="V7" s="17">
        <f t="shared" si="14"/>
        <v>3</v>
      </c>
      <c r="W7" s="6">
        <f t="shared" si="15"/>
        <v>3.9412500000000001</v>
      </c>
      <c r="X7" s="17">
        <f t="shared" si="16"/>
        <v>40</v>
      </c>
      <c r="Y7" s="17">
        <f t="shared" si="17"/>
        <v>4</v>
      </c>
      <c r="Z7" s="6">
        <f t="shared" si="18"/>
        <v>4.2039999999999997</v>
      </c>
      <c r="AB7" s="11">
        <v>4</v>
      </c>
      <c r="AC7" s="10">
        <v>272.67</v>
      </c>
      <c r="AD7" s="10">
        <v>68.167500000000004</v>
      </c>
      <c r="AE7"/>
      <c r="AF7"/>
      <c r="AG7"/>
      <c r="AH7"/>
      <c r="AI7"/>
      <c r="AJ7"/>
      <c r="AK7"/>
      <c r="AL7"/>
    </row>
    <row r="8" spans="1:43" x14ac:dyDescent="0.2">
      <c r="A8" s="3" t="s">
        <v>12</v>
      </c>
      <c r="B8" s="1" t="s">
        <v>24</v>
      </c>
      <c r="C8" s="1" t="str">
        <f t="shared" si="0"/>
        <v>`6479K78 &lt;https://www.mcmaster.com/#6479K78&gt;`_</v>
      </c>
      <c r="E8" s="1" t="s">
        <v>25</v>
      </c>
      <c r="F8" s="1" t="s">
        <v>26</v>
      </c>
      <c r="G8" s="6">
        <v>5.33</v>
      </c>
      <c r="H8" s="1">
        <v>1</v>
      </c>
      <c r="I8" s="17">
        <f t="shared" si="1"/>
        <v>1</v>
      </c>
      <c r="J8" s="17">
        <f t="shared" si="2"/>
        <v>1</v>
      </c>
      <c r="K8" s="6">
        <f t="shared" si="3"/>
        <v>5.33</v>
      </c>
      <c r="L8" s="17">
        <f t="shared" si="4"/>
        <v>2</v>
      </c>
      <c r="M8" s="17">
        <f t="shared" si="5"/>
        <v>2</v>
      </c>
      <c r="N8" s="6">
        <f t="shared" si="6"/>
        <v>5.33</v>
      </c>
      <c r="O8" s="17">
        <f t="shared" si="7"/>
        <v>4</v>
      </c>
      <c r="P8" s="17">
        <f t="shared" si="8"/>
        <v>4</v>
      </c>
      <c r="Q8" s="6">
        <f t="shared" si="9"/>
        <v>5.33</v>
      </c>
      <c r="R8" s="17">
        <f t="shared" si="10"/>
        <v>6</v>
      </c>
      <c r="S8" s="17">
        <f t="shared" si="11"/>
        <v>6</v>
      </c>
      <c r="T8" s="6">
        <f t="shared" si="12"/>
        <v>5.33</v>
      </c>
      <c r="U8" s="17">
        <f t="shared" si="13"/>
        <v>8</v>
      </c>
      <c r="V8" s="17">
        <f t="shared" si="14"/>
        <v>8</v>
      </c>
      <c r="W8" s="6">
        <f t="shared" si="15"/>
        <v>5.33</v>
      </c>
      <c r="X8" s="17">
        <f t="shared" si="16"/>
        <v>10</v>
      </c>
      <c r="Y8" s="17">
        <f t="shared" si="17"/>
        <v>10</v>
      </c>
      <c r="Z8" s="6">
        <f t="shared" si="18"/>
        <v>5.33</v>
      </c>
      <c r="AB8" s="11">
        <v>5</v>
      </c>
      <c r="AC8" s="10">
        <v>336.02000000000004</v>
      </c>
      <c r="AD8" s="10">
        <v>67.204000000000008</v>
      </c>
      <c r="AE8"/>
      <c r="AF8"/>
      <c r="AG8"/>
      <c r="AH8"/>
      <c r="AI8"/>
      <c r="AJ8"/>
      <c r="AK8"/>
      <c r="AL8"/>
    </row>
    <row r="9" spans="1:43" x14ac:dyDescent="0.2">
      <c r="A9" s="3" t="s">
        <v>12</v>
      </c>
      <c r="B9" s="2" t="s">
        <v>56</v>
      </c>
      <c r="C9" s="1" t="str">
        <f t="shared" si="0"/>
        <v>`3501-0804-0250 &lt;https://www.gobilda.com/3501-series-lead-screw-8mm-lead-4-start-250mm-length/&gt;`_</v>
      </c>
      <c r="D9" s="1" t="s">
        <v>58</v>
      </c>
      <c r="E9" s="1" t="s">
        <v>71</v>
      </c>
      <c r="F9" t="s">
        <v>57</v>
      </c>
      <c r="G9" s="6">
        <v>6.99</v>
      </c>
      <c r="H9" s="1">
        <v>1</v>
      </c>
      <c r="I9" s="17">
        <f t="shared" si="1"/>
        <v>1</v>
      </c>
      <c r="J9" s="17">
        <f t="shared" si="2"/>
        <v>1</v>
      </c>
      <c r="K9" s="6">
        <f t="shared" si="3"/>
        <v>6.99</v>
      </c>
      <c r="L9" s="17">
        <f t="shared" si="4"/>
        <v>2</v>
      </c>
      <c r="M9" s="17">
        <f t="shared" si="5"/>
        <v>2</v>
      </c>
      <c r="N9" s="6">
        <f t="shared" si="6"/>
        <v>6.99</v>
      </c>
      <c r="O9" s="17">
        <f t="shared" si="7"/>
        <v>4</v>
      </c>
      <c r="P9" s="17">
        <f t="shared" si="8"/>
        <v>4</v>
      </c>
      <c r="Q9" s="6">
        <f t="shared" si="9"/>
        <v>6.99</v>
      </c>
      <c r="R9" s="17">
        <f t="shared" si="10"/>
        <v>6</v>
      </c>
      <c r="S9" s="17">
        <f t="shared" si="11"/>
        <v>6</v>
      </c>
      <c r="T9" s="6">
        <f t="shared" si="12"/>
        <v>6.9899999999999993</v>
      </c>
      <c r="U9" s="17">
        <f t="shared" si="13"/>
        <v>8</v>
      </c>
      <c r="V9" s="17">
        <f t="shared" si="14"/>
        <v>8</v>
      </c>
      <c r="W9" s="6">
        <f t="shared" si="15"/>
        <v>6.99</v>
      </c>
      <c r="X9" s="17">
        <f t="shared" si="16"/>
        <v>10</v>
      </c>
      <c r="Y9" s="17">
        <f t="shared" si="17"/>
        <v>10</v>
      </c>
      <c r="Z9" s="6">
        <f t="shared" si="18"/>
        <v>6.99</v>
      </c>
      <c r="AB9" s="11">
        <v>6</v>
      </c>
      <c r="AC9" s="10">
        <v>382.39</v>
      </c>
      <c r="AD9" s="10">
        <v>63.731666666666662</v>
      </c>
      <c r="AE9"/>
      <c r="AF9"/>
      <c r="AG9"/>
      <c r="AH9"/>
      <c r="AI9"/>
      <c r="AJ9"/>
      <c r="AK9"/>
      <c r="AL9"/>
    </row>
    <row r="10" spans="1:43" x14ac:dyDescent="0.2">
      <c r="A10" s="3" t="s">
        <v>12</v>
      </c>
      <c r="B10" s="1" t="s">
        <v>14</v>
      </c>
      <c r="C10" s="1" t="str">
        <f t="shared" si="0"/>
        <v>`3505-0804-3216 &lt;https://www.gobilda.com/3505-series-lead-screw-pattern-nut-8mm-lead-4-start-32mm-od-16mm-length/&gt;`_</v>
      </c>
      <c r="E10" s="1" t="s">
        <v>70</v>
      </c>
      <c r="F10" t="s">
        <v>55</v>
      </c>
      <c r="G10" s="6">
        <v>8.99</v>
      </c>
      <c r="H10" s="1">
        <v>1</v>
      </c>
      <c r="I10" s="17">
        <f t="shared" si="1"/>
        <v>1</v>
      </c>
      <c r="J10" s="17">
        <f t="shared" si="2"/>
        <v>1</v>
      </c>
      <c r="K10" s="6">
        <f t="shared" si="3"/>
        <v>8.99</v>
      </c>
      <c r="L10" s="17">
        <f t="shared" si="4"/>
        <v>2</v>
      </c>
      <c r="M10" s="17">
        <f t="shared" si="5"/>
        <v>2</v>
      </c>
      <c r="N10" s="6">
        <f t="shared" si="6"/>
        <v>8.99</v>
      </c>
      <c r="O10" s="17">
        <f t="shared" si="7"/>
        <v>4</v>
      </c>
      <c r="P10" s="17">
        <f t="shared" si="8"/>
        <v>4</v>
      </c>
      <c r="Q10" s="6">
        <f t="shared" si="9"/>
        <v>8.99</v>
      </c>
      <c r="R10" s="17">
        <f t="shared" si="10"/>
        <v>6</v>
      </c>
      <c r="S10" s="17">
        <f t="shared" si="11"/>
        <v>6</v>
      </c>
      <c r="T10" s="6">
        <f t="shared" si="12"/>
        <v>8.99</v>
      </c>
      <c r="U10" s="17">
        <f t="shared" si="13"/>
        <v>8</v>
      </c>
      <c r="V10" s="17">
        <f t="shared" si="14"/>
        <v>8</v>
      </c>
      <c r="W10" s="6">
        <f t="shared" si="15"/>
        <v>8.99</v>
      </c>
      <c r="X10" s="17">
        <f t="shared" si="16"/>
        <v>10</v>
      </c>
      <c r="Y10" s="17">
        <f t="shared" si="17"/>
        <v>10</v>
      </c>
      <c r="Z10" s="6">
        <f t="shared" si="18"/>
        <v>8.99</v>
      </c>
      <c r="AB10" s="11">
        <v>7</v>
      </c>
      <c r="AC10" s="10">
        <v>456.25</v>
      </c>
      <c r="AD10" s="10">
        <v>65.178571428571431</v>
      </c>
      <c r="AE10"/>
      <c r="AF10"/>
      <c r="AG10"/>
      <c r="AH10"/>
      <c r="AI10"/>
      <c r="AJ10"/>
      <c r="AK10"/>
      <c r="AL10"/>
    </row>
    <row r="11" spans="1:43" x14ac:dyDescent="0.2">
      <c r="A11" s="3" t="s">
        <v>12</v>
      </c>
      <c r="B11" s="1" t="s">
        <v>67</v>
      </c>
      <c r="C11" s="1" t="str">
        <f t="shared" si="0"/>
        <v>`1612-0815-0045 &lt;https://www.gobilda.com/1612-series-linear-ball-bearing-8mm-id-x-15mm-od-45mm-length-2-pack/&gt;`_</v>
      </c>
      <c r="E11" s="1" t="s">
        <v>69</v>
      </c>
      <c r="F11" t="s">
        <v>68</v>
      </c>
      <c r="G11" s="1">
        <v>7.99</v>
      </c>
      <c r="H11" s="1">
        <v>2</v>
      </c>
      <c r="I11" s="17">
        <f t="shared" si="1"/>
        <v>1</v>
      </c>
      <c r="J11" s="17">
        <f t="shared" si="2"/>
        <v>1</v>
      </c>
      <c r="K11" s="6">
        <f t="shared" si="3"/>
        <v>7.99</v>
      </c>
      <c r="L11" s="17">
        <f t="shared" si="4"/>
        <v>2</v>
      </c>
      <c r="M11" s="17">
        <f t="shared" si="5"/>
        <v>1</v>
      </c>
      <c r="N11" s="6">
        <f t="shared" si="6"/>
        <v>3.9950000000000001</v>
      </c>
      <c r="O11" s="17">
        <f t="shared" si="7"/>
        <v>4</v>
      </c>
      <c r="P11" s="17">
        <f t="shared" si="8"/>
        <v>2</v>
      </c>
      <c r="Q11" s="6">
        <f t="shared" si="9"/>
        <v>3.9950000000000001</v>
      </c>
      <c r="R11" s="17">
        <f t="shared" si="10"/>
        <v>6</v>
      </c>
      <c r="S11" s="17">
        <f t="shared" si="11"/>
        <v>3</v>
      </c>
      <c r="T11" s="6">
        <f t="shared" si="12"/>
        <v>3.9949999999999997</v>
      </c>
      <c r="U11" s="17">
        <f t="shared" si="13"/>
        <v>8</v>
      </c>
      <c r="V11" s="17">
        <f t="shared" si="14"/>
        <v>4</v>
      </c>
      <c r="W11" s="6">
        <f t="shared" si="15"/>
        <v>3.9950000000000001</v>
      </c>
      <c r="X11" s="17">
        <f t="shared" si="16"/>
        <v>10</v>
      </c>
      <c r="Y11" s="17">
        <f t="shared" si="17"/>
        <v>5</v>
      </c>
      <c r="Z11" s="6">
        <f t="shared" si="18"/>
        <v>3.9950000000000001</v>
      </c>
      <c r="AB11" s="11">
        <v>8</v>
      </c>
      <c r="AC11" s="10">
        <v>502.62</v>
      </c>
      <c r="AD11" s="10">
        <v>62.827500000000001</v>
      </c>
      <c r="AE11"/>
      <c r="AF11"/>
      <c r="AG11"/>
      <c r="AH11"/>
      <c r="AI11"/>
      <c r="AJ11"/>
      <c r="AK11"/>
      <c r="AL11"/>
    </row>
    <row r="12" spans="1:43" x14ac:dyDescent="0.2">
      <c r="A12" s="3" t="s">
        <v>12</v>
      </c>
      <c r="B12" s="1" t="s">
        <v>13</v>
      </c>
      <c r="C12" s="1" t="str">
        <f t="shared" si="0"/>
        <v>`2100-0008-0200 &lt;https://www.gobilda.com/2100-series-stainless-steel-round-shaft-8mm-diameter-200mm-length/&gt;`_</v>
      </c>
      <c r="E12" s="1" t="s">
        <v>72</v>
      </c>
      <c r="F12" t="s">
        <v>54</v>
      </c>
      <c r="G12" s="6">
        <v>3.89</v>
      </c>
      <c r="H12" s="1">
        <v>1</v>
      </c>
      <c r="I12" s="17">
        <f t="shared" si="1"/>
        <v>1</v>
      </c>
      <c r="J12" s="17">
        <f t="shared" si="2"/>
        <v>1</v>
      </c>
      <c r="K12" s="6">
        <f t="shared" si="3"/>
        <v>3.89</v>
      </c>
      <c r="L12" s="17">
        <f t="shared" si="4"/>
        <v>2</v>
      </c>
      <c r="M12" s="17">
        <f t="shared" si="5"/>
        <v>2</v>
      </c>
      <c r="N12" s="6">
        <f t="shared" si="6"/>
        <v>3.89</v>
      </c>
      <c r="O12" s="17">
        <f t="shared" si="7"/>
        <v>4</v>
      </c>
      <c r="P12" s="17">
        <f t="shared" si="8"/>
        <v>4</v>
      </c>
      <c r="Q12" s="6">
        <f t="shared" si="9"/>
        <v>3.89</v>
      </c>
      <c r="R12" s="17">
        <f t="shared" si="10"/>
        <v>6</v>
      </c>
      <c r="S12" s="17">
        <f t="shared" si="11"/>
        <v>6</v>
      </c>
      <c r="T12" s="6">
        <f t="shared" si="12"/>
        <v>3.89</v>
      </c>
      <c r="U12" s="17">
        <f t="shared" si="13"/>
        <v>8</v>
      </c>
      <c r="V12" s="17">
        <f t="shared" si="14"/>
        <v>8</v>
      </c>
      <c r="W12" s="6">
        <f t="shared" si="15"/>
        <v>3.89</v>
      </c>
      <c r="X12" s="17">
        <f t="shared" si="16"/>
        <v>10</v>
      </c>
      <c r="Y12" s="17">
        <f t="shared" si="17"/>
        <v>10</v>
      </c>
      <c r="Z12" s="6">
        <f t="shared" si="18"/>
        <v>3.8899999999999997</v>
      </c>
      <c r="AB12" s="11">
        <v>9</v>
      </c>
      <c r="AC12" s="10">
        <v>565.97</v>
      </c>
      <c r="AD12" s="10">
        <v>62.885555555555555</v>
      </c>
      <c r="AE12"/>
      <c r="AF12"/>
      <c r="AG12"/>
      <c r="AH12"/>
      <c r="AI12"/>
      <c r="AJ12"/>
      <c r="AK12"/>
      <c r="AL12"/>
      <c r="AN12" s="7" t="s">
        <v>34</v>
      </c>
      <c r="AO12" s="1" t="s">
        <v>31</v>
      </c>
      <c r="AP12" s="8" t="s">
        <v>36</v>
      </c>
      <c r="AQ12" s="1" t="s">
        <v>37</v>
      </c>
    </row>
    <row r="13" spans="1:43" x14ac:dyDescent="0.2">
      <c r="A13" s="3">
        <v>1</v>
      </c>
      <c r="B13" s="1" t="s">
        <v>5</v>
      </c>
      <c r="C13" s="1" t="str">
        <f t="shared" si="0"/>
        <v>`B07Q5Q3DCB &lt;https://www.amazon.com/Befenybay-Coupling-Diameter-Coupler-Aluminum/dp/B07Q5Q3DCB/ref=sr_1_1?keywords=B07Q5Q3DCB&amp;qid=1565137893&amp;s=gateway&amp;sr=8-1&gt;`_</v>
      </c>
      <c r="D13" s="1" t="s">
        <v>16</v>
      </c>
      <c r="E13" s="1" t="s">
        <v>49</v>
      </c>
      <c r="F13" s="1" t="s">
        <v>48</v>
      </c>
      <c r="G13" s="6">
        <v>8.99</v>
      </c>
      <c r="H13" s="1">
        <v>2</v>
      </c>
      <c r="I13" s="17">
        <f t="shared" si="1"/>
        <v>1</v>
      </c>
      <c r="J13" s="17">
        <f t="shared" si="2"/>
        <v>1</v>
      </c>
      <c r="K13" s="6">
        <f t="shared" si="3"/>
        <v>8.99</v>
      </c>
      <c r="L13" s="17">
        <f t="shared" si="4"/>
        <v>2</v>
      </c>
      <c r="M13" s="17">
        <f t="shared" si="5"/>
        <v>1</v>
      </c>
      <c r="N13" s="6">
        <f t="shared" si="6"/>
        <v>4.4950000000000001</v>
      </c>
      <c r="O13" s="17">
        <f t="shared" si="7"/>
        <v>4</v>
      </c>
      <c r="P13" s="17">
        <f t="shared" si="8"/>
        <v>2</v>
      </c>
      <c r="Q13" s="6">
        <f t="shared" si="9"/>
        <v>4.4950000000000001</v>
      </c>
      <c r="R13" s="17">
        <f t="shared" si="10"/>
        <v>6</v>
      </c>
      <c r="S13" s="17">
        <f t="shared" si="11"/>
        <v>3</v>
      </c>
      <c r="T13" s="6">
        <f t="shared" si="12"/>
        <v>4.4950000000000001</v>
      </c>
      <c r="U13" s="17">
        <f t="shared" si="13"/>
        <v>8</v>
      </c>
      <c r="V13" s="17">
        <f t="shared" si="14"/>
        <v>4</v>
      </c>
      <c r="W13" s="6">
        <f t="shared" si="15"/>
        <v>4.4950000000000001</v>
      </c>
      <c r="X13" s="17">
        <f t="shared" si="16"/>
        <v>10</v>
      </c>
      <c r="Y13" s="17">
        <f t="shared" si="17"/>
        <v>5</v>
      </c>
      <c r="Z13" s="6">
        <f t="shared" si="18"/>
        <v>4.4950000000000001</v>
      </c>
      <c r="AB13" s="11">
        <v>10</v>
      </c>
      <c r="AC13" s="13">
        <v>622.85</v>
      </c>
      <c r="AD13" s="10">
        <v>62.285000000000004</v>
      </c>
      <c r="AE13"/>
      <c r="AF13"/>
      <c r="AG13"/>
      <c r="AH13"/>
      <c r="AI13"/>
      <c r="AJ13"/>
      <c r="AK13"/>
      <c r="AL13"/>
      <c r="AM13" s="1" t="s">
        <v>38</v>
      </c>
      <c r="AN13" s="1">
        <v>86.9</v>
      </c>
      <c r="AO13" s="1">
        <v>36.94</v>
      </c>
      <c r="AP13" s="1">
        <v>31.56</v>
      </c>
      <c r="AQ13" s="1">
        <v>30.22</v>
      </c>
    </row>
    <row r="14" spans="1:43" x14ac:dyDescent="0.2">
      <c r="A14" s="3" t="s">
        <v>22</v>
      </c>
      <c r="B14" s="1" t="s">
        <v>50</v>
      </c>
      <c r="C14" s="1" t="str">
        <f t="shared" si="0"/>
        <v>`255-5122-ND &lt;https://www.digikey.com/products/en?keywords=255-5122-nd&gt;`_</v>
      </c>
      <c r="D14" s="1" t="s">
        <v>20</v>
      </c>
      <c r="E14" s="1" t="s">
        <v>23</v>
      </c>
      <c r="F14" s="1" t="s">
        <v>21</v>
      </c>
      <c r="G14" s="6">
        <v>5.0999999999999996</v>
      </c>
      <c r="H14" s="1">
        <v>1</v>
      </c>
      <c r="I14" s="17">
        <f t="shared" si="1"/>
        <v>2</v>
      </c>
      <c r="J14" s="17">
        <f t="shared" si="2"/>
        <v>2</v>
      </c>
      <c r="K14" s="6">
        <f t="shared" si="3"/>
        <v>10.199999999999999</v>
      </c>
      <c r="L14" s="17">
        <f t="shared" si="4"/>
        <v>4</v>
      </c>
      <c r="M14" s="17">
        <f t="shared" si="5"/>
        <v>4</v>
      </c>
      <c r="N14" s="6">
        <f t="shared" si="6"/>
        <v>10.199999999999999</v>
      </c>
      <c r="O14" s="17">
        <f t="shared" si="7"/>
        <v>8</v>
      </c>
      <c r="P14" s="17">
        <f t="shared" si="8"/>
        <v>8</v>
      </c>
      <c r="Q14" s="6">
        <f t="shared" si="9"/>
        <v>10.199999999999999</v>
      </c>
      <c r="R14" s="17">
        <f t="shared" si="10"/>
        <v>12</v>
      </c>
      <c r="S14" s="17">
        <f t="shared" si="11"/>
        <v>12</v>
      </c>
      <c r="T14" s="6">
        <f t="shared" si="12"/>
        <v>10.199999999999999</v>
      </c>
      <c r="U14" s="17">
        <f t="shared" si="13"/>
        <v>16</v>
      </c>
      <c r="V14" s="17">
        <f t="shared" si="14"/>
        <v>16</v>
      </c>
      <c r="W14" s="6">
        <f t="shared" si="15"/>
        <v>10.199999999999999</v>
      </c>
      <c r="X14" s="17">
        <f t="shared" si="16"/>
        <v>20</v>
      </c>
      <c r="Y14" s="17">
        <f t="shared" si="17"/>
        <v>20</v>
      </c>
      <c r="Z14" s="6">
        <f t="shared" si="18"/>
        <v>10.199999999999999</v>
      </c>
      <c r="AE14"/>
      <c r="AF14"/>
      <c r="AG14"/>
      <c r="AH14"/>
      <c r="AI14"/>
      <c r="AJ14"/>
      <c r="AK14"/>
      <c r="AL14"/>
      <c r="AM14" s="1" t="s">
        <v>32</v>
      </c>
      <c r="AN14" s="1">
        <v>105.3</v>
      </c>
      <c r="AO14" s="1">
        <v>49.22</v>
      </c>
      <c r="AP14" s="1">
        <v>45.29</v>
      </c>
      <c r="AQ14" s="1">
        <v>42.15</v>
      </c>
    </row>
    <row r="15" spans="1:43" x14ac:dyDescent="0.2">
      <c r="A15" s="3" t="s">
        <v>22</v>
      </c>
      <c r="B15" s="1" t="s">
        <v>53</v>
      </c>
      <c r="C15" s="1" t="str">
        <f t="shared" si="0"/>
        <v>`277-2296-ND &lt;https://www.digikey.com/products/en?keywords=277-2296-nd&gt;`_</v>
      </c>
      <c r="E15" s="1" t="s">
        <v>52</v>
      </c>
      <c r="F15" s="1" t="s">
        <v>51</v>
      </c>
      <c r="G15" s="6">
        <v>1.39</v>
      </c>
      <c r="H15" s="1">
        <v>1</v>
      </c>
      <c r="I15" s="17">
        <f t="shared" si="1"/>
        <v>2</v>
      </c>
      <c r="J15" s="17">
        <f t="shared" si="2"/>
        <v>2</v>
      </c>
      <c r="K15" s="6">
        <f t="shared" si="3"/>
        <v>2.78</v>
      </c>
      <c r="L15" s="17">
        <f t="shared" si="4"/>
        <v>4</v>
      </c>
      <c r="M15" s="17">
        <f t="shared" si="5"/>
        <v>4</v>
      </c>
      <c r="N15" s="6">
        <f t="shared" si="6"/>
        <v>2.78</v>
      </c>
      <c r="O15" s="17">
        <f t="shared" si="7"/>
        <v>8</v>
      </c>
      <c r="P15" s="17">
        <f t="shared" si="8"/>
        <v>8</v>
      </c>
      <c r="Q15" s="6">
        <f t="shared" si="9"/>
        <v>2.78</v>
      </c>
      <c r="R15" s="17">
        <f t="shared" si="10"/>
        <v>12</v>
      </c>
      <c r="S15" s="17">
        <f t="shared" si="11"/>
        <v>12</v>
      </c>
      <c r="T15" s="6">
        <f t="shared" si="12"/>
        <v>2.78</v>
      </c>
      <c r="U15" s="17">
        <f t="shared" si="13"/>
        <v>16</v>
      </c>
      <c r="V15" s="17">
        <f t="shared" si="14"/>
        <v>16</v>
      </c>
      <c r="W15" s="6">
        <f t="shared" si="15"/>
        <v>2.78</v>
      </c>
      <c r="X15" s="17">
        <f t="shared" si="16"/>
        <v>20</v>
      </c>
      <c r="Y15" s="17">
        <f t="shared" si="17"/>
        <v>20</v>
      </c>
      <c r="Z15" s="6">
        <f t="shared" si="18"/>
        <v>2.78</v>
      </c>
      <c r="AE15"/>
      <c r="AF15"/>
      <c r="AG15"/>
      <c r="AH15"/>
      <c r="AI15"/>
      <c r="AJ15"/>
      <c r="AK15"/>
      <c r="AL15"/>
      <c r="AM15" s="1" t="s">
        <v>33</v>
      </c>
      <c r="AN15" s="9">
        <v>110.8</v>
      </c>
      <c r="AO15" s="1">
        <v>52</v>
      </c>
      <c r="AP15" s="1">
        <v>48.74</v>
      </c>
      <c r="AQ15" s="1">
        <v>45.56</v>
      </c>
    </row>
    <row r="16" spans="1:43" x14ac:dyDescent="0.2">
      <c r="A16" s="3" t="s">
        <v>12</v>
      </c>
      <c r="B16" s="1" t="s">
        <v>47</v>
      </c>
      <c r="C16" s="1" t="str">
        <f t="shared" si="0"/>
        <v>`17HS24-0644S &lt;https://www.omc-stepperonline.com/hybrid-stepper-motor/nema-17-bipolar-18deg-60ncm-85ozin-064a-10v-42x42x60mm-4-wires-17hs24-0644s.html?search=17hs24-0644s&gt;`_</v>
      </c>
      <c r="D16" s="1" t="s">
        <v>15</v>
      </c>
      <c r="E16" s="1" t="s">
        <v>27</v>
      </c>
      <c r="F16" s="5" t="s">
        <v>28</v>
      </c>
      <c r="G16" s="6">
        <v>18.39</v>
      </c>
      <c r="H16" s="1">
        <v>1</v>
      </c>
      <c r="I16" s="17">
        <f t="shared" si="1"/>
        <v>1</v>
      </c>
      <c r="J16" s="17">
        <f t="shared" si="2"/>
        <v>1</v>
      </c>
      <c r="K16" s="6">
        <f t="shared" si="3"/>
        <v>18.39</v>
      </c>
      <c r="L16" s="17">
        <f t="shared" si="4"/>
        <v>2</v>
      </c>
      <c r="M16" s="17">
        <f t="shared" si="5"/>
        <v>2</v>
      </c>
      <c r="N16" s="6">
        <f t="shared" si="6"/>
        <v>18.39</v>
      </c>
      <c r="O16" s="17">
        <f t="shared" si="7"/>
        <v>4</v>
      </c>
      <c r="P16" s="17">
        <f t="shared" si="8"/>
        <v>4</v>
      </c>
      <c r="Q16" s="6">
        <f t="shared" si="9"/>
        <v>18.39</v>
      </c>
      <c r="R16" s="17">
        <f t="shared" si="10"/>
        <v>6</v>
      </c>
      <c r="S16" s="17">
        <f t="shared" si="11"/>
        <v>6</v>
      </c>
      <c r="T16" s="6">
        <f t="shared" si="12"/>
        <v>18.39</v>
      </c>
      <c r="U16" s="17">
        <f t="shared" si="13"/>
        <v>8</v>
      </c>
      <c r="V16" s="17">
        <f t="shared" si="14"/>
        <v>8</v>
      </c>
      <c r="W16" s="6">
        <f t="shared" si="15"/>
        <v>18.39</v>
      </c>
      <c r="X16" s="17">
        <f t="shared" si="16"/>
        <v>10</v>
      </c>
      <c r="Y16" s="17">
        <f t="shared" si="17"/>
        <v>10</v>
      </c>
      <c r="Z16" s="6">
        <f t="shared" si="18"/>
        <v>18.39</v>
      </c>
      <c r="AE16"/>
      <c r="AF16"/>
      <c r="AG16"/>
      <c r="AH16"/>
      <c r="AI16"/>
      <c r="AJ16"/>
      <c r="AK16"/>
      <c r="AL16"/>
      <c r="AM16" s="1" t="s">
        <v>35</v>
      </c>
      <c r="AN16" s="1">
        <v>152.4</v>
      </c>
      <c r="AO16" s="1">
        <v>45.04</v>
      </c>
      <c r="AP16" s="1">
        <v>34.200000000000003</v>
      </c>
      <c r="AQ16" s="1">
        <v>28.51</v>
      </c>
    </row>
    <row r="17" spans="11:38" x14ac:dyDescent="0.2">
      <c r="K17" s="10">
        <f>ROUNDUP(SUM(K2:K16),0)</f>
        <v>112</v>
      </c>
      <c r="N17" s="10">
        <f>ROUNDUP(SUM(N2:N16),0)</f>
        <v>84</v>
      </c>
      <c r="Q17" s="10">
        <f>ROUNDUP(SUM(Q2:Q16),0)</f>
        <v>78</v>
      </c>
      <c r="T17" s="10">
        <f>ROUNDUP(SUM(T2:T16),0)</f>
        <v>74</v>
      </c>
      <c r="W17" s="10">
        <f>ROUNDUP(SUM(W2:W16),0)</f>
        <v>73</v>
      </c>
      <c r="Z17" s="10">
        <f>ROUNDUP(SUM(Z2:Z16),0)</f>
        <v>72</v>
      </c>
      <c r="AB17" s="12"/>
      <c r="AD17" s="10">
        <f>AD4-AD13</f>
        <v>43.784999999999989</v>
      </c>
      <c r="AE17"/>
      <c r="AF17"/>
      <c r="AG17"/>
      <c r="AH17"/>
      <c r="AI17"/>
      <c r="AJ17"/>
      <c r="AK17"/>
      <c r="AL17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AA3A-9647-4447-9F85-9C1DC1BD4416}">
  <dimension ref="A1"/>
  <sheetViews>
    <sheetView workbookViewId="0">
      <selection activeCell="G43" sqref="G43"/>
    </sheetView>
  </sheetViews>
  <sheetFormatPr baseColWidth="10" defaultRowHeight="16" x14ac:dyDescent="0.2"/>
  <cols>
    <col min="1" max="1" width="13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Lustig, Andy</cp:lastModifiedBy>
  <dcterms:created xsi:type="dcterms:W3CDTF">2017-03-02T23:00:28Z</dcterms:created>
  <dcterms:modified xsi:type="dcterms:W3CDTF">2021-05-03T18:19:08Z</dcterms:modified>
</cp:coreProperties>
</file>