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4040" yWindow="7480" windowWidth="31920" windowHeight="14120" tabRatio="993" firstSheet="9" activeTab="12"/>
    <workbookView xWindow="-22420" yWindow="9280" windowWidth="22140" windowHeight="12060" tabRatio="500" firstSheet="1" activeTab="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1" hidden="1">'!!Reactions'!$A$2:$D$7</definedName>
    <definedName name="_xlnm._FilterDatabase" localSheetId="21" hidden="1">'!!References'!$A$1:$D$1</definedName>
    <definedName name="_xlnm._FilterDatabase" localSheetId="6" hidden="1">'!!Species types'!$A$2:$K$8</definedName>
    <definedName name="_FilterDatabase_0" localSheetId="5">[1]Compartments!$A$2:$G$4</definedName>
    <definedName name="_FilterDatabase_0" localSheetId="16">[2]Parameters!$A$1:$F$1</definedName>
    <definedName name="_FilterDatabase_0" localSheetId="11">[3]Reactions!$A$2:$D$6</definedName>
    <definedName name="_FilterDatabase_0" localSheetId="21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6">[2]Parameters!$A$1:$F$1</definedName>
    <definedName name="_FilterDatabase_0_0" localSheetId="11">[3]Reactions!$A$2:$D$6</definedName>
    <definedName name="_FilterDatabase_0_0" localSheetId="21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6">[2]Parameters!$A$1:$F$1</definedName>
    <definedName name="_FilterDatabase_0_0_0" localSheetId="11">[3]Reactions!$A$2:$D$6</definedName>
    <definedName name="_FilterDatabase_0_0_0" localSheetId="21">[4]References!$A$1:$D$1</definedName>
    <definedName name="_FilterDatabase_0_0_0" localSheetId="6">'[5]Species types'!$A$2:$K$7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3" l="1"/>
  <c r="J12" i="11"/>
  <c r="J11" i="11"/>
  <c r="J5" i="18"/>
  <c r="J8" i="18"/>
  <c r="J9" i="18"/>
  <c r="J7" i="18"/>
  <c r="J6" i="18"/>
  <c r="J6" i="11"/>
  <c r="J4" i="18"/>
  <c r="J3" i="18"/>
  <c r="M5" i="13"/>
  <c r="J6" i="10"/>
  <c r="M6" i="13"/>
  <c r="M7" i="13"/>
  <c r="V4" i="6"/>
  <c r="M8" i="13"/>
  <c r="M9" i="13"/>
  <c r="M4" i="13"/>
  <c r="M3" i="13"/>
  <c r="J9" i="11"/>
  <c r="J5" i="10"/>
  <c r="J7" i="11"/>
  <c r="J10" i="11"/>
  <c r="J3" i="11"/>
  <c r="J4" i="11"/>
  <c r="J8" i="11"/>
  <c r="J5" i="11"/>
  <c r="J9" i="10"/>
  <c r="J7" i="10"/>
  <c r="J4" i="10"/>
  <c r="J8" i="10"/>
  <c r="J3" i="10"/>
</calcChain>
</file>

<file path=xl/sharedStrings.xml><?xml version="1.0" encoding="utf-8"?>
<sst xmlns="http://schemas.openxmlformats.org/spreadsheetml/2006/main" count="707" uniqueCount="352">
  <si>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</si>
  <si>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</si>
  <si>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</si>
  <si>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</si>
  <si>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</si>
  <si>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</si>
  <si>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</si>
  <si>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</si>
  <si>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</si>
  <si>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</si>
  <si>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</si>
  <si>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</si>
  <si>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</si>
  <si>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</si>
  <si>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</si>
  <si>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</si>
  <si>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</si>
  <si>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</si>
  <si>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</si>
  <si>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</si>
  <si>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</si>
  <si>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</si>
  <si>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</si>
  <si>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</si>
  <si>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</si>
  <si>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</si>
  <si>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</si>
  <si>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</si>
  <si>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</si>
  <si>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</si>
  <si>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test_dynamic_expressions</t>
  </si>
  <si>
    <t>!Name</t>
  </si>
  <si>
    <t>test DynamicExpressions</t>
  </si>
  <si>
    <t>!Version</t>
  </si>
  <si>
    <t>0.0.1</t>
  </si>
  <si>
    <t>!URL</t>
  </si>
  <si>
    <t>https://github.com/KarrLab/wc_sim/blob/master/tests/fixtures/test_dynamic_expressions.xlsx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</si>
  <si>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</si>
  <si>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</si>
  <si>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</si>
  <si>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</si>
  <si>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</si>
  <si>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</si>
  <si>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</si>
  <si>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</si>
  <si>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</si>
  <si>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</si>
  <si>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</si>
  <si>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</si>
  <si>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</si>
  <si>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TestDynamicExpressions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</si>
  <si>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</si>
  <si>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</si>
  <si>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</si>
  <si>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</si>
  <si>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</si>
  <si>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</si>
  <si>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</si>
  <si>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</si>
  <si>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</si>
  <si>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</si>
  <si>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</si>
  <si>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</si>
  <si>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</si>
  <si>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test_submodel</t>
  </si>
  <si>
    <t>Submodel with all DynamicExpressions</t>
  </si>
  <si>
    <t>deterministic_simulation_algorithm</t>
  </si>
  <si>
    <t>Do not plan to simulate, but deterministic_simulation_algorithm would make simulation deterministic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</si>
  <si>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</si>
  <si>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</si>
  <si>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</si>
  <si>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</si>
  <si>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</si>
  <si>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</si>
  <si>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</si>
  <si>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</si>
  <si>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</si>
  <si>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</si>
  <si>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</si>
  <si>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</si>
  <si>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</si>
  <si>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comp</t>
  </si>
  <si>
    <t>Test compartment</t>
  </si>
  <si>
    <t>cellular_compartment</t>
  </si>
  <si>
    <t>fluid_compartment</t>
  </si>
  <si>
    <t>3D_compartment</t>
  </si>
  <si>
    <t>normal_distribution</t>
  </si>
  <si>
    <t>density_comp</t>
  </si>
  <si>
    <t>dimensionless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</si>
  <si>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</si>
  <si>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</si>
  <si>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</si>
  <si>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</si>
  <si>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</si>
  <si>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</si>
  <si>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</si>
  <si>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</si>
  <si>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</si>
  <si>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</si>
  <si>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</si>
  <si>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</si>
  <si>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</si>
  <si>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</si>
  <si>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</si>
  <si>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</si>
  <si>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</si>
  <si>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</si>
  <si>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</si>
  <si>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</si>
  <si>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</si>
  <si>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</si>
  <si>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!!ObjTables Type='Data' Id='Species' ObjTablesVersion='0.0.8'</t>
  </si>
  <si>
    <t>!Species type</t>
  </si>
  <si>
    <t>!Compartment</t>
  </si>
  <si>
    <t>species_1[comp]</t>
  </si>
  <si>
    <t>Species 1</t>
  </si>
  <si>
    <t>molecule</t>
  </si>
  <si>
    <t>species_2[comp]</t>
  </si>
  <si>
    <t>Species 2</t>
  </si>
  <si>
    <t>species_3[comp]</t>
  </si>
  <si>
    <t>Species 3</t>
  </si>
  <si>
    <t>species_4[comp]</t>
  </si>
  <si>
    <t>Species 4</t>
  </si>
  <si>
    <t>M</t>
  </si>
  <si>
    <t>species_5[comp]</t>
  </si>
  <si>
    <t>Species 5</t>
  </si>
  <si>
    <t>species_6[comp]</t>
  </si>
  <si>
    <t>Species 6</t>
  </si>
  <si>
    <t>!!ObjTables Type='Data' Id='DistributionInitConcentration' ObjTablesVersion='0.0.8'</t>
  </si>
  <si>
    <t>!Species</t>
  </si>
  <si>
    <t>dist-init-conc-species_1[comp]</t>
  </si>
  <si>
    <t>dist-init-conc-species_2[comp]</t>
  </si>
  <si>
    <t>dist-init-conc-species_3[comp]</t>
  </si>
  <si>
    <t>dist-init-conc-species_4[comp]</t>
  </si>
  <si>
    <t>dist-init-conc-species_5[comp]</t>
  </si>
  <si>
    <t>dist-init-conc-species_6[comp]</t>
  </si>
  <si>
    <t>!!ObjTables Type='Data' Id='Observable' ObjTablesVersion='0.0.8'</t>
  </si>
  <si>
    <t>!Expression</t>
  </si>
  <si>
    <t>observable_1</t>
  </si>
  <si>
    <t>observable_2</t>
  </si>
  <si>
    <t>observable_3</t>
  </si>
  <si>
    <t>observable_4</t>
  </si>
  <si>
    <t>observable_5</t>
  </si>
  <si>
    <t>species_4[comp] + species_5[comp]</t>
  </si>
  <si>
    <t>observable_6</t>
  </si>
  <si>
    <t>2 * observable_2</t>
  </si>
  <si>
    <t>observable_7</t>
  </si>
  <si>
    <t>observable_4 + species_5[comp]</t>
  </si>
  <si>
    <t>!!ObjTables Type='Data' Id='Function' ObjTablesVersion='0.0.8'</t>
  </si>
  <si>
    <t>function_1</t>
  </si>
  <si>
    <t>function_2</t>
  </si>
  <si>
    <t>0.5  / exp(0)</t>
  </si>
  <si>
    <t>function_3</t>
  </si>
  <si>
    <t>Uses a Parameter</t>
  </si>
  <si>
    <t>function_4</t>
  </si>
  <si>
    <t>species_1[comp] + species_2[comp]</t>
  </si>
  <si>
    <t>Uses a Species</t>
  </si>
  <si>
    <t>function_5</t>
  </si>
  <si>
    <t>Uses an Observable</t>
  </si>
  <si>
    <t>function_6</t>
  </si>
  <si>
    <t>function_1 + function_2</t>
  </si>
  <si>
    <t>Uses another Function</t>
  </si>
  <si>
    <t>function_7</t>
  </si>
  <si>
    <t>function_8</t>
  </si>
  <si>
    <t>density_comp * volume_comp + comp</t>
  </si>
  <si>
    <t>Uses a Parameter, another Function, &amp; a Compartment, and</t>
  </si>
  <si>
    <t>function_9</t>
  </si>
  <si>
    <t>observable_3 - function_5 + species_2[comp]</t>
  </si>
  <si>
    <t>Uses another function, a Species, &amp; an Observable</t>
  </si>
  <si>
    <t>volume_comp</t>
  </si>
  <si>
    <t>comp / density_comp</t>
  </si>
  <si>
    <t>Uses the compartment mass and a Parameter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</si>
  <si>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</si>
  <si>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</si>
  <si>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</si>
  <si>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</si>
  <si>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</si>
  <si>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</si>
  <si>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</si>
  <si>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</si>
  <si>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</si>
  <si>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 name 1</t>
  </si>
  <si>
    <t>s^-1</t>
  </si>
  <si>
    <t>Reactions don’t matter, but they need to exist for their rate laws</t>
  </si>
  <si>
    <t>reaction_2</t>
  </si>
  <si>
    <t>reaction name 2</t>
  </si>
  <si>
    <t>reaction_3</t>
  </si>
  <si>
    <t>reaction name 3</t>
  </si>
  <si>
    <t>reaction_4</t>
  </si>
  <si>
    <t>reaction name 4</t>
  </si>
  <si>
    <t>reaction_5</t>
  </si>
  <si>
    <t>reaction name 5</t>
  </si>
  <si>
    <t>reaction_6</t>
  </si>
  <si>
    <t>reaction name 6</t>
  </si>
  <si>
    <t>reaction_7</t>
  </si>
  <si>
    <t>reaction name 7</t>
  </si>
  <si>
    <t>reaction_8</t>
  </si>
  <si>
    <t>reaction name 8</t>
  </si>
  <si>
    <t>reaction_9</t>
  </si>
  <si>
    <t>reaction name 9</t>
  </si>
  <si>
    <t>reaction_10</t>
  </si>
  <si>
    <t>reaction name 10</t>
  </si>
  <si>
    <t>!!ObjTables Type='Data' Id='RateLaw' ObjTablesVersion='0.0.8'</t>
  </si>
  <si>
    <t>!Reaction</t>
  </si>
  <si>
    <t>!Direction</t>
  </si>
  <si>
    <t>reaction_1-forward</t>
  </si>
  <si>
    <t>Rate law 1</t>
  </si>
  <si>
    <t>forward</t>
  </si>
  <si>
    <t>reaction_2-forward</t>
  </si>
  <si>
    <t>Rate law 2</t>
  </si>
  <si>
    <t>k_cat_2 / 10</t>
  </si>
  <si>
    <t>Uses Parameter</t>
  </si>
  <si>
    <t>reaction_3-forward</t>
  </si>
  <si>
    <t>Rate law 3</t>
  </si>
  <si>
    <t>k_cat_3 * species_1[comp]</t>
  </si>
  <si>
    <t>Uses Parameter &amp; Species</t>
  </si>
  <si>
    <t>reaction_4-forward</t>
  </si>
  <si>
    <t>Rate law 4</t>
  </si>
  <si>
    <t>k_cat_4 * observable_4</t>
  </si>
  <si>
    <t>Uses Parameter &amp; Observable</t>
  </si>
  <si>
    <t>reaction_5-forward</t>
  </si>
  <si>
    <t>Rate law 5</t>
  </si>
  <si>
    <t>function_4 / k_cat_5</t>
  </si>
  <si>
    <t>Uses Parameter &amp; Function</t>
  </si>
  <si>
    <t>reaction_6-forward</t>
  </si>
  <si>
    <t>Rate law 6</t>
  </si>
  <si>
    <t>k_cat_6 * comp</t>
  </si>
  <si>
    <t>Uses Parameter &amp; Compartment</t>
  </si>
  <si>
    <t>reaction_7-forward</t>
  </si>
  <si>
    <t>Rate law 7</t>
  </si>
  <si>
    <t>k_cat_3 * species_1[comp] + k_cat_4 * observable_4 + function_4 / k_cat_5 + k_cat_6 * comp</t>
  </si>
  <si>
    <t>uses Parameter, Species, Observable, Function, &amp; Compartment</t>
  </si>
  <si>
    <t>reaction_8-forward</t>
  </si>
  <si>
    <t>Rate law 8</t>
  </si>
  <si>
    <t>!!ObjTables Type='Data' Id='DfbaObjective' ObjTablesVersion='0.0.8'</t>
  </si>
  <si>
    <t>!Reaction rate units</t>
  </si>
  <si>
    <t>!Coefficient units</t>
  </si>
  <si>
    <t>Metabolism_biomass</t>
  </si>
  <si>
    <t>!!ObjTables Type='Data' Id='DfbaObjReaction' ObjTablesVersion='0.0.8'</t>
  </si>
  <si>
    <t>!Cell size units</t>
  </si>
  <si>
    <t>Metabolism biomass reaction</t>
  </si>
  <si>
    <t>No comment</t>
  </si>
  <si>
    <t>!!ObjTables Type='Data' Id='DfbaObjSpecies' ObjTablesVersion='0.0.8'</t>
  </si>
  <si>
    <t>!dFBA objective reaction</t>
  </si>
  <si>
    <t>biomass_comp_1</t>
  </si>
  <si>
    <t>test</t>
  </si>
  <si>
    <t>biomass_comp_3</t>
  </si>
  <si>
    <t>!!ObjTables Type='Data' Id='Parameter' ObjTablesVersion='0.0.8'</t>
  </si>
  <si>
    <t>!Standard error</t>
  </si>
  <si>
    <t>fractionDryWeight</t>
  </si>
  <si>
    <t>Fraction of cell mass which is non water</t>
  </si>
  <si>
    <t>[Ref-0006]</t>
  </si>
  <si>
    <t>k_cat_2</t>
  </si>
  <si>
    <t>k_cat</t>
  </si>
  <si>
    <t>k_cat_3</t>
  </si>
  <si>
    <t>k_cat_4</t>
  </si>
  <si>
    <t>k_cat_5</t>
  </si>
  <si>
    <t>molecule s</t>
  </si>
  <si>
    <t>k_cat_6</t>
  </si>
  <si>
    <t>k_cat_7</t>
  </si>
  <si>
    <t>k_cat_8</t>
  </si>
  <si>
    <t>k_cat_9</t>
  </si>
  <si>
    <t>k_cat_10</t>
  </si>
  <si>
    <t>Avogadro</t>
  </si>
  <si>
    <t>molecule mol^-1</t>
  </si>
  <si>
    <t>As defined at the 26th BIPM Conference, May 2019</t>
  </si>
  <si>
    <t>In test DynamicExpressions model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</si>
  <si>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</si>
  <si>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</si>
  <si>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</si>
  <si>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</si>
  <si>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</si>
  <si>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</si>
  <si>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</si>
  <si>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</si>
  <si>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</si>
  <si>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</si>
  <si>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</si>
  <si>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</si>
  <si>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</si>
  <si>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</si>
  <si>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</si>
  <si>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</si>
  <si>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</si>
  <si>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</si>
  <si>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</si>
  <si>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</si>
  <si>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</si>
  <si>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</si>
  <si>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</si>
  <si>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</si>
  <si>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</si>
  <si>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</si>
  <si>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</si>
  <si>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</si>
  <si>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</si>
  <si>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</si>
  <si>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</si>
  <si>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</si>
  <si>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</si>
  <si>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</si>
  <si>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</si>
  <si>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</si>
  <si>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</si>
  <si>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</si>
  <si>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</si>
  <si>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</si>
  <si>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</si>
  <si>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</si>
  <si>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</si>
  <si>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</si>
  <si>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</si>
  <si>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</si>
  <si>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</si>
  <si>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</si>
  <si>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</si>
  <si>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[comp]: species_1 ==&gt; species_2</t>
  </si>
  <si>
    <t>dfba-obj-test_submodel</t>
  </si>
  <si>
    <t>dfba-net-species-Metabolism_biomass-species_4[comp]</t>
  </si>
  <si>
    <t>dfba-net-species-Metabolism_biomass-species_5[comp]</t>
  </si>
  <si>
    <t>gram</t>
  </si>
  <si>
    <t>liter</t>
  </si>
  <si>
    <t>gram liter^-1</t>
  </si>
  <si>
    <t>M second^-1</t>
  </si>
  <si>
    <t>molecule^-1 second^-1</t>
  </si>
  <si>
    <t>g^-1 second^-1</t>
  </si>
  <si>
    <t>k_cat_1</t>
  </si>
  <si>
    <t>expected initial value expression</t>
  </si>
  <si>
    <t>Extra comments (expected value in !Comments)</t>
  </si>
  <si>
    <t>Uses a 'Compartment', i.e., its mass; sum over species</t>
  </si>
  <si>
    <t>stop_condition_1</t>
  </si>
  <si>
    <t>stop_condition_2</t>
  </si>
  <si>
    <t>stop_condition_3</t>
  </si>
  <si>
    <t>stop_condition_4</t>
  </si>
  <si>
    <t>stop_condition_5</t>
  </si>
  <si>
    <t>stop_condition_6</t>
  </si>
  <si>
    <t>stop_condition_7</t>
  </si>
  <si>
    <t>0 &lt; 1</t>
  </si>
  <si>
    <t>k_cat_7 == 3</t>
  </si>
  <si>
    <t>k_cat_8 &lt;= species_1[comp]</t>
  </si>
  <si>
    <t>observable_3 &lt; species_1[comp]</t>
  </si>
  <si>
    <t>2 &lt;1</t>
  </si>
  <si>
    <t>comp &lt; k_cat_9</t>
  </si>
  <si>
    <t>Simple volume for testing; expression for compartment evaluates to its mass</t>
  </si>
  <si>
    <t>Uses a Function</t>
  </si>
  <si>
    <t>0.4 &lt; function_6 &lt;= 10</t>
  </si>
  <si>
    <t>Uses a 'Compartment', i.e., its mass</t>
  </si>
  <si>
    <t>k_cat_10 * volume_comp</t>
  </si>
  <si>
    <t>liter^-1 s^-1</t>
  </si>
  <si>
    <t>Uses Parameters and compartment volume function</t>
  </si>
  <si>
    <t>Linear function of species</t>
  </si>
  <si>
    <t>Expression of other observable and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</si>
</sst>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vertical="top" wrapText="1"/>
    </xf>
    <xf numFmtId="165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1" fontId="1" fillId="0" borderId="0" xfId="0" applyNumberFormat="1" applyFont="1"/>
    <xf numFmtId="0" fontId="10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</cellXfs>
  <cellStyles count="8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externalLink" Target="externalLinks/externalLink3.xml"/><Relationship Id="rId28" Type="http://schemas.openxmlformats.org/officeDocument/2006/relationships/externalLink" Target="externalLinks/externalLink4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7" sqref="A7"/>
    </sheetView>
    <sheetView workbookViewId="1"/>
  </sheetViews>
  <sheetFormatPr baseColWidth="10" defaultColWidth="0" defaultRowHeight="15" customHeight="1" zeroHeight="1" x14ac:dyDescent="0.2"/>
  <cols>
    <col min="1" max="3" width="15.6640625" style="19" customWidth="1"/>
    <col min="4" max="5" width="9" style="19" hidden="1" customWidth="1"/>
    <col min="6" max="16384" width="9" style="19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20" t="s">
        <v>2</v>
      </c>
      <c r="B3" s="20" t="s">
        <v>3</v>
      </c>
      <c r="C3" s="20" t="s">
        <v>4</v>
      </c>
    </row>
    <row r="4" spans="1:3" x14ac:dyDescent="0.2">
      <c r="A4" s="21" t="s">
        <v>5</v>
      </c>
      <c r="B4" s="21"/>
      <c r="C4" s="21">
        <v>1</v>
      </c>
    </row>
    <row r="5" spans="1:3" x14ac:dyDescent="0.2">
      <c r="A5" s="21" t="s">
        <v>6</v>
      </c>
      <c r="B5" s="21"/>
      <c r="C5" s="21">
        <v>1</v>
      </c>
    </row>
    <row r="6" spans="1:3" x14ac:dyDescent="0.2">
      <c r="A6" s="21" t="s">
        <v>7</v>
      </c>
      <c r="B6" s="21"/>
      <c r="C6" s="21">
        <v>1</v>
      </c>
    </row>
    <row r="7" spans="1:3" x14ac:dyDescent="0.2">
      <c r="A7" s="21" t="s">
        <v>8</v>
      </c>
      <c r="B7" s="21"/>
      <c r="C7" s="21">
        <v>4</v>
      </c>
    </row>
    <row r="8" spans="1:3" x14ac:dyDescent="0.2">
      <c r="A8" s="21" t="s">
        <v>9</v>
      </c>
      <c r="B8" s="21"/>
      <c r="C8" s="21">
        <v>2</v>
      </c>
    </row>
    <row r="9" spans="1:3" x14ac:dyDescent="0.2">
      <c r="A9" s="21" t="s">
        <v>10</v>
      </c>
      <c r="B9" s="21"/>
      <c r="C9" s="21">
        <v>143</v>
      </c>
    </row>
    <row r="10" spans="1:3" ht="28" customHeight="1" x14ac:dyDescent="0.2">
      <c r="A10" s="21" t="s">
        <v>11</v>
      </c>
      <c r="B10" s="21"/>
      <c r="C10" s="21">
        <v>175</v>
      </c>
    </row>
    <row r="11" spans="1:3" ht="28" x14ac:dyDescent="0.2">
      <c r="A11" s="21" t="s">
        <v>12</v>
      </c>
      <c r="B11" s="21"/>
      <c r="C11" s="21">
        <v>125</v>
      </c>
    </row>
    <row r="12" spans="1:3" x14ac:dyDescent="0.2">
      <c r="A12" s="21" t="s">
        <v>13</v>
      </c>
      <c r="B12" s="21"/>
      <c r="C12" s="21">
        <v>4</v>
      </c>
    </row>
    <row r="13" spans="1:3" x14ac:dyDescent="0.2">
      <c r="A13" s="21" t="s">
        <v>14</v>
      </c>
      <c r="B13" s="21"/>
      <c r="C13" s="21">
        <v>5</v>
      </c>
    </row>
    <row r="14" spans="1:3" x14ac:dyDescent="0.2">
      <c r="A14" s="21" t="s">
        <v>15</v>
      </c>
      <c r="B14" s="21"/>
      <c r="C14" s="21">
        <v>175</v>
      </c>
    </row>
    <row r="15" spans="1:3" x14ac:dyDescent="0.2">
      <c r="A15" s="21" t="s">
        <v>16</v>
      </c>
      <c r="B15" s="21"/>
      <c r="C15" s="21">
        <v>167</v>
      </c>
    </row>
    <row r="16" spans="1:3" ht="28" customHeight="1" x14ac:dyDescent="0.2">
      <c r="A16" s="21" t="s">
        <v>17</v>
      </c>
      <c r="B16" s="21"/>
      <c r="C16" s="21">
        <v>1</v>
      </c>
    </row>
    <row r="17" spans="1:3" ht="28" customHeight="1" x14ac:dyDescent="0.2">
      <c r="A17" s="21" t="s">
        <v>18</v>
      </c>
      <c r="B17" s="21"/>
      <c r="C17" s="21">
        <v>2</v>
      </c>
    </row>
    <row r="18" spans="1:3" ht="28" x14ac:dyDescent="0.2">
      <c r="A18" s="21" t="s">
        <v>19</v>
      </c>
      <c r="B18" s="21"/>
      <c r="C18" s="21">
        <v>35</v>
      </c>
    </row>
    <row r="19" spans="1:3" x14ac:dyDescent="0.2">
      <c r="A19" s="21" t="s">
        <v>20</v>
      </c>
      <c r="B19" s="21"/>
      <c r="C19" s="21">
        <v>95</v>
      </c>
    </row>
    <row r="20" spans="1:3" x14ac:dyDescent="0.2">
      <c r="A20" s="21" t="s">
        <v>21</v>
      </c>
      <c r="B20" s="21"/>
      <c r="C20" s="21">
        <v>2</v>
      </c>
    </row>
    <row r="21" spans="1:3" x14ac:dyDescent="0.2">
      <c r="A21" s="21" t="s">
        <v>22</v>
      </c>
      <c r="B21" s="21"/>
      <c r="C21" s="21">
        <v>8</v>
      </c>
    </row>
    <row r="22" spans="1:3" x14ac:dyDescent="0.2">
      <c r="A22" s="21" t="s">
        <v>23</v>
      </c>
      <c r="B22" s="21"/>
      <c r="C22" s="21">
        <v>0</v>
      </c>
    </row>
    <row r="23" spans="1:3" x14ac:dyDescent="0.2">
      <c r="A23" s="21" t="s">
        <v>24</v>
      </c>
      <c r="B23" s="21"/>
      <c r="C23" s="21">
        <v>2</v>
      </c>
    </row>
    <row r="24" spans="1:3" x14ac:dyDescent="0.2">
      <c r="A24" s="21" t="s">
        <v>25</v>
      </c>
      <c r="B24" s="21"/>
      <c r="C24" s="21">
        <v>21</v>
      </c>
    </row>
    <row r="25" spans="1:3" x14ac:dyDescent="0.2">
      <c r="A25" s="21" t="s">
        <v>26</v>
      </c>
      <c r="B25" s="21"/>
      <c r="C25" s="21">
        <v>0</v>
      </c>
    </row>
    <row r="26" spans="1:3" x14ac:dyDescent="0.2">
      <c r="A26" s="21" t="s">
        <v>27</v>
      </c>
      <c r="B26" s="21"/>
      <c r="C26" s="21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H3" sqref="H3:H9"/>
    </sheetView>
    <sheetView tabSelected="1" workbookViewId="1">
      <selection activeCell="K10" sqref="K10"/>
    </sheetView>
  </sheetViews>
  <sheetFormatPr baseColWidth="10" defaultColWidth="9" defaultRowHeight="15" customHeight="1" x14ac:dyDescent="0.15"/>
  <cols>
    <col min="1" max="1" width="14.33203125" style="17" customWidth="1"/>
    <col min="2" max="2" width="8.83203125" style="17" customWidth="1"/>
    <col min="3" max="3" width="31.1640625" style="17" bestFit="1" customWidth="1"/>
    <col min="4" max="4" width="8.83203125" style="17" customWidth="1"/>
    <col min="5" max="5" width="10.5" style="17" hidden="1" customWidth="1"/>
    <col min="6" max="6" width="9.6640625" style="17" hidden="1" customWidth="1"/>
    <col min="7" max="7" width="12.83203125" style="17" hidden="1" customWidth="1"/>
    <col min="8" max="8" width="11.1640625" style="17" bestFit="1" customWidth="1"/>
    <col min="9" max="9" width="8.83203125" style="17" customWidth="1"/>
    <col min="10" max="10" width="29.6640625" style="17" bestFit="1" customWidth="1"/>
    <col min="11" max="11" width="42.6640625" style="17" customWidth="1"/>
    <col min="12" max="1026" width="8.83203125" style="17" customWidth="1"/>
    <col min="1027" max="1028" width="9" style="17" customWidth="1"/>
    <col min="1029" max="16384" width="9" style="17"/>
  </cols>
  <sheetData>
    <row r="1" spans="1:11" x14ac:dyDescent="0.2">
      <c r="A1" t="s">
        <v>136</v>
      </c>
    </row>
    <row r="2" spans="1:11" ht="15" customHeight="1" x14ac:dyDescent="0.15">
      <c r="A2" s="4" t="s">
        <v>29</v>
      </c>
      <c r="B2" s="4" t="s">
        <v>31</v>
      </c>
      <c r="C2" s="4" t="s">
        <v>137</v>
      </c>
      <c r="D2" s="4" t="s">
        <v>79</v>
      </c>
      <c r="E2" s="4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</row>
    <row r="3" spans="1:11" ht="15" customHeight="1" x14ac:dyDescent="0.15">
      <c r="A3" s="17" t="s">
        <v>138</v>
      </c>
      <c r="C3" s="17" t="s">
        <v>114</v>
      </c>
      <c r="D3" s="26" t="s">
        <v>116</v>
      </c>
      <c r="H3" s="24">
        <v>1000000000</v>
      </c>
      <c r="J3" s="17">
        <f>'!!Initial species concentration'!E3</f>
        <v>1000000000</v>
      </c>
    </row>
    <row r="4" spans="1:11" ht="15" customHeight="1" x14ac:dyDescent="0.15">
      <c r="A4" s="17" t="s">
        <v>139</v>
      </c>
      <c r="C4" s="17" t="s">
        <v>117</v>
      </c>
      <c r="D4" s="26" t="s">
        <v>116</v>
      </c>
      <c r="H4" s="24">
        <v>2000000000</v>
      </c>
      <c r="J4" s="17">
        <f>'!!Initial species concentration'!E4</f>
        <v>2000000000</v>
      </c>
    </row>
    <row r="5" spans="1:11" ht="15" customHeight="1" x14ac:dyDescent="0.15">
      <c r="A5" s="17" t="s">
        <v>140</v>
      </c>
      <c r="C5" s="17" t="s">
        <v>119</v>
      </c>
      <c r="D5" s="22" t="s">
        <v>116</v>
      </c>
      <c r="H5" s="24">
        <v>3000000000</v>
      </c>
      <c r="J5" s="17">
        <f>'!!Initial species concentration'!E5</f>
        <v>3000000000</v>
      </c>
    </row>
    <row r="6" spans="1:11" ht="15" customHeight="1" x14ac:dyDescent="0.15">
      <c r="A6" s="17" t="s">
        <v>141</v>
      </c>
      <c r="C6" s="17" t="s">
        <v>121</v>
      </c>
      <c r="D6" s="26" t="s">
        <v>116</v>
      </c>
      <c r="H6" s="17">
        <v>481771260.80000001</v>
      </c>
      <c r="J6" s="28">
        <f>'!!Initial species concentration'!E6*'!!Compartments'!I4*'!!Parameters'!D14</f>
        <v>481771260.80000001</v>
      </c>
    </row>
    <row r="7" spans="1:11" ht="15" customHeight="1" x14ac:dyDescent="0.15">
      <c r="A7" s="17" t="s">
        <v>142</v>
      </c>
      <c r="C7" s="17" t="s">
        <v>143</v>
      </c>
      <c r="D7" s="26" t="s">
        <v>116</v>
      </c>
      <c r="H7" s="17">
        <v>1083985336.8</v>
      </c>
      <c r="J7" s="28">
        <f>J6 + '!!Initial species concentration'!E7*'!!Compartments'!I4*'!!Parameters'!D14</f>
        <v>1083985336.8</v>
      </c>
      <c r="K7" s="17" t="s">
        <v>350</v>
      </c>
    </row>
    <row r="8" spans="1:11" ht="15" customHeight="1" x14ac:dyDescent="0.15">
      <c r="A8" s="17" t="s">
        <v>144</v>
      </c>
      <c r="C8" s="17" t="s">
        <v>145</v>
      </c>
      <c r="D8" s="26" t="s">
        <v>116</v>
      </c>
      <c r="H8" s="17">
        <v>4000000000</v>
      </c>
      <c r="J8" s="17">
        <f>2 * J4</f>
        <v>4000000000</v>
      </c>
    </row>
    <row r="9" spans="1:11" ht="15" customHeight="1" x14ac:dyDescent="0.15">
      <c r="A9" s="17" t="s">
        <v>146</v>
      </c>
      <c r="C9" s="17" t="s">
        <v>147</v>
      </c>
      <c r="D9" s="26" t="s">
        <v>116</v>
      </c>
      <c r="H9" s="17">
        <v>1083985336.8</v>
      </c>
      <c r="J9" s="28">
        <f>J6 + '!!Initial species concentration'!E7*'!!Compartments'!I4*'!!Parameters'!D14</f>
        <v>1083985336.8</v>
      </c>
      <c r="K9" s="17" t="s">
        <v>351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40" zoomScaleNormal="140" zoomScalePageLayoutView="14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H12" sqref="H12"/>
    </sheetView>
    <sheetView zoomScale="110" zoomScaleNormal="110" zoomScalePageLayoutView="110" workbookViewId="1">
      <selection activeCell="A8" sqref="A8"/>
    </sheetView>
  </sheetViews>
  <sheetFormatPr baseColWidth="10" defaultColWidth="9" defaultRowHeight="15" customHeight="1" x14ac:dyDescent="0.2"/>
  <cols>
    <col min="1" max="1" width="13.83203125" style="22" customWidth="1"/>
    <col min="2" max="2" width="8.83203125" style="22" hidden="1" customWidth="1"/>
    <col min="3" max="3" width="38.6640625" style="22" bestFit="1" customWidth="1"/>
    <col min="4" max="4" width="12.83203125" style="22" bestFit="1" customWidth="1"/>
    <col min="5" max="5" width="12.1640625" style="22" hidden="1" customWidth="1"/>
    <col min="6" max="6" width="11.6640625" style="22" hidden="1" customWidth="1"/>
    <col min="7" max="7" width="15.6640625" style="22" hidden="1" customWidth="1"/>
    <col min="8" max="8" width="14" style="22" customWidth="1"/>
    <col min="9" max="9" width="8.83203125" style="22" hidden="1" customWidth="1"/>
    <col min="10" max="10" width="22.1640625" style="22" customWidth="1"/>
    <col min="11" max="11" width="46.83203125" style="22" customWidth="1"/>
    <col min="12" max="12" width="12.5" style="22" customWidth="1"/>
    <col min="13" max="1026" width="8.83203125" style="22" customWidth="1"/>
    <col min="1027" max="1028" width="9" style="22" customWidth="1"/>
    <col min="1029" max="16384" width="9" style="22"/>
  </cols>
  <sheetData>
    <row r="1" spans="1:13" x14ac:dyDescent="0.2">
      <c r="A1" t="s">
        <v>148</v>
      </c>
    </row>
    <row r="2" spans="1:13" ht="28" customHeight="1" x14ac:dyDescent="0.2">
      <c r="A2" s="18" t="s">
        <v>29</v>
      </c>
      <c r="B2" s="18" t="s">
        <v>31</v>
      </c>
      <c r="C2" s="18" t="s">
        <v>137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  <c r="L2" s="29"/>
      <c r="M2" s="29"/>
    </row>
    <row r="3" spans="1:13" ht="14" customHeight="1" x14ac:dyDescent="0.2">
      <c r="A3" s="22" t="s">
        <v>149</v>
      </c>
      <c r="C3" s="22">
        <v>0.1</v>
      </c>
      <c r="D3" s="22" t="s">
        <v>88</v>
      </c>
      <c r="H3" s="22">
        <v>0.1</v>
      </c>
      <c r="J3" s="36">
        <f>0.1</f>
        <v>0.1</v>
      </c>
    </row>
    <row r="4" spans="1:13" ht="15" customHeight="1" x14ac:dyDescent="0.2">
      <c r="A4" s="22" t="s">
        <v>150</v>
      </c>
      <c r="C4" s="22" t="s">
        <v>151</v>
      </c>
      <c r="D4" s="26" t="s">
        <v>88</v>
      </c>
      <c r="H4" s="22">
        <v>0.5</v>
      </c>
      <c r="J4" s="36">
        <f>0.5 / EXP(0)</f>
        <v>0.5</v>
      </c>
    </row>
    <row r="5" spans="1:13" ht="15" customHeight="1" x14ac:dyDescent="0.2">
      <c r="A5" s="22" t="s">
        <v>152</v>
      </c>
      <c r="C5" s="22" t="s">
        <v>87</v>
      </c>
      <c r="D5" s="22" t="s">
        <v>322</v>
      </c>
      <c r="H5" s="22">
        <v>1100</v>
      </c>
      <c r="J5" s="36">
        <f>'!!Parameters'!D15</f>
        <v>1100</v>
      </c>
      <c r="K5" s="26" t="s">
        <v>153</v>
      </c>
    </row>
    <row r="6" spans="1:13" ht="15" customHeight="1" x14ac:dyDescent="0.2">
      <c r="A6" s="22" t="s">
        <v>154</v>
      </c>
      <c r="C6" s="22" t="s">
        <v>155</v>
      </c>
      <c r="D6" s="22" t="s">
        <v>116</v>
      </c>
      <c r="H6" s="22">
        <v>3000000000</v>
      </c>
      <c r="J6" s="36">
        <f>'!!Initial species concentration'!E3 + '!!Initial species concentration'!E4</f>
        <v>3000000000</v>
      </c>
      <c r="K6" s="26" t="s">
        <v>156</v>
      </c>
    </row>
    <row r="7" spans="1:13" ht="15" customHeight="1" x14ac:dyDescent="0.15">
      <c r="A7" s="22" t="s">
        <v>157</v>
      </c>
      <c r="C7" s="17" t="s">
        <v>140</v>
      </c>
      <c r="D7" s="22" t="s">
        <v>116</v>
      </c>
      <c r="H7" s="22">
        <v>3000000000</v>
      </c>
      <c r="J7" s="36">
        <f>'!!Observables'!J5</f>
        <v>3000000000</v>
      </c>
      <c r="K7" s="26" t="s">
        <v>158</v>
      </c>
    </row>
    <row r="8" spans="1:13" ht="15" customHeight="1" x14ac:dyDescent="0.2">
      <c r="A8" s="22" t="s">
        <v>159</v>
      </c>
      <c r="C8" s="22" t="s">
        <v>160</v>
      </c>
      <c r="D8" s="26" t="s">
        <v>88</v>
      </c>
      <c r="H8" s="22">
        <v>0.6</v>
      </c>
      <c r="J8" s="36">
        <f>J3+J4</f>
        <v>0.6</v>
      </c>
      <c r="K8" s="26" t="s">
        <v>161</v>
      </c>
    </row>
    <row r="9" spans="1:13" ht="15" customHeight="1" x14ac:dyDescent="0.2">
      <c r="A9" s="22" t="s">
        <v>162</v>
      </c>
      <c r="C9" s="22" t="s">
        <v>81</v>
      </c>
      <c r="D9" s="22" t="s">
        <v>320</v>
      </c>
      <c r="H9" s="7">
        <v>2.2000000000000002</v>
      </c>
      <c r="J9" s="37">
        <f>'!!Compartments'!V4</f>
        <v>2.2000000000000002</v>
      </c>
      <c r="K9" s="26" t="s">
        <v>346</v>
      </c>
      <c r="L9" s="7"/>
      <c r="M9" s="7"/>
    </row>
    <row r="10" spans="1:13" ht="15" customHeight="1" x14ac:dyDescent="0.15">
      <c r="A10" s="22" t="s">
        <v>166</v>
      </c>
      <c r="C10" s="17" t="s">
        <v>167</v>
      </c>
      <c r="D10" s="22" t="s">
        <v>116</v>
      </c>
      <c r="H10" s="22">
        <v>2000000000</v>
      </c>
      <c r="J10" s="36">
        <f>'!!Observables'!J5 - J7 + '!!Initial species concentration'!E4</f>
        <v>2000000000</v>
      </c>
      <c r="K10" s="26" t="s">
        <v>168</v>
      </c>
    </row>
    <row r="11" spans="1:13" ht="15" customHeight="1" x14ac:dyDescent="0.2">
      <c r="A11" s="27" t="s">
        <v>169</v>
      </c>
      <c r="B11" s="27"/>
      <c r="C11" s="27" t="s">
        <v>170</v>
      </c>
      <c r="D11" s="27" t="s">
        <v>321</v>
      </c>
      <c r="E11" s="27"/>
      <c r="F11" s="27"/>
      <c r="G11" s="27"/>
      <c r="H11" s="22">
        <v>2E-3</v>
      </c>
      <c r="J11" s="37">
        <f>'!!Compartments'!V4 / '!!Parameters'!D15</f>
        <v>2E-3</v>
      </c>
      <c r="K11" s="27" t="s">
        <v>171</v>
      </c>
    </row>
    <row r="12" spans="1:13" ht="15" customHeight="1" x14ac:dyDescent="0.2">
      <c r="A12" s="27" t="s">
        <v>163</v>
      </c>
      <c r="B12" s="27"/>
      <c r="C12" s="27" t="s">
        <v>164</v>
      </c>
      <c r="D12" s="27" t="s">
        <v>320</v>
      </c>
      <c r="E12" s="27"/>
      <c r="F12" s="27"/>
      <c r="G12" s="27"/>
      <c r="H12" s="22">
        <v>4.4000000000000004</v>
      </c>
      <c r="J12" s="37">
        <f xml:space="preserve"> '!!Parameters'!D15 * J11+ '!!Compartments'!V4</f>
        <v>4.4000000000000004</v>
      </c>
      <c r="K12" s="27" t="s">
        <v>165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160" zoomScaleNormal="160" zoomScalePageLayoutView="160" workbookViewId="0">
      <pane xSplit="1" ySplit="2" topLeftCell="B3" activePane="bottomRight" state="frozen"/>
      <selection activeCell="M17" sqref="M17"/>
      <selection pane="topRight" activeCell="M17" sqref="M17"/>
      <selection pane="bottomLeft" activeCell="M17" sqref="M17"/>
      <selection pane="bottomRight" activeCell="D7" sqref="D7"/>
    </sheetView>
    <sheetView workbookViewId="1"/>
  </sheetViews>
  <sheetFormatPr baseColWidth="10" defaultColWidth="9" defaultRowHeight="15" customHeight="1" x14ac:dyDescent="0.2"/>
  <cols>
    <col min="1" max="1" width="12" style="22" customWidth="1"/>
    <col min="2" max="2" width="17.1640625" style="22" customWidth="1"/>
    <col min="3" max="3" width="14.6640625" style="22" customWidth="1"/>
    <col min="4" max="4" width="42" style="22" customWidth="1"/>
    <col min="5" max="5" width="13.5" style="22" customWidth="1"/>
    <col min="6" max="6" width="8.1640625" style="22" customWidth="1"/>
    <col min="7" max="7" width="7.5" style="14" customWidth="1"/>
    <col min="8" max="8" width="7.6640625" style="14" customWidth="1"/>
    <col min="9" max="9" width="37.83203125" style="22" customWidth="1"/>
    <col min="10" max="10" width="8.83203125" style="22" customWidth="1"/>
    <col min="11" max="12" width="8.83203125" style="14" customWidth="1"/>
    <col min="13" max="13" width="37.33203125" style="14" customWidth="1"/>
    <col min="14" max="1027" width="8.83203125" style="14" customWidth="1"/>
    <col min="1028" max="1029" width="9" style="14" customWidth="1"/>
    <col min="1030" max="16384" width="9" style="14"/>
  </cols>
  <sheetData>
    <row r="1" spans="1:14" x14ac:dyDescent="0.2">
      <c r="A1" t="s">
        <v>172</v>
      </c>
    </row>
    <row r="2" spans="1:14" s="23" customFormat="1" ht="15" customHeight="1" x14ac:dyDescent="0.15">
      <c r="A2" s="15"/>
      <c r="B2" s="15"/>
      <c r="C2" s="15"/>
      <c r="D2" s="15"/>
      <c r="E2" s="15"/>
      <c r="F2" s="15"/>
      <c r="G2" s="32" t="s">
        <v>173</v>
      </c>
      <c r="H2" s="33"/>
      <c r="I2" s="33"/>
      <c r="J2" s="15"/>
      <c r="K2" s="15"/>
      <c r="L2" s="15"/>
      <c r="M2" s="15"/>
      <c r="N2" s="15"/>
    </row>
    <row r="3" spans="1:14" ht="28" customHeight="1" x14ac:dyDescent="0.2">
      <c r="A3" s="18" t="s">
        <v>29</v>
      </c>
      <c r="B3" s="18" t="s">
        <v>31</v>
      </c>
      <c r="C3" s="18" t="s">
        <v>174</v>
      </c>
      <c r="D3" s="18" t="s">
        <v>175</v>
      </c>
      <c r="E3" s="18" t="s">
        <v>176</v>
      </c>
      <c r="F3" s="18" t="s">
        <v>177</v>
      </c>
      <c r="G3" s="18" t="s">
        <v>178</v>
      </c>
      <c r="H3" s="18" t="s">
        <v>179</v>
      </c>
      <c r="I3" s="18" t="s">
        <v>79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ht="18" customHeight="1" x14ac:dyDescent="0.2">
      <c r="A4" s="22" t="s">
        <v>180</v>
      </c>
      <c r="B4" s="22" t="s">
        <v>181</v>
      </c>
      <c r="C4" s="22" t="s">
        <v>64</v>
      </c>
      <c r="D4" s="22" t="s">
        <v>316</v>
      </c>
      <c r="E4" s="22">
        <v>0</v>
      </c>
      <c r="F4" s="22" t="s">
        <v>182</v>
      </c>
      <c r="I4" s="14"/>
      <c r="J4" s="25"/>
      <c r="M4" s="14" t="s">
        <v>183</v>
      </c>
    </row>
    <row r="5" spans="1:14" x14ac:dyDescent="0.2">
      <c r="A5" s="22" t="s">
        <v>184</v>
      </c>
      <c r="B5" s="22" t="s">
        <v>185</v>
      </c>
      <c r="C5" s="22" t="s">
        <v>64</v>
      </c>
      <c r="D5" s="22" t="s">
        <v>316</v>
      </c>
      <c r="E5" s="22">
        <v>0</v>
      </c>
      <c r="F5" s="22" t="s">
        <v>182</v>
      </c>
      <c r="G5" s="22"/>
      <c r="H5" s="22"/>
      <c r="I5" s="14"/>
      <c r="J5" s="25"/>
    </row>
    <row r="6" spans="1:14" x14ac:dyDescent="0.2">
      <c r="A6" s="22" t="s">
        <v>186</v>
      </c>
      <c r="B6" s="22" t="s">
        <v>187</v>
      </c>
      <c r="C6" s="22" t="s">
        <v>64</v>
      </c>
      <c r="D6" s="22" t="s">
        <v>316</v>
      </c>
      <c r="E6" s="14">
        <v>0</v>
      </c>
      <c r="F6" s="22" t="s">
        <v>182</v>
      </c>
      <c r="G6" s="7"/>
      <c r="H6" s="7"/>
    </row>
    <row r="7" spans="1:14" x14ac:dyDescent="0.2">
      <c r="A7" s="22" t="s">
        <v>188</v>
      </c>
      <c r="B7" s="22" t="s">
        <v>189</v>
      </c>
      <c r="C7" s="22" t="s">
        <v>64</v>
      </c>
      <c r="D7" s="16" t="s">
        <v>316</v>
      </c>
      <c r="E7" s="22">
        <v>0</v>
      </c>
      <c r="F7" s="22" t="s">
        <v>182</v>
      </c>
      <c r="G7" s="7"/>
      <c r="H7" s="7"/>
    </row>
    <row r="8" spans="1:14" x14ac:dyDescent="0.2">
      <c r="A8" s="22" t="s">
        <v>190</v>
      </c>
      <c r="B8" s="22" t="s">
        <v>191</v>
      </c>
      <c r="C8" s="22" t="s">
        <v>64</v>
      </c>
      <c r="D8" s="16" t="s">
        <v>316</v>
      </c>
      <c r="E8" s="22">
        <v>0</v>
      </c>
      <c r="F8" s="22" t="s">
        <v>182</v>
      </c>
      <c r="M8" s="22"/>
    </row>
    <row r="9" spans="1:14" ht="15" customHeight="1" x14ac:dyDescent="0.2">
      <c r="A9" s="22" t="s">
        <v>192</v>
      </c>
      <c r="B9" s="22" t="s">
        <v>193</v>
      </c>
      <c r="C9" s="22" t="s">
        <v>64</v>
      </c>
      <c r="D9" s="22" t="s">
        <v>316</v>
      </c>
      <c r="E9" s="22">
        <v>0</v>
      </c>
      <c r="F9" s="22" t="s">
        <v>182</v>
      </c>
    </row>
    <row r="10" spans="1:14" ht="15" customHeight="1" x14ac:dyDescent="0.2">
      <c r="A10" s="22" t="s">
        <v>194</v>
      </c>
      <c r="B10" s="22" t="s">
        <v>195</v>
      </c>
      <c r="C10" s="22" t="s">
        <v>64</v>
      </c>
      <c r="D10" s="22" t="s">
        <v>316</v>
      </c>
      <c r="E10" s="22">
        <v>0</v>
      </c>
      <c r="F10" s="22" t="s">
        <v>182</v>
      </c>
    </row>
    <row r="11" spans="1:14" ht="15" customHeight="1" x14ac:dyDescent="0.2">
      <c r="A11" s="22" t="s">
        <v>196</v>
      </c>
      <c r="B11" s="22" t="s">
        <v>197</v>
      </c>
      <c r="C11" s="22" t="s">
        <v>64</v>
      </c>
      <c r="D11" s="22" t="s">
        <v>316</v>
      </c>
      <c r="E11" s="22">
        <v>0</v>
      </c>
      <c r="F11" s="22" t="s">
        <v>182</v>
      </c>
    </row>
    <row r="12" spans="1:14" ht="15" customHeight="1" x14ac:dyDescent="0.2">
      <c r="A12" s="22" t="s">
        <v>198</v>
      </c>
      <c r="B12" s="22" t="s">
        <v>199</v>
      </c>
      <c r="C12" s="22" t="s">
        <v>64</v>
      </c>
      <c r="D12" s="22" t="s">
        <v>316</v>
      </c>
      <c r="E12" s="22">
        <v>0</v>
      </c>
      <c r="F12" s="22" t="s">
        <v>182</v>
      </c>
    </row>
    <row r="13" spans="1:14" ht="15" customHeight="1" x14ac:dyDescent="0.2">
      <c r="A13" s="22" t="s">
        <v>200</v>
      </c>
      <c r="B13" s="22" t="s">
        <v>201</v>
      </c>
      <c r="C13" s="22" t="s">
        <v>64</v>
      </c>
      <c r="D13" s="22" t="s">
        <v>316</v>
      </c>
      <c r="E13" s="22">
        <v>0</v>
      </c>
      <c r="F13" s="22" t="s">
        <v>182</v>
      </c>
    </row>
  </sheetData>
  <autoFilter ref="A2:D7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50" zoomScaleNormal="150" zoomScalePageLayoutView="150" workbookViewId="0">
      <pane xSplit="1" ySplit="1" topLeftCell="D2" activePane="bottomRight" state="frozen"/>
      <selection activeCell="M17" sqref="M17"/>
      <selection pane="topRight" activeCell="M17" sqref="M17"/>
      <selection pane="bottomLeft" activeCell="M17" sqref="M17"/>
      <selection pane="bottomRight" activeCell="K10" sqref="K10"/>
    </sheetView>
    <sheetView topLeftCell="B1" zoomScale="110" zoomScaleNormal="110" zoomScalePageLayoutView="110" workbookViewId="1">
      <selection activeCell="J16" sqref="J16"/>
    </sheetView>
  </sheetViews>
  <sheetFormatPr baseColWidth="10" defaultColWidth="9" defaultRowHeight="15" customHeight="1" x14ac:dyDescent="0.2"/>
  <cols>
    <col min="1" max="1" width="19" style="22" customWidth="1"/>
    <col min="2" max="3" width="10.83203125" style="22" bestFit="1" customWidth="1"/>
    <col min="4" max="4" width="9.6640625" style="22" customWidth="1"/>
    <col min="5" max="5" width="9.1640625" style="22" hidden="1" customWidth="1"/>
    <col min="6" max="6" width="43.83203125" style="22" customWidth="1"/>
    <col min="7" max="7" width="9.1640625" style="22" customWidth="1"/>
    <col min="8" max="10" width="9.1640625" style="22" hidden="1" customWidth="1"/>
    <col min="11" max="11" width="19.1640625" style="38" customWidth="1"/>
    <col min="12" max="12" width="8.83203125" style="22" hidden="1" customWidth="1"/>
    <col min="13" max="13" width="8.83203125" style="38" customWidth="1"/>
    <col min="14" max="14" width="52.1640625" style="22" customWidth="1"/>
    <col min="15" max="1025" width="8.83203125" style="22" customWidth="1"/>
    <col min="1026" max="1027" width="9" style="22" customWidth="1"/>
    <col min="1028" max="16384" width="9" style="22"/>
  </cols>
  <sheetData>
    <row r="1" spans="1:14" x14ac:dyDescent="0.2">
      <c r="A1" t="s">
        <v>202</v>
      </c>
    </row>
    <row r="2" spans="1:14" s="27" customFormat="1" ht="70" x14ac:dyDescent="0.2">
      <c r="A2" s="18" t="s">
        <v>29</v>
      </c>
      <c r="B2" s="18" t="s">
        <v>31</v>
      </c>
      <c r="C2" s="18" t="s">
        <v>203</v>
      </c>
      <c r="D2" s="18" t="s">
        <v>204</v>
      </c>
      <c r="E2" s="18" t="s">
        <v>97</v>
      </c>
      <c r="F2" s="18" t="s">
        <v>137</v>
      </c>
      <c r="G2" s="18" t="s">
        <v>79</v>
      </c>
      <c r="H2" s="18" t="s">
        <v>44</v>
      </c>
      <c r="I2" s="18" t="s">
        <v>62</v>
      </c>
      <c r="J2" s="18" t="s">
        <v>63</v>
      </c>
      <c r="K2" s="4" t="s">
        <v>45</v>
      </c>
      <c r="L2" s="18" t="s">
        <v>54</v>
      </c>
      <c r="M2" s="18" t="s">
        <v>327</v>
      </c>
      <c r="N2" s="18" t="s">
        <v>328</v>
      </c>
    </row>
    <row r="3" spans="1:14" ht="14" x14ac:dyDescent="0.2">
      <c r="A3" s="22" t="s">
        <v>205</v>
      </c>
      <c r="B3" s="22" t="s">
        <v>206</v>
      </c>
      <c r="C3" s="22" t="s">
        <v>180</v>
      </c>
      <c r="D3" s="22" t="s">
        <v>207</v>
      </c>
      <c r="F3" s="26" t="s">
        <v>326</v>
      </c>
      <c r="G3" s="22" t="s">
        <v>182</v>
      </c>
      <c r="K3" s="38">
        <v>1</v>
      </c>
      <c r="M3" s="38">
        <f>'!!Parameters'!J4</f>
        <v>1</v>
      </c>
      <c r="N3" s="26" t="s">
        <v>211</v>
      </c>
    </row>
    <row r="4" spans="1:14" ht="14" x14ac:dyDescent="0.2">
      <c r="A4" s="22" t="s">
        <v>208</v>
      </c>
      <c r="B4" s="22" t="s">
        <v>209</v>
      </c>
      <c r="C4" s="22" t="s">
        <v>184</v>
      </c>
      <c r="D4" s="22" t="s">
        <v>207</v>
      </c>
      <c r="F4" s="22" t="s">
        <v>210</v>
      </c>
      <c r="G4" s="22" t="s">
        <v>182</v>
      </c>
      <c r="K4" s="38">
        <v>0.2</v>
      </c>
      <c r="M4" s="38">
        <f>'!!Parameters'!J5/10</f>
        <v>0.2</v>
      </c>
      <c r="N4" s="22" t="s">
        <v>211</v>
      </c>
    </row>
    <row r="5" spans="1:14" ht="14" x14ac:dyDescent="0.2">
      <c r="A5" s="22" t="s">
        <v>212</v>
      </c>
      <c r="B5" s="22" t="s">
        <v>213</v>
      </c>
      <c r="C5" s="22" t="s">
        <v>186</v>
      </c>
      <c r="D5" s="22" t="s">
        <v>207</v>
      </c>
      <c r="F5" s="22" t="s">
        <v>214</v>
      </c>
      <c r="G5" s="22" t="s">
        <v>182</v>
      </c>
      <c r="K5" s="38">
        <v>3000000000</v>
      </c>
      <c r="M5" s="38">
        <f>'!!Parameters'!J6 * '!!Initial species concentration'!E3</f>
        <v>3000000000</v>
      </c>
      <c r="N5" s="22" t="s">
        <v>215</v>
      </c>
    </row>
    <row r="6" spans="1:14" ht="14" x14ac:dyDescent="0.2">
      <c r="A6" s="22" t="s">
        <v>216</v>
      </c>
      <c r="B6" s="22" t="s">
        <v>217</v>
      </c>
      <c r="C6" s="22" t="s">
        <v>188</v>
      </c>
      <c r="D6" s="22" t="s">
        <v>207</v>
      </c>
      <c r="F6" s="22" t="s">
        <v>218</v>
      </c>
      <c r="G6" s="22" t="s">
        <v>182</v>
      </c>
      <c r="K6" s="38">
        <v>1927085043.2</v>
      </c>
      <c r="M6" s="39">
        <f>'!!Parameters'!J7 * '!!Observables'!J6</f>
        <v>1927085043.2</v>
      </c>
      <c r="N6" s="22" t="s">
        <v>219</v>
      </c>
    </row>
    <row r="7" spans="1:14" ht="14" x14ac:dyDescent="0.2">
      <c r="A7" s="22" t="s">
        <v>220</v>
      </c>
      <c r="B7" s="22" t="s">
        <v>221</v>
      </c>
      <c r="C7" s="22" t="s">
        <v>190</v>
      </c>
      <c r="D7" s="22" t="s">
        <v>207</v>
      </c>
      <c r="F7" s="22" t="s">
        <v>222</v>
      </c>
      <c r="G7" s="22" t="s">
        <v>182</v>
      </c>
      <c r="K7" s="38">
        <v>600000000</v>
      </c>
      <c r="M7" s="39">
        <f>'!!Functions'!J6 / '!!Parameters'!J8</f>
        <v>600000000</v>
      </c>
      <c r="N7" s="22" t="s">
        <v>223</v>
      </c>
    </row>
    <row r="8" spans="1:14" ht="14" x14ac:dyDescent="0.2">
      <c r="A8" s="22" t="s">
        <v>224</v>
      </c>
      <c r="B8" s="22" t="s">
        <v>225</v>
      </c>
      <c r="C8" s="22" t="s">
        <v>192</v>
      </c>
      <c r="D8" s="22" t="s">
        <v>207</v>
      </c>
      <c r="F8" s="22" t="s">
        <v>226</v>
      </c>
      <c r="G8" s="22" t="s">
        <v>182</v>
      </c>
      <c r="K8" s="38">
        <v>13.200000000000001</v>
      </c>
      <c r="M8" s="39">
        <f>'!!Parameters'!J9 * '!!Compartments'!V4</f>
        <v>13.200000000000001</v>
      </c>
      <c r="N8" s="22" t="s">
        <v>227</v>
      </c>
    </row>
    <row r="9" spans="1:14" ht="42" x14ac:dyDescent="0.2">
      <c r="A9" s="22" t="s">
        <v>228</v>
      </c>
      <c r="B9" s="22" t="s">
        <v>229</v>
      </c>
      <c r="C9" s="22" t="s">
        <v>194</v>
      </c>
      <c r="D9" s="22" t="s">
        <v>207</v>
      </c>
      <c r="F9" s="22" t="s">
        <v>230</v>
      </c>
      <c r="G9" s="22" t="s">
        <v>182</v>
      </c>
      <c r="K9" s="38">
        <v>5527085056.3999996</v>
      </c>
      <c r="M9" s="39">
        <f>M5 + M6 + M7 + M8</f>
        <v>5527085056.3999996</v>
      </c>
      <c r="N9" s="22" t="s">
        <v>231</v>
      </c>
    </row>
    <row r="10" spans="1:14" ht="15" customHeight="1" x14ac:dyDescent="0.2">
      <c r="A10" s="27" t="s">
        <v>232</v>
      </c>
      <c r="B10" s="27" t="s">
        <v>233</v>
      </c>
      <c r="C10" s="27" t="s">
        <v>196</v>
      </c>
      <c r="D10" s="27" t="s">
        <v>207</v>
      </c>
      <c r="E10" s="27"/>
      <c r="F10" s="27" t="s">
        <v>347</v>
      </c>
      <c r="G10" s="27" t="s">
        <v>182</v>
      </c>
      <c r="H10" s="27"/>
      <c r="I10" s="27"/>
      <c r="J10" s="27"/>
      <c r="K10" s="38">
        <v>0.02</v>
      </c>
      <c r="M10" s="39">
        <f>'!!Parameters'!D13 * '!!Functions'!J11</f>
        <v>0.02</v>
      </c>
      <c r="N10" s="27" t="s">
        <v>349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3" sqref="A3"/>
    </sheetView>
    <sheetView workbookViewId="1"/>
  </sheetViews>
  <sheetFormatPr baseColWidth="10" defaultColWidth="9" defaultRowHeight="15" customHeight="1" x14ac:dyDescent="0.2"/>
  <cols>
    <col min="1" max="2" width="27.33203125" style="22" customWidth="1"/>
    <col min="3" max="3" width="9" style="22" customWidth="1"/>
    <col min="4" max="4" width="30.83203125" style="22" customWidth="1"/>
    <col min="5" max="7" width="12.1640625" style="22" customWidth="1"/>
    <col min="8" max="9" width="9" style="22" customWidth="1"/>
    <col min="10" max="16384" width="9" style="22"/>
  </cols>
  <sheetData>
    <row r="1" spans="1:12" x14ac:dyDescent="0.2">
      <c r="A1" t="s">
        <v>234</v>
      </c>
    </row>
    <row r="2" spans="1:12" x14ac:dyDescent="0.2">
      <c r="A2" s="18" t="s">
        <v>29</v>
      </c>
      <c r="B2" s="18" t="s">
        <v>31</v>
      </c>
      <c r="C2" s="18" t="s">
        <v>174</v>
      </c>
      <c r="D2" s="18" t="s">
        <v>137</v>
      </c>
      <c r="E2" s="18" t="s">
        <v>79</v>
      </c>
      <c r="F2" s="18" t="s">
        <v>235</v>
      </c>
      <c r="G2" s="18" t="s">
        <v>236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x14ac:dyDescent="0.2">
      <c r="A3" s="13" t="s">
        <v>317</v>
      </c>
      <c r="C3" s="13" t="s">
        <v>64</v>
      </c>
      <c r="D3" s="11" t="s">
        <v>237</v>
      </c>
      <c r="E3" s="22" t="s">
        <v>88</v>
      </c>
      <c r="F3" s="22" t="s">
        <v>182</v>
      </c>
      <c r="G3" s="22" t="s">
        <v>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C3" sqref="C3"/>
    </sheetView>
    <sheetView workbookViewId="1"/>
  </sheetViews>
  <sheetFormatPr baseColWidth="10" defaultColWidth="9" defaultRowHeight="15" customHeight="1" x14ac:dyDescent="0.2"/>
  <cols>
    <col min="1" max="1" width="19.5" style="11" customWidth="1"/>
    <col min="2" max="2" width="25.33203125" style="11" bestFit="1" customWidth="1"/>
    <col min="3" max="3" width="13.1640625" style="11" bestFit="1" customWidth="1"/>
    <col min="4" max="4" width="12" style="11" customWidth="1"/>
    <col min="5" max="5" width="14.1640625" style="11" bestFit="1" customWidth="1"/>
    <col min="6" max="1026" width="8.83203125" style="12" customWidth="1"/>
    <col min="1027" max="1028" width="9" style="12" customWidth="1"/>
    <col min="1029" max="16384" width="9" style="12"/>
  </cols>
  <sheetData>
    <row r="1" spans="1:10" x14ac:dyDescent="0.2">
      <c r="A1" t="s">
        <v>238</v>
      </c>
    </row>
    <row r="2" spans="1:10" x14ac:dyDescent="0.2">
      <c r="A2" s="18" t="s">
        <v>29</v>
      </c>
      <c r="B2" s="18" t="s">
        <v>31</v>
      </c>
      <c r="C2" s="18" t="s">
        <v>174</v>
      </c>
      <c r="D2" s="18" t="s">
        <v>79</v>
      </c>
      <c r="E2" s="18" t="s">
        <v>239</v>
      </c>
      <c r="F2" s="18" t="s">
        <v>44</v>
      </c>
      <c r="G2" s="18" t="s">
        <v>62</v>
      </c>
      <c r="H2" s="18" t="s">
        <v>63</v>
      </c>
      <c r="I2" s="18" t="s">
        <v>45</v>
      </c>
      <c r="J2" s="18" t="s">
        <v>54</v>
      </c>
    </row>
    <row r="3" spans="1:10" x14ac:dyDescent="0.2">
      <c r="A3" s="11" t="s">
        <v>237</v>
      </c>
      <c r="B3" s="11" t="s">
        <v>240</v>
      </c>
      <c r="C3" s="13" t="s">
        <v>64</v>
      </c>
      <c r="D3" s="11" t="s">
        <v>182</v>
      </c>
      <c r="E3" s="11" t="s">
        <v>321</v>
      </c>
      <c r="I3" s="11" t="s">
        <v>241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F4" sqref="F4"/>
    </sheetView>
    <sheetView workbookViewId="1"/>
  </sheetViews>
  <sheetFormatPr baseColWidth="10" defaultColWidth="9" defaultRowHeight="15" customHeight="1" x14ac:dyDescent="0.2"/>
  <cols>
    <col min="1" max="1" width="50.83203125" style="8" customWidth="1"/>
    <col min="2" max="2" width="15.6640625" style="8" bestFit="1" customWidth="1"/>
    <col min="3" max="3" width="23.1640625" style="8" bestFit="1" customWidth="1"/>
    <col min="4" max="4" width="15" style="8" bestFit="1" customWidth="1"/>
    <col min="5" max="5" width="9.6640625" style="8" bestFit="1" customWidth="1"/>
    <col min="6" max="6" width="11.6640625" style="8" bestFit="1" customWidth="1"/>
    <col min="7" max="7" width="8.83203125" style="8" customWidth="1"/>
    <col min="8" max="1026" width="8.83203125" style="22" customWidth="1"/>
    <col min="1027" max="1028" width="9" style="22" customWidth="1"/>
    <col min="1029" max="16384" width="9" style="22"/>
  </cols>
  <sheetData>
    <row r="1" spans="1:11" x14ac:dyDescent="0.2">
      <c r="A1" t="s">
        <v>242</v>
      </c>
    </row>
    <row r="2" spans="1:11" x14ac:dyDescent="0.2">
      <c r="A2" s="9" t="s">
        <v>29</v>
      </c>
      <c r="B2" s="9" t="s">
        <v>31</v>
      </c>
      <c r="C2" s="9" t="s">
        <v>243</v>
      </c>
      <c r="D2" s="9" t="s">
        <v>129</v>
      </c>
      <c r="E2" s="9" t="s">
        <v>91</v>
      </c>
      <c r="F2" s="9" t="s">
        <v>79</v>
      </c>
      <c r="G2" s="9" t="s">
        <v>44</v>
      </c>
      <c r="H2" s="18" t="s">
        <v>62</v>
      </c>
      <c r="I2" s="18" t="s">
        <v>63</v>
      </c>
      <c r="J2" s="9" t="s">
        <v>45</v>
      </c>
      <c r="K2" s="9" t="s">
        <v>54</v>
      </c>
    </row>
    <row r="3" spans="1:11" x14ac:dyDescent="0.2">
      <c r="A3" s="8" t="s">
        <v>318</v>
      </c>
      <c r="B3" s="8" t="s">
        <v>244</v>
      </c>
      <c r="C3" s="8" t="s">
        <v>237</v>
      </c>
      <c r="D3" s="26" t="s">
        <v>121</v>
      </c>
      <c r="E3" s="10">
        <v>-3</v>
      </c>
      <c r="F3" s="8" t="s">
        <v>323</v>
      </c>
      <c r="J3" s="8" t="s">
        <v>245</v>
      </c>
    </row>
    <row r="4" spans="1:11" x14ac:dyDescent="0.2">
      <c r="A4" s="8" t="s">
        <v>319</v>
      </c>
      <c r="B4" s="8" t="s">
        <v>246</v>
      </c>
      <c r="C4" s="8" t="s">
        <v>237</v>
      </c>
      <c r="D4" s="26" t="s">
        <v>124</v>
      </c>
      <c r="E4" s="10">
        <v>1</v>
      </c>
      <c r="F4" s="8" t="s">
        <v>323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50" zoomScaleNormal="150" zoomScalePageLayoutView="15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10" sqref="A10"/>
    </sheetView>
    <sheetView workbookViewId="1">
      <selection activeCell="F18" sqref="F18"/>
    </sheetView>
  </sheetViews>
  <sheetFormatPr baseColWidth="10" defaultColWidth="9" defaultRowHeight="15" customHeight="1" x14ac:dyDescent="0.15"/>
  <cols>
    <col min="1" max="1" width="15.1640625" style="22" customWidth="1"/>
    <col min="2" max="3" width="8.83203125" style="22" customWidth="1"/>
    <col min="4" max="4" width="16.6640625" style="22" customWidth="1"/>
    <col min="5" max="5" width="8.83203125" style="22" customWidth="1"/>
    <col min="6" max="6" width="24.33203125" style="22" customWidth="1"/>
    <col min="7" max="9" width="8.83203125" style="22" hidden="1" customWidth="1"/>
    <col min="10" max="10" width="15.83203125" style="6" customWidth="1"/>
    <col min="11" max="11" width="8.83203125" style="6" hidden="1" customWidth="1"/>
    <col min="12" max="12" width="21.83203125" style="6" customWidth="1"/>
    <col min="13" max="13" width="46.5" style="6" customWidth="1"/>
    <col min="14" max="1026" width="8.83203125" style="6" customWidth="1"/>
    <col min="1027" max="1028" width="9" style="6" customWidth="1"/>
    <col min="1029" max="16384" width="9" style="6"/>
  </cols>
  <sheetData>
    <row r="1" spans="1:13" s="23" customFormat="1" x14ac:dyDescent="0.2">
      <c r="A1" t="s">
        <v>247</v>
      </c>
    </row>
    <row r="2" spans="1:13" ht="32" customHeight="1" x14ac:dyDescent="0.15">
      <c r="A2" s="18" t="s">
        <v>29</v>
      </c>
      <c r="B2" s="18" t="s">
        <v>31</v>
      </c>
      <c r="C2" s="18" t="s">
        <v>97</v>
      </c>
      <c r="D2" s="18" t="s">
        <v>91</v>
      </c>
      <c r="E2" s="18" t="s">
        <v>248</v>
      </c>
      <c r="F2" s="18" t="s">
        <v>79</v>
      </c>
      <c r="G2" s="18" t="s">
        <v>44</v>
      </c>
      <c r="H2" s="18" t="s">
        <v>62</v>
      </c>
      <c r="I2" s="18" t="s">
        <v>63</v>
      </c>
      <c r="J2" s="4" t="s">
        <v>45</v>
      </c>
      <c r="K2" s="18" t="s">
        <v>54</v>
      </c>
      <c r="L2" s="18" t="s">
        <v>327</v>
      </c>
      <c r="M2" s="18" t="s">
        <v>328</v>
      </c>
    </row>
    <row r="3" spans="1:13" ht="15" customHeight="1" x14ac:dyDescent="0.15">
      <c r="A3" s="22" t="s">
        <v>249</v>
      </c>
      <c r="B3" s="22" t="s">
        <v>250</v>
      </c>
      <c r="D3" s="22">
        <v>0.3</v>
      </c>
      <c r="F3" s="22" t="s">
        <v>88</v>
      </c>
      <c r="J3" s="26">
        <v>0.3</v>
      </c>
      <c r="M3" s="22" t="s">
        <v>251</v>
      </c>
    </row>
    <row r="4" spans="1:13" ht="15" customHeight="1" x14ac:dyDescent="0.15">
      <c r="A4" s="26" t="s">
        <v>326</v>
      </c>
      <c r="B4" s="26"/>
      <c r="C4" s="26" t="s">
        <v>253</v>
      </c>
      <c r="D4" s="26">
        <v>1</v>
      </c>
      <c r="E4" s="26">
        <v>0</v>
      </c>
      <c r="F4" s="26" t="s">
        <v>182</v>
      </c>
      <c r="G4" s="26"/>
      <c r="H4" s="26"/>
      <c r="I4" s="26"/>
      <c r="J4" s="26">
        <v>1</v>
      </c>
      <c r="M4" s="26"/>
    </row>
    <row r="5" spans="1:13" ht="15" customHeight="1" x14ac:dyDescent="0.15">
      <c r="A5" s="22" t="s">
        <v>252</v>
      </c>
      <c r="C5" s="22" t="s">
        <v>253</v>
      </c>
      <c r="D5" s="22">
        <v>2</v>
      </c>
      <c r="E5" s="22">
        <v>0</v>
      </c>
      <c r="F5" s="22" t="s">
        <v>182</v>
      </c>
      <c r="J5" s="26">
        <v>2</v>
      </c>
    </row>
    <row r="6" spans="1:13" ht="15" customHeight="1" x14ac:dyDescent="0.15">
      <c r="A6" s="22" t="s">
        <v>254</v>
      </c>
      <c r="C6" s="22" t="s">
        <v>253</v>
      </c>
      <c r="D6" s="22">
        <v>3</v>
      </c>
      <c r="E6" s="22">
        <v>0</v>
      </c>
      <c r="F6" s="22" t="s">
        <v>324</v>
      </c>
      <c r="J6" s="26">
        <v>3</v>
      </c>
    </row>
    <row r="7" spans="1:13" ht="15" customHeight="1" x14ac:dyDescent="0.15">
      <c r="A7" s="22" t="s">
        <v>255</v>
      </c>
      <c r="C7" s="22" t="s">
        <v>253</v>
      </c>
      <c r="D7" s="22">
        <v>4</v>
      </c>
      <c r="E7" s="22">
        <v>0</v>
      </c>
      <c r="F7" s="22" t="s">
        <v>324</v>
      </c>
      <c r="J7" s="26">
        <v>4</v>
      </c>
    </row>
    <row r="8" spans="1:13" ht="15" customHeight="1" x14ac:dyDescent="0.15">
      <c r="A8" s="22" t="s">
        <v>256</v>
      </c>
      <c r="C8" s="22" t="s">
        <v>253</v>
      </c>
      <c r="D8" s="22">
        <v>5</v>
      </c>
      <c r="E8" s="22">
        <v>0</v>
      </c>
      <c r="F8" s="22" t="s">
        <v>257</v>
      </c>
      <c r="J8" s="26">
        <v>5</v>
      </c>
    </row>
    <row r="9" spans="1:13" ht="15" customHeight="1" x14ac:dyDescent="0.15">
      <c r="A9" s="22" t="s">
        <v>258</v>
      </c>
      <c r="C9" s="22" t="s">
        <v>253</v>
      </c>
      <c r="D9" s="22">
        <v>6</v>
      </c>
      <c r="E9" s="22">
        <v>0</v>
      </c>
      <c r="F9" s="22" t="s">
        <v>325</v>
      </c>
      <c r="J9" s="26">
        <v>6</v>
      </c>
    </row>
    <row r="10" spans="1:13" ht="15" customHeight="1" x14ac:dyDescent="0.15">
      <c r="A10" s="22" t="s">
        <v>259</v>
      </c>
      <c r="C10" s="22" t="s">
        <v>253</v>
      </c>
      <c r="D10" s="22">
        <v>7</v>
      </c>
      <c r="E10" s="22">
        <v>0</v>
      </c>
      <c r="F10" s="22" t="s">
        <v>88</v>
      </c>
      <c r="J10" s="26">
        <v>7</v>
      </c>
    </row>
    <row r="11" spans="1:13" ht="15" customHeight="1" x14ac:dyDescent="0.15">
      <c r="A11" s="22" t="s">
        <v>260</v>
      </c>
      <c r="C11" s="22" t="s">
        <v>253</v>
      </c>
      <c r="D11" s="27">
        <v>1000000000</v>
      </c>
      <c r="E11" s="22">
        <v>0</v>
      </c>
      <c r="F11" s="27" t="s">
        <v>116</v>
      </c>
      <c r="J11" s="27">
        <v>1000000000</v>
      </c>
    </row>
    <row r="12" spans="1:13" ht="15" customHeight="1" x14ac:dyDescent="0.15">
      <c r="A12" s="22" t="s">
        <v>261</v>
      </c>
      <c r="C12" s="22" t="s">
        <v>253</v>
      </c>
      <c r="D12" s="22">
        <v>3</v>
      </c>
      <c r="E12" s="22">
        <v>0</v>
      </c>
      <c r="F12" s="22" t="s">
        <v>320</v>
      </c>
      <c r="J12" s="27">
        <v>3</v>
      </c>
    </row>
    <row r="13" spans="1:13" ht="15" customHeight="1" x14ac:dyDescent="0.15">
      <c r="A13" s="22" t="s">
        <v>262</v>
      </c>
      <c r="C13" s="22" t="s">
        <v>253</v>
      </c>
      <c r="D13" s="22">
        <v>10</v>
      </c>
      <c r="E13" s="22">
        <v>0</v>
      </c>
      <c r="F13" s="22" t="s">
        <v>348</v>
      </c>
      <c r="J13" s="27">
        <v>10</v>
      </c>
    </row>
    <row r="14" spans="1:13" ht="15" customHeight="1" x14ac:dyDescent="0.15">
      <c r="A14" s="22" t="s">
        <v>263</v>
      </c>
      <c r="D14" s="7">
        <v>6.0221407599999999E+23</v>
      </c>
      <c r="E14" s="22">
        <v>0</v>
      </c>
      <c r="F14" s="22" t="s">
        <v>264</v>
      </c>
      <c r="J14" s="7">
        <v>6.0221407599999999E+23</v>
      </c>
      <c r="M14" s="6" t="s">
        <v>265</v>
      </c>
    </row>
    <row r="15" spans="1:13" ht="15" customHeight="1" x14ac:dyDescent="0.15">
      <c r="A15" s="22" t="s">
        <v>87</v>
      </c>
      <c r="D15" s="22">
        <v>1100</v>
      </c>
      <c r="E15" s="22">
        <v>0</v>
      </c>
      <c r="F15" s="22" t="s">
        <v>322</v>
      </c>
      <c r="J15" s="26">
        <v>1100</v>
      </c>
      <c r="M15" s="6" t="s">
        <v>266</v>
      </c>
    </row>
    <row r="16" spans="1:13" ht="15" customHeight="1" x14ac:dyDescent="0.15">
      <c r="A16" s="6"/>
      <c r="B16" s="6"/>
      <c r="C16" s="6"/>
      <c r="D16" s="6"/>
      <c r="E16" s="6"/>
    </row>
    <row r="17" spans="1:5" ht="15" customHeight="1" x14ac:dyDescent="0.15">
      <c r="A17" s="6"/>
      <c r="B17" s="6"/>
      <c r="C17" s="6"/>
      <c r="D17" s="6"/>
      <c r="E17" s="6"/>
    </row>
    <row r="18" spans="1:5" ht="15" customHeight="1" x14ac:dyDescent="0.15">
      <c r="A18" s="6"/>
      <c r="B18" s="6"/>
      <c r="C18" s="6"/>
      <c r="D18" s="6"/>
      <c r="E18" s="6"/>
    </row>
    <row r="19" spans="1:5" ht="15" customHeight="1" x14ac:dyDescent="0.15">
      <c r="A19" s="6"/>
      <c r="B19" s="6"/>
      <c r="C19" s="6"/>
      <c r="D19" s="6"/>
      <c r="E19" s="6"/>
    </row>
    <row r="20" spans="1:5" ht="15" customHeight="1" x14ac:dyDescent="0.15">
      <c r="A20" s="6"/>
      <c r="B20" s="6"/>
      <c r="C20" s="6"/>
      <c r="D20" s="6"/>
      <c r="E20" s="6"/>
    </row>
    <row r="21" spans="1:5" ht="15" customHeight="1" x14ac:dyDescent="0.15">
      <c r="A21" s="6"/>
      <c r="B21" s="6"/>
      <c r="C21" s="6"/>
      <c r="D21" s="6"/>
      <c r="E21" s="6"/>
    </row>
    <row r="22" spans="1:5" ht="15" customHeight="1" x14ac:dyDescent="0.15">
      <c r="A22" s="6"/>
      <c r="B22" s="6"/>
      <c r="C22" s="6"/>
      <c r="D22" s="6"/>
      <c r="E22" s="6"/>
    </row>
    <row r="23" spans="1:5" ht="15" customHeight="1" x14ac:dyDescent="0.15">
      <c r="A23" s="6"/>
      <c r="B23" s="6"/>
      <c r="C23" s="6"/>
      <c r="D23" s="6"/>
      <c r="E23" s="6"/>
    </row>
    <row r="24" spans="1:5" ht="15" customHeight="1" x14ac:dyDescent="0.15">
      <c r="A24" s="6"/>
      <c r="B24" s="6"/>
      <c r="C24" s="6"/>
      <c r="D24" s="6"/>
      <c r="E24" s="6"/>
    </row>
    <row r="25" spans="1:5" ht="15" customHeight="1" x14ac:dyDescent="0.15">
      <c r="A25" s="6"/>
      <c r="B25" s="6"/>
      <c r="C25" s="6"/>
      <c r="D25" s="6"/>
      <c r="E25" s="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40" zoomScaleNormal="140" zoomScalePageLayoutView="14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C14" sqref="C14"/>
    </sheetView>
    <sheetView workbookViewId="1">
      <selection activeCell="C5" sqref="C5"/>
    </sheetView>
  </sheetViews>
  <sheetFormatPr baseColWidth="10" defaultColWidth="9" defaultRowHeight="15" customHeight="1" x14ac:dyDescent="0.2"/>
  <cols>
    <col min="1" max="1" width="20" style="22" customWidth="1"/>
    <col min="2" max="2" width="8.83203125" style="22" customWidth="1"/>
    <col min="3" max="3" width="44.6640625" style="22" bestFit="1" customWidth="1"/>
    <col min="4" max="4" width="13.5" style="22" customWidth="1"/>
    <col min="5" max="5" width="16.6640625" style="22" hidden="1" customWidth="1"/>
    <col min="6" max="7" width="8.83203125" style="22" hidden="1" customWidth="1"/>
    <col min="8" max="8" width="21" style="22" customWidth="1"/>
    <col min="9" max="9" width="15.6640625" style="22" hidden="1" customWidth="1"/>
    <col min="10" max="10" width="18.33203125" style="22" customWidth="1"/>
    <col min="11" max="11" width="33" style="22" customWidth="1"/>
    <col min="12" max="1026" width="8.83203125" style="22" customWidth="1"/>
    <col min="1027" max="1028" width="9" style="22" customWidth="1"/>
    <col min="1029" max="16384" width="9" style="22"/>
  </cols>
  <sheetData>
    <row r="1" spans="1:11" x14ac:dyDescent="0.2">
      <c r="A1" t="s">
        <v>267</v>
      </c>
    </row>
    <row r="2" spans="1:11" s="26" customFormat="1" ht="28" x14ac:dyDescent="0.2">
      <c r="A2" s="18" t="s">
        <v>29</v>
      </c>
      <c r="B2" s="18" t="s">
        <v>31</v>
      </c>
      <c r="C2" s="18" t="s">
        <v>137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</row>
    <row r="3" spans="1:11" ht="15" customHeight="1" x14ac:dyDescent="0.2">
      <c r="A3" s="27" t="s">
        <v>330</v>
      </c>
      <c r="B3" s="27"/>
      <c r="C3" s="27" t="s">
        <v>337</v>
      </c>
      <c r="D3" s="27" t="s">
        <v>88</v>
      </c>
      <c r="E3" s="27"/>
      <c r="F3" s="27"/>
      <c r="G3" s="27"/>
      <c r="H3" s="27" t="b">
        <v>1</v>
      </c>
      <c r="I3" s="27"/>
      <c r="J3" s="27" t="b">
        <f>IF(0 &lt; 1, TRUE())</f>
        <v>1</v>
      </c>
      <c r="K3" s="27"/>
    </row>
    <row r="4" spans="1:11" ht="15" customHeight="1" x14ac:dyDescent="0.2">
      <c r="A4" s="27" t="s">
        <v>331</v>
      </c>
      <c r="B4" s="27"/>
      <c r="C4" s="27" t="s">
        <v>341</v>
      </c>
      <c r="D4" s="27" t="s">
        <v>88</v>
      </c>
      <c r="E4" s="27"/>
      <c r="F4" s="27"/>
      <c r="G4" s="27"/>
      <c r="H4" s="27" t="b">
        <v>0</v>
      </c>
      <c r="I4" s="27"/>
      <c r="J4" s="27" t="b">
        <f>IF(2 &lt;  1, TRUE())</f>
        <v>0</v>
      </c>
      <c r="K4" s="27"/>
    </row>
    <row r="5" spans="1:11" s="27" customFormat="1" ht="15" customHeight="1" x14ac:dyDescent="0.2">
      <c r="A5" s="27" t="s">
        <v>332</v>
      </c>
      <c r="C5" s="27" t="s">
        <v>338</v>
      </c>
      <c r="D5" s="27" t="s">
        <v>88</v>
      </c>
      <c r="H5" s="27" t="b">
        <v>0</v>
      </c>
      <c r="J5" s="27" t="b">
        <f>IF('!!Parameters'!D10=3, TRUE())</f>
        <v>0</v>
      </c>
      <c r="K5" s="27" t="s">
        <v>153</v>
      </c>
    </row>
    <row r="6" spans="1:11" ht="15" customHeight="1" x14ac:dyDescent="0.2">
      <c r="A6" s="27" t="s">
        <v>333</v>
      </c>
      <c r="B6" s="27"/>
      <c r="C6" s="27" t="s">
        <v>339</v>
      </c>
      <c r="D6" s="27" t="s">
        <v>88</v>
      </c>
      <c r="E6" s="27"/>
      <c r="F6" s="27"/>
      <c r="G6" s="27"/>
      <c r="H6" s="27" t="b">
        <v>1</v>
      </c>
      <c r="I6" s="27"/>
      <c r="J6" s="27" t="b">
        <f>IF( '!!Parameters'!D11 &lt;= '!!Initial species concentration'!E3, TRUE())</f>
        <v>1</v>
      </c>
      <c r="K6" s="27" t="s">
        <v>156</v>
      </c>
    </row>
    <row r="7" spans="1:11" ht="15" customHeight="1" x14ac:dyDescent="0.15">
      <c r="A7" s="27" t="s">
        <v>334</v>
      </c>
      <c r="B7" s="27"/>
      <c r="C7" s="17" t="s">
        <v>340</v>
      </c>
      <c r="D7" s="27" t="s">
        <v>88</v>
      </c>
      <c r="E7" s="27"/>
      <c r="F7" s="27"/>
      <c r="G7" s="27"/>
      <c r="H7" s="27" t="b">
        <v>0</v>
      </c>
      <c r="I7" s="27"/>
      <c r="J7" s="27" t="b">
        <f>IF( '!!Observables'!H5 &lt;= '!!Initial species concentration'!E3, TRUE())</f>
        <v>0</v>
      </c>
      <c r="K7" s="27" t="s">
        <v>158</v>
      </c>
    </row>
    <row r="8" spans="1:11" ht="15" customHeight="1" x14ac:dyDescent="0.2">
      <c r="A8" s="27" t="s">
        <v>335</v>
      </c>
      <c r="B8" s="27"/>
      <c r="C8" s="27" t="s">
        <v>345</v>
      </c>
      <c r="D8" s="27" t="s">
        <v>88</v>
      </c>
      <c r="E8" s="27"/>
      <c r="F8" s="27"/>
      <c r="G8" s="27"/>
      <c r="H8" s="27" t="b">
        <v>1</v>
      </c>
      <c r="I8" s="27"/>
      <c r="J8" s="27" t="b">
        <f>IF( AND(0.4 &lt; '!!Functions'!J8,  '!!Functions'!J8 &lt;= 10), TRUE())</f>
        <v>1</v>
      </c>
      <c r="K8" s="27" t="s">
        <v>344</v>
      </c>
    </row>
    <row r="9" spans="1:11" ht="15" customHeight="1" x14ac:dyDescent="0.2">
      <c r="A9" s="27" t="s">
        <v>336</v>
      </c>
      <c r="B9" s="27"/>
      <c r="C9" s="27" t="s">
        <v>342</v>
      </c>
      <c r="D9" s="27" t="s">
        <v>88</v>
      </c>
      <c r="E9" s="27"/>
      <c r="F9" s="27"/>
      <c r="G9" s="27"/>
      <c r="H9" s="7" t="b">
        <v>1</v>
      </c>
      <c r="I9" s="27"/>
      <c r="J9" s="27" t="b">
        <f>IF( '!!Compartments'!V4 &lt; '!!Parameters'!D12, TRUE())</f>
        <v>1</v>
      </c>
      <c r="K9" s="27" t="s">
        <v>329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23" x14ac:dyDescent="0.2">
      <c r="A1" t="s">
        <v>268</v>
      </c>
    </row>
    <row r="2" spans="1:23" x14ac:dyDescent="0.2">
      <c r="G2" s="34" t="s">
        <v>269</v>
      </c>
      <c r="H2" s="31"/>
      <c r="I2" s="34" t="s">
        <v>270</v>
      </c>
      <c r="J2" s="31"/>
      <c r="K2" s="31"/>
      <c r="L2" s="31"/>
      <c r="M2" s="31"/>
      <c r="N2" s="31"/>
      <c r="Q2" s="35" t="s">
        <v>271</v>
      </c>
      <c r="R2" s="31"/>
      <c r="S2" s="35" t="s">
        <v>272</v>
      </c>
      <c r="T2" s="31"/>
    </row>
    <row r="3" spans="1:23" x14ac:dyDescent="0.2">
      <c r="A3" s="4" t="s">
        <v>29</v>
      </c>
      <c r="B3" s="4" t="s">
        <v>31</v>
      </c>
      <c r="C3" s="4" t="s">
        <v>91</v>
      </c>
      <c r="D3" s="4" t="s">
        <v>248</v>
      </c>
      <c r="E3" s="4" t="s">
        <v>79</v>
      </c>
      <c r="F3" s="4" t="s">
        <v>97</v>
      </c>
      <c r="G3" s="4" t="s">
        <v>273</v>
      </c>
      <c r="H3" s="4" t="s">
        <v>274</v>
      </c>
      <c r="I3" s="4" t="s">
        <v>57</v>
      </c>
      <c r="J3" s="4" t="s">
        <v>58</v>
      </c>
      <c r="K3" s="4" t="s">
        <v>70</v>
      </c>
      <c r="L3" s="4" t="s">
        <v>275</v>
      </c>
      <c r="M3" s="4" t="s">
        <v>276</v>
      </c>
      <c r="N3" s="4" t="s">
        <v>277</v>
      </c>
      <c r="O3" s="4" t="s">
        <v>278</v>
      </c>
      <c r="P3" s="4" t="s">
        <v>279</v>
      </c>
      <c r="Q3" s="4" t="s">
        <v>31</v>
      </c>
      <c r="R3" s="4" t="s">
        <v>33</v>
      </c>
      <c r="S3" s="4" t="s">
        <v>31</v>
      </c>
      <c r="T3" s="4" t="s">
        <v>33</v>
      </c>
      <c r="U3" s="4" t="s">
        <v>44</v>
      </c>
      <c r="V3" s="4" t="s">
        <v>45</v>
      </c>
      <c r="W3" s="4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A8" sqref="A8"/>
    </sheetView>
    <sheetView workbookViewId="1"/>
  </sheetViews>
  <sheetFormatPr baseColWidth="10" defaultColWidth="9" defaultRowHeight="15" customHeight="1" x14ac:dyDescent="0.2"/>
  <cols>
    <col min="1" max="1" width="8.83203125" style="22" customWidth="1"/>
    <col min="2" max="2" width="75.83203125" style="22" bestFit="1" customWidth="1"/>
    <col min="3" max="1025" width="8.83203125" style="22" customWidth="1"/>
    <col min="1026" max="1027" width="9" style="22" customWidth="1"/>
    <col min="1028" max="16384" width="9" style="22"/>
  </cols>
  <sheetData>
    <row r="1" spans="1:2" x14ac:dyDescent="0.2">
      <c r="A1" t="s">
        <v>28</v>
      </c>
    </row>
    <row r="2" spans="1:2" x14ac:dyDescent="0.2">
      <c r="A2" s="18" t="s">
        <v>29</v>
      </c>
      <c r="B2" s="22" t="s">
        <v>30</v>
      </c>
    </row>
    <row r="3" spans="1:2" x14ac:dyDescent="0.2">
      <c r="A3" s="18" t="s">
        <v>31</v>
      </c>
      <c r="B3" s="22" t="s">
        <v>32</v>
      </c>
    </row>
    <row r="4" spans="1:2" x14ac:dyDescent="0.2">
      <c r="A4" s="18" t="s">
        <v>33</v>
      </c>
      <c r="B4" s="22" t="s">
        <v>34</v>
      </c>
    </row>
    <row r="5" spans="1:2" x14ac:dyDescent="0.2">
      <c r="A5" s="18" t="s">
        <v>35</v>
      </c>
      <c r="B5" s="22" t="s">
        <v>36</v>
      </c>
    </row>
    <row r="6" spans="1:2" x14ac:dyDescent="0.2">
      <c r="A6" s="18" t="s">
        <v>37</v>
      </c>
      <c r="B6" s="22" t="s">
        <v>38</v>
      </c>
    </row>
    <row r="7" spans="1:2" x14ac:dyDescent="0.2">
      <c r="A7" s="18" t="s">
        <v>39</v>
      </c>
      <c r="B7" s="22" t="s">
        <v>40</v>
      </c>
    </row>
    <row r="8" spans="1:2" x14ac:dyDescent="0.2">
      <c r="A8" s="18" t="s">
        <v>41</v>
      </c>
      <c r="B8" s="22" t="s">
        <v>34</v>
      </c>
    </row>
    <row r="9" spans="1:2" x14ac:dyDescent="0.2">
      <c r="A9" s="18" t="s">
        <v>42</v>
      </c>
      <c r="B9" s="22" t="s">
        <v>43</v>
      </c>
    </row>
    <row r="10" spans="1:2" x14ac:dyDescent="0.2">
      <c r="A10" s="18" t="s">
        <v>44</v>
      </c>
    </row>
    <row r="11" spans="1:2" x14ac:dyDescent="0.2">
      <c r="A11" s="18" t="s">
        <v>45</v>
      </c>
    </row>
    <row r="12" spans="1:2" x14ac:dyDescent="0.2">
      <c r="A12" s="18" t="s">
        <v>46</v>
      </c>
    </row>
    <row r="13" spans="1:2" x14ac:dyDescent="0.2">
      <c r="A13" s="18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4" style="22" customWidth="1"/>
    <col min="2" max="3" width="13.33203125" style="22" customWidth="1"/>
    <col min="4" max="6" width="9.1640625" style="22" customWidth="1"/>
    <col min="7" max="1017" width="9.1640625" customWidth="1"/>
  </cols>
  <sheetData>
    <row r="1" spans="1:6" ht="15" customHeight="1" x14ac:dyDescent="0.2">
      <c r="A1" t="s">
        <v>280</v>
      </c>
    </row>
    <row r="2" spans="1:6" ht="15" customHeight="1" x14ac:dyDescent="0.2">
      <c r="A2" s="4" t="s">
        <v>29</v>
      </c>
      <c r="B2" s="4" t="s">
        <v>31</v>
      </c>
      <c r="C2" s="4" t="s">
        <v>281</v>
      </c>
      <c r="D2" s="4" t="s">
        <v>44</v>
      </c>
      <c r="E2" s="4" t="s">
        <v>45</v>
      </c>
      <c r="F2" s="4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5.1640625" style="22" customWidth="1"/>
    <col min="2" max="2" width="14.6640625" style="22" customWidth="1"/>
    <col min="3" max="14" width="9.1640625" style="22" customWidth="1"/>
    <col min="15" max="1024" width="9.1640625" customWidth="1"/>
  </cols>
  <sheetData>
    <row r="1" spans="1:14" x14ac:dyDescent="0.2">
      <c r="A1" t="s">
        <v>282</v>
      </c>
    </row>
    <row r="2" spans="1:14" ht="15" customHeight="1" x14ac:dyDescent="0.2">
      <c r="G2" s="35" t="s">
        <v>283</v>
      </c>
      <c r="H2" s="31"/>
    </row>
    <row r="3" spans="1:14" ht="15" customHeight="1" x14ac:dyDescent="0.2">
      <c r="A3" s="4" t="s">
        <v>29</v>
      </c>
      <c r="B3" s="4" t="s">
        <v>31</v>
      </c>
      <c r="C3" s="4" t="s">
        <v>91</v>
      </c>
      <c r="D3" s="4" t="s">
        <v>248</v>
      </c>
      <c r="E3" s="4" t="s">
        <v>79</v>
      </c>
      <c r="F3" s="4" t="s">
        <v>97</v>
      </c>
      <c r="G3" s="4" t="s">
        <v>31</v>
      </c>
      <c r="H3" s="4" t="s">
        <v>33</v>
      </c>
      <c r="I3" s="4" t="s">
        <v>44</v>
      </c>
      <c r="J3" s="4" t="s">
        <v>62</v>
      </c>
      <c r="K3" s="4" t="s">
        <v>45</v>
      </c>
      <c r="L3" s="4" t="s">
        <v>54</v>
      </c>
      <c r="M3" s="4" t="s">
        <v>284</v>
      </c>
      <c r="N3" s="4" t="s">
        <v>285</v>
      </c>
    </row>
    <row r="4" spans="1:14" ht="15" customHeight="1" x14ac:dyDescent="0.2">
      <c r="C4" s="5"/>
      <c r="D4" s="5"/>
    </row>
    <row r="5" spans="1:14" ht="15" customHeight="1" x14ac:dyDescent="0.2">
      <c r="C5" s="5"/>
      <c r="D5" s="5"/>
    </row>
    <row r="6" spans="1:14" ht="15" customHeight="1" x14ac:dyDescent="0.2">
      <c r="C6" s="5"/>
      <c r="D6" s="5"/>
    </row>
    <row r="7" spans="1:14" ht="15" customHeight="1" x14ac:dyDescent="0.2">
      <c r="C7" s="5"/>
      <c r="D7" s="5"/>
    </row>
    <row r="8" spans="1:14" ht="15" customHeight="1" x14ac:dyDescent="0.2">
      <c r="C8" s="5"/>
      <c r="D8" s="5"/>
    </row>
    <row r="9" spans="1:14" ht="15" customHeight="1" x14ac:dyDescent="0.2">
      <c r="C9" s="5"/>
      <c r="D9" s="5"/>
    </row>
    <row r="10" spans="1:14" ht="15" customHeight="1" x14ac:dyDescent="0.2">
      <c r="C10" s="5"/>
      <c r="D10" s="5"/>
    </row>
    <row r="11" spans="1:14" x14ac:dyDescent="0.2">
      <c r="C11" s="5"/>
      <c r="D11" s="5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17" width="8.83203125" style="2" customWidth="1"/>
    <col min="18" max="1025" width="8.83203125" style="3" customWidth="1"/>
    <col min="1026" max="1027" width="9" style="3" customWidth="1"/>
    <col min="1028" max="16384" width="9" style="3"/>
  </cols>
  <sheetData>
    <row r="1" spans="1:18" s="1" customFormat="1" x14ac:dyDescent="0.2">
      <c r="A1" t="s">
        <v>286</v>
      </c>
    </row>
    <row r="2" spans="1:18" x14ac:dyDescent="0.2">
      <c r="A2" s="18" t="s">
        <v>29</v>
      </c>
      <c r="B2" s="18" t="s">
        <v>31</v>
      </c>
      <c r="C2" s="18" t="s">
        <v>287</v>
      </c>
      <c r="D2" s="18" t="s">
        <v>288</v>
      </c>
      <c r="E2" s="18" t="s">
        <v>289</v>
      </c>
      <c r="F2" s="18" t="s">
        <v>290</v>
      </c>
      <c r="G2" s="18" t="s">
        <v>97</v>
      </c>
      <c r="H2" s="18" t="s">
        <v>291</v>
      </c>
      <c r="I2" s="18" t="s">
        <v>292</v>
      </c>
      <c r="J2" s="18" t="s">
        <v>293</v>
      </c>
      <c r="K2" s="18" t="s">
        <v>294</v>
      </c>
      <c r="L2" s="18" t="s">
        <v>295</v>
      </c>
      <c r="M2" s="18" t="s">
        <v>296</v>
      </c>
      <c r="N2" s="18" t="s">
        <v>297</v>
      </c>
      <c r="O2" s="18" t="s">
        <v>298</v>
      </c>
      <c r="P2" s="18" t="s">
        <v>299</v>
      </c>
      <c r="Q2" s="18" t="s">
        <v>44</v>
      </c>
      <c r="R2" s="18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pane xSplit="2" ySplit="1" topLeftCell="C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12" x14ac:dyDescent="0.2">
      <c r="A1" t="s">
        <v>300</v>
      </c>
    </row>
    <row r="2" spans="1:12" x14ac:dyDescent="0.2">
      <c r="A2" s="18" t="s">
        <v>29</v>
      </c>
      <c r="B2" s="18" t="s">
        <v>31</v>
      </c>
      <c r="C2" s="18" t="s">
        <v>301</v>
      </c>
      <c r="D2" s="18" t="s">
        <v>302</v>
      </c>
      <c r="E2" s="18" t="s">
        <v>303</v>
      </c>
      <c r="F2" s="18" t="s">
        <v>287</v>
      </c>
      <c r="G2" s="18" t="s">
        <v>304</v>
      </c>
      <c r="H2" s="18" t="s">
        <v>305</v>
      </c>
      <c r="I2" s="18" t="s">
        <v>306</v>
      </c>
      <c r="J2" s="18" t="s">
        <v>307</v>
      </c>
      <c r="K2" s="18" t="s">
        <v>44</v>
      </c>
      <c r="L2" s="18" t="s">
        <v>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17" x14ac:dyDescent="0.2">
      <c r="A1" t="s">
        <v>308</v>
      </c>
    </row>
    <row r="2" spans="1:17" x14ac:dyDescent="0.2">
      <c r="A2" s="18" t="s">
        <v>29</v>
      </c>
      <c r="B2" s="18" t="s">
        <v>31</v>
      </c>
      <c r="C2" s="18" t="s">
        <v>97</v>
      </c>
      <c r="D2" s="18" t="s">
        <v>309</v>
      </c>
      <c r="E2" s="18" t="s">
        <v>310</v>
      </c>
      <c r="F2" s="18" t="s">
        <v>311</v>
      </c>
      <c r="G2" s="18" t="s">
        <v>312</v>
      </c>
      <c r="H2" s="18" t="s">
        <v>313</v>
      </c>
      <c r="I2" s="18" t="s">
        <v>314</v>
      </c>
      <c r="J2" s="18" t="s">
        <v>315</v>
      </c>
      <c r="K2" s="18" t="s">
        <v>44</v>
      </c>
      <c r="L2" s="18" t="s">
        <v>62</v>
      </c>
      <c r="M2" s="18" t="s">
        <v>63</v>
      </c>
      <c r="N2" s="18" t="s">
        <v>45</v>
      </c>
      <c r="O2" s="18" t="s">
        <v>54</v>
      </c>
      <c r="P2" s="18" t="s">
        <v>284</v>
      </c>
      <c r="Q2" s="18" t="s">
        <v>285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B3" sqref="B3"/>
    </sheetView>
    <sheetView workbookViewId="1"/>
  </sheetViews>
  <sheetFormatPr baseColWidth="10" defaultColWidth="9" defaultRowHeight="15" customHeight="1" x14ac:dyDescent="0.2"/>
  <cols>
    <col min="1" max="1" width="8.83203125" style="22" customWidth="1"/>
    <col min="2" max="2" width="34" style="22" bestFit="1" customWidth="1"/>
    <col min="3" max="1025" width="8.83203125" style="22" customWidth="1"/>
    <col min="1026" max="1027" width="9" style="22" customWidth="1"/>
    <col min="1028" max="16384" width="9" style="22"/>
  </cols>
  <sheetData>
    <row r="1" spans="1:2" x14ac:dyDescent="0.2">
      <c r="A1" t="s">
        <v>48</v>
      </c>
    </row>
    <row r="2" spans="1:2" x14ac:dyDescent="0.2">
      <c r="A2" s="18" t="s">
        <v>29</v>
      </c>
      <c r="B2" s="22" t="s">
        <v>49</v>
      </c>
    </row>
    <row r="3" spans="1:2" x14ac:dyDescent="0.2">
      <c r="A3" s="18" t="s">
        <v>31</v>
      </c>
      <c r="B3" s="22" t="s">
        <v>50</v>
      </c>
    </row>
    <row r="4" spans="1:2" x14ac:dyDescent="0.2">
      <c r="A4" s="18" t="s">
        <v>51</v>
      </c>
      <c r="B4" s="22" t="s">
        <v>52</v>
      </c>
    </row>
    <row r="5" spans="1:2" x14ac:dyDescent="0.2">
      <c r="A5" s="18" t="s">
        <v>44</v>
      </c>
    </row>
    <row r="6" spans="1:2" x14ac:dyDescent="0.2">
      <c r="A6" s="18" t="s">
        <v>45</v>
      </c>
      <c r="B6" s="22" t="s">
        <v>53</v>
      </c>
    </row>
    <row r="7" spans="1:2" x14ac:dyDescent="0.2">
      <c r="A7" s="18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Q21" sqref="Q21"/>
    </sheetView>
    <sheetView workbookViewId="1"/>
  </sheetViews>
  <sheetFormatPr baseColWidth="10" defaultColWidth="9" defaultRowHeight="15" customHeight="1" x14ac:dyDescent="0.2"/>
  <cols>
    <col min="1" max="1" width="18.5" style="22" customWidth="1"/>
    <col min="2" max="2" width="5.33203125" style="22" customWidth="1"/>
    <col min="3" max="1015" width="8.83203125" style="12" customWidth="1"/>
    <col min="1016" max="1017" width="9" style="12" customWidth="1"/>
    <col min="1018" max="16384" width="9" style="12"/>
  </cols>
  <sheetData>
    <row r="1" spans="1:2" x14ac:dyDescent="0.2">
      <c r="A1" t="s">
        <v>55</v>
      </c>
    </row>
    <row r="2" spans="1:2" x14ac:dyDescent="0.2">
      <c r="A2" s="18" t="s">
        <v>29</v>
      </c>
      <c r="B2" s="22" t="s">
        <v>56</v>
      </c>
    </row>
    <row r="3" spans="1:2" x14ac:dyDescent="0.2">
      <c r="A3" s="18" t="s">
        <v>31</v>
      </c>
    </row>
    <row r="4" spans="1:2" x14ac:dyDescent="0.2">
      <c r="A4" s="18" t="s">
        <v>57</v>
      </c>
      <c r="B4" s="22">
        <v>37</v>
      </c>
    </row>
    <row r="5" spans="1:2" x14ac:dyDescent="0.2">
      <c r="A5" s="18" t="s">
        <v>58</v>
      </c>
      <c r="B5" s="22" t="s">
        <v>59</v>
      </c>
    </row>
    <row r="6" spans="1:2" x14ac:dyDescent="0.2">
      <c r="A6" s="18" t="s">
        <v>44</v>
      </c>
    </row>
    <row r="7" spans="1:2" x14ac:dyDescent="0.2">
      <c r="A7" s="18" t="s">
        <v>45</v>
      </c>
    </row>
    <row r="8" spans="1:2" x14ac:dyDescent="0.2">
      <c r="A8" s="18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3" sqref="A3"/>
    </sheetView>
    <sheetView workbookViewId="1"/>
  </sheetViews>
  <sheetFormatPr baseColWidth="10" defaultColWidth="9" defaultRowHeight="15" customHeight="1" x14ac:dyDescent="0.15"/>
  <cols>
    <col min="1" max="1" width="15" style="13" customWidth="1"/>
    <col min="2" max="2" width="33" style="13" bestFit="1" customWidth="1"/>
    <col min="3" max="3" width="32.6640625" style="13" customWidth="1"/>
    <col min="4" max="6" width="8.83203125" style="13" customWidth="1"/>
    <col min="7" max="7" width="39.1640625" style="13" customWidth="1"/>
    <col min="8" max="1026" width="8.83203125" style="17" customWidth="1"/>
    <col min="1027" max="1028" width="9" style="17" customWidth="1"/>
    <col min="1029" max="16384" width="9" style="17"/>
  </cols>
  <sheetData>
    <row r="1" spans="1:8" s="15" customFormat="1" x14ac:dyDescent="0.2">
      <c r="A1" t="s">
        <v>60</v>
      </c>
    </row>
    <row r="2" spans="1:8" ht="15" customHeight="1" x14ac:dyDescent="0.15">
      <c r="A2" s="18" t="s">
        <v>29</v>
      </c>
      <c r="B2" s="18" t="s">
        <v>31</v>
      </c>
      <c r="C2" s="18" t="s">
        <v>61</v>
      </c>
      <c r="D2" s="18" t="s">
        <v>44</v>
      </c>
      <c r="E2" s="18" t="s">
        <v>62</v>
      </c>
      <c r="F2" s="18" t="s">
        <v>63</v>
      </c>
      <c r="G2" s="18" t="s">
        <v>45</v>
      </c>
      <c r="H2" s="18" t="s">
        <v>54</v>
      </c>
    </row>
    <row r="3" spans="1:8" ht="42" customHeight="1" x14ac:dyDescent="0.15">
      <c r="A3" s="13" t="s">
        <v>64</v>
      </c>
      <c r="B3" s="13" t="s">
        <v>65</v>
      </c>
      <c r="C3" s="22" t="s">
        <v>66</v>
      </c>
      <c r="D3" s="11"/>
      <c r="G3" s="13" t="s">
        <v>67</v>
      </c>
    </row>
    <row r="4" spans="1:8" ht="15" customHeight="1" x14ac:dyDescent="0.15">
      <c r="C4" s="22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4"/>
  <sheetViews>
    <sheetView zoomScale="130" zoomScaleNormal="130" zoomScalePageLayoutView="130" workbookViewId="0">
      <pane xSplit="1" ySplit="2" topLeftCell="B3" activePane="bottomRight" state="frozen"/>
      <selection activeCell="Q21" sqref="Q21"/>
      <selection pane="topRight" activeCell="Q21" sqref="Q21"/>
      <selection pane="bottomLeft" activeCell="Q21" sqref="Q21"/>
      <selection pane="bottomRight" activeCell="T4" sqref="T4"/>
    </sheetView>
    <sheetView topLeftCell="F1" workbookViewId="1">
      <selection activeCell="W5" sqref="W5"/>
    </sheetView>
  </sheetViews>
  <sheetFormatPr baseColWidth="10" defaultColWidth="9" defaultRowHeight="15" customHeight="1" x14ac:dyDescent="0.2"/>
  <cols>
    <col min="1" max="1" width="7.33203125" style="22" customWidth="1"/>
    <col min="2" max="3" width="16.1640625" style="22" customWidth="1"/>
    <col min="4" max="4" width="10.33203125" style="22" customWidth="1"/>
    <col min="5" max="5" width="16" style="22" customWidth="1"/>
    <col min="6" max="6" width="12.6640625" style="22" customWidth="1"/>
    <col min="7" max="7" width="8" style="22" customWidth="1"/>
    <col min="8" max="16" width="8.83203125" style="22" customWidth="1"/>
    <col min="17" max="18" width="8.83203125" style="22" hidden="1" customWidth="1"/>
    <col min="19" max="19" width="8.83203125" style="22" customWidth="1"/>
    <col min="20" max="20" width="12.5" style="22" customWidth="1"/>
    <col min="21" max="21" width="8.83203125" style="22" hidden="1" customWidth="1"/>
    <col min="22" max="22" width="8.83203125" style="22" customWidth="1"/>
    <col min="23" max="23" width="33.1640625" style="22" customWidth="1"/>
    <col min="24" max="1035" width="8.83203125" style="22" customWidth="1"/>
    <col min="1036" max="1037" width="9" style="22" customWidth="1"/>
    <col min="1038" max="16384" width="9" style="22"/>
  </cols>
  <sheetData>
    <row r="1" spans="1:1032" x14ac:dyDescent="0.2">
      <c r="A1" t="s">
        <v>68</v>
      </c>
    </row>
    <row r="2" spans="1:1032" ht="15" customHeight="1" x14ac:dyDescent="0.15">
      <c r="A2" s="15"/>
      <c r="B2" s="15"/>
      <c r="C2" s="15"/>
      <c r="D2" s="15"/>
      <c r="E2" s="15"/>
      <c r="F2" s="15"/>
      <c r="G2" s="15"/>
      <c r="H2" s="30" t="s">
        <v>69</v>
      </c>
      <c r="I2" s="31"/>
      <c r="J2" s="31"/>
      <c r="K2" s="31"/>
      <c r="L2" s="15"/>
      <c r="M2" s="30" t="s">
        <v>70</v>
      </c>
      <c r="N2" s="31"/>
      <c r="O2" s="31"/>
      <c r="P2" s="31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</row>
    <row r="3" spans="1:1032" ht="56" customHeight="1" x14ac:dyDescent="0.15">
      <c r="A3" s="18" t="s">
        <v>29</v>
      </c>
      <c r="B3" s="18" t="s">
        <v>31</v>
      </c>
      <c r="C3" s="18" t="s">
        <v>71</v>
      </c>
      <c r="D3" s="18" t="s">
        <v>72</v>
      </c>
      <c r="E3" s="18" t="s">
        <v>73</v>
      </c>
      <c r="F3" s="18" t="s">
        <v>74</v>
      </c>
      <c r="G3" s="18" t="s">
        <v>75</v>
      </c>
      <c r="H3" s="18" t="s">
        <v>76</v>
      </c>
      <c r="I3" s="18" t="s">
        <v>77</v>
      </c>
      <c r="J3" s="18" t="s">
        <v>78</v>
      </c>
      <c r="K3" s="18" t="s">
        <v>79</v>
      </c>
      <c r="L3" s="18" t="s">
        <v>80</v>
      </c>
      <c r="M3" s="18" t="s">
        <v>76</v>
      </c>
      <c r="N3" s="18" t="s">
        <v>77</v>
      </c>
      <c r="O3" s="18" t="s">
        <v>78</v>
      </c>
      <c r="P3" s="18" t="s">
        <v>79</v>
      </c>
      <c r="Q3" s="18" t="s">
        <v>44</v>
      </c>
      <c r="R3" s="18" t="s">
        <v>62</v>
      </c>
      <c r="S3" s="18" t="s">
        <v>63</v>
      </c>
      <c r="T3" s="4" t="s">
        <v>45</v>
      </c>
      <c r="U3" s="18" t="s">
        <v>54</v>
      </c>
      <c r="V3" s="18" t="s">
        <v>327</v>
      </c>
      <c r="W3" s="18" t="s">
        <v>328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</row>
    <row r="4" spans="1:1032" ht="38" customHeight="1" x14ac:dyDescent="0.2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G4" s="22" t="s">
        <v>320</v>
      </c>
      <c r="H4" s="22" t="s">
        <v>86</v>
      </c>
      <c r="I4" s="7">
        <v>2E-3</v>
      </c>
      <c r="J4" s="22">
        <v>0</v>
      </c>
      <c r="K4" s="22" t="s">
        <v>321</v>
      </c>
      <c r="L4" s="22" t="s">
        <v>87</v>
      </c>
      <c r="M4" s="22" t="s">
        <v>86</v>
      </c>
      <c r="N4" s="22">
        <v>7.75</v>
      </c>
      <c r="O4" s="22">
        <v>0.77500000000000002</v>
      </c>
      <c r="P4" s="22" t="s">
        <v>88</v>
      </c>
      <c r="T4" s="22">
        <v>2.2000000000000002</v>
      </c>
      <c r="V4" s="7">
        <f>I4 * '!!Parameters'!D15</f>
        <v>2.2000000000000002</v>
      </c>
      <c r="W4" s="22" t="s">
        <v>343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zoomScalePageLayoutView="130" workbookViewId="0">
      <pane xSplit="1" ySplit="2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17" sqref="E17"/>
    </sheetView>
    <sheetView workbookViewId="1"/>
  </sheetViews>
  <sheetFormatPr baseColWidth="10" defaultColWidth="9" defaultRowHeight="15" customHeight="1" x14ac:dyDescent="0.2"/>
  <cols>
    <col min="1" max="1" width="9" style="22" customWidth="1"/>
    <col min="2" max="2" width="15" style="22" bestFit="1" customWidth="1"/>
    <col min="3" max="5" width="8.83203125" style="22" customWidth="1"/>
    <col min="6" max="6" width="16.1640625" style="22" customWidth="1"/>
    <col min="7" max="7" width="15.5" style="22" customWidth="1"/>
    <col min="8" max="8" width="7" style="22" customWidth="1"/>
    <col min="9" max="9" width="14" style="22" customWidth="1"/>
    <col min="10" max="10" width="18.5" style="22" customWidth="1"/>
    <col min="11" max="12" width="8.6640625" style="22" customWidth="1"/>
    <col min="13" max="13" width="10.1640625" style="22" customWidth="1"/>
    <col min="14" max="14" width="10.5" style="22" customWidth="1"/>
    <col min="15" max="1028" width="8.83203125" style="22" customWidth="1"/>
    <col min="1029" max="1030" width="9" style="22" customWidth="1"/>
    <col min="1031" max="16384" width="9" style="22"/>
  </cols>
  <sheetData>
    <row r="1" spans="1:14" x14ac:dyDescent="0.2">
      <c r="A1" t="s">
        <v>89</v>
      </c>
    </row>
    <row r="2" spans="1:14" x14ac:dyDescent="0.2">
      <c r="C2" s="30" t="s">
        <v>90</v>
      </c>
      <c r="D2" s="31"/>
      <c r="E2" s="31"/>
      <c r="F2" s="31"/>
      <c r="G2" s="31"/>
      <c r="H2" s="31"/>
    </row>
    <row r="3" spans="1:14" x14ac:dyDescent="0.2">
      <c r="A3" s="18" t="s">
        <v>29</v>
      </c>
      <c r="B3" s="18" t="s">
        <v>31</v>
      </c>
      <c r="C3" s="18" t="s">
        <v>91</v>
      </c>
      <c r="D3" s="18" t="s">
        <v>92</v>
      </c>
      <c r="E3" s="18" t="s">
        <v>93</v>
      </c>
      <c r="F3" s="18" t="s">
        <v>94</v>
      </c>
      <c r="G3" s="18" t="s">
        <v>95</v>
      </c>
      <c r="H3" s="18" t="s">
        <v>96</v>
      </c>
      <c r="I3" s="18" t="s">
        <v>97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x14ac:dyDescent="0.2">
      <c r="A4" s="22" t="s">
        <v>98</v>
      </c>
      <c r="B4" s="22" t="s">
        <v>99</v>
      </c>
      <c r="G4" s="22">
        <v>1</v>
      </c>
      <c r="H4" s="22">
        <v>0</v>
      </c>
      <c r="I4" s="22" t="s">
        <v>100</v>
      </c>
      <c r="J4" s="24"/>
    </row>
    <row r="5" spans="1:14" x14ac:dyDescent="0.2">
      <c r="A5" s="22" t="s">
        <v>101</v>
      </c>
      <c r="B5" s="22" t="s">
        <v>102</v>
      </c>
      <c r="G5" s="22">
        <v>2</v>
      </c>
      <c r="H5" s="22">
        <v>0</v>
      </c>
      <c r="I5" s="22" t="s">
        <v>100</v>
      </c>
      <c r="J5" s="24"/>
    </row>
    <row r="6" spans="1:14" x14ac:dyDescent="0.2">
      <c r="A6" s="22" t="s">
        <v>103</v>
      </c>
      <c r="B6" s="22" t="s">
        <v>104</v>
      </c>
      <c r="G6" s="22">
        <v>3</v>
      </c>
      <c r="H6" s="22">
        <v>0</v>
      </c>
      <c r="I6" s="22" t="s">
        <v>100</v>
      </c>
      <c r="J6" s="24"/>
    </row>
    <row r="7" spans="1:14" x14ac:dyDescent="0.2">
      <c r="A7" s="22" t="s">
        <v>105</v>
      </c>
      <c r="B7" s="22" t="s">
        <v>106</v>
      </c>
      <c r="G7" s="22">
        <v>4</v>
      </c>
      <c r="H7" s="22">
        <v>0</v>
      </c>
      <c r="I7" s="22" t="s">
        <v>100</v>
      </c>
      <c r="J7" s="24"/>
    </row>
    <row r="8" spans="1:14" x14ac:dyDescent="0.2">
      <c r="A8" s="22" t="s">
        <v>107</v>
      </c>
      <c r="B8" s="22" t="s">
        <v>108</v>
      </c>
      <c r="G8" s="22">
        <v>5</v>
      </c>
      <c r="H8" s="22">
        <v>0</v>
      </c>
      <c r="I8" s="22" t="s">
        <v>100</v>
      </c>
      <c r="J8" s="24"/>
    </row>
    <row r="9" spans="1:14" x14ac:dyDescent="0.2">
      <c r="A9" s="22" t="s">
        <v>109</v>
      </c>
      <c r="B9" s="22" t="s">
        <v>110</v>
      </c>
      <c r="G9" s="22">
        <v>6</v>
      </c>
      <c r="H9" s="22">
        <v>0</v>
      </c>
      <c r="I9" s="22" t="s">
        <v>100</v>
      </c>
    </row>
  </sheetData>
  <autoFilter ref="A2:K8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50" zoomScaleNormal="150" zoomScalePageLayoutView="15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5" sqref="E5:E8"/>
    </sheetView>
    <sheetView workbookViewId="1">
      <selection activeCell="I3" sqref="I3"/>
    </sheetView>
  </sheetViews>
  <sheetFormatPr baseColWidth="10" defaultColWidth="9" defaultRowHeight="15" customHeight="1" x14ac:dyDescent="0.2"/>
  <cols>
    <col min="1" max="1" width="22.83203125" style="22" customWidth="1"/>
    <col min="2" max="2" width="15.6640625" style="22" customWidth="1"/>
    <col min="3" max="3" width="11.6640625" style="22" customWidth="1"/>
    <col min="4" max="4" width="17.1640625" style="22" customWidth="1"/>
    <col min="5" max="5" width="8.5" style="22" bestFit="1" customWidth="1"/>
    <col min="6" max="6" width="15.6640625" style="22" customWidth="1"/>
    <col min="7" max="7" width="14.6640625" style="22" customWidth="1"/>
    <col min="8" max="8" width="12.33203125" style="22" customWidth="1"/>
    <col min="9" max="9" width="17" style="22" customWidth="1"/>
    <col min="10" max="10" width="18.33203125" style="22" customWidth="1"/>
    <col min="11" max="1026" width="9.1640625" style="22" customWidth="1"/>
    <col min="1027" max="1028" width="9" style="22" customWidth="1"/>
    <col min="1029" max="16384" width="9" style="22"/>
  </cols>
  <sheetData>
    <row r="1" spans="1:10" x14ac:dyDescent="0.2">
      <c r="A1" t="s">
        <v>111</v>
      </c>
    </row>
    <row r="2" spans="1:10" ht="28" customHeight="1" x14ac:dyDescent="0.2">
      <c r="A2" s="18" t="s">
        <v>29</v>
      </c>
      <c r="B2" s="18" t="s">
        <v>31</v>
      </c>
      <c r="C2" s="18" t="s">
        <v>112</v>
      </c>
      <c r="D2" s="18" t="s">
        <v>113</v>
      </c>
      <c r="E2" s="18" t="s">
        <v>79</v>
      </c>
      <c r="F2" s="18" t="s">
        <v>44</v>
      </c>
      <c r="G2" s="18" t="s">
        <v>62</v>
      </c>
      <c r="H2" s="18" t="s">
        <v>63</v>
      </c>
      <c r="I2" s="18" t="s">
        <v>45</v>
      </c>
      <c r="J2" s="18" t="s">
        <v>54</v>
      </c>
    </row>
    <row r="3" spans="1:10" ht="14" customHeight="1" x14ac:dyDescent="0.2">
      <c r="A3" s="22" t="s">
        <v>114</v>
      </c>
      <c r="B3" s="22" t="s">
        <v>115</v>
      </c>
      <c r="C3" s="22" t="s">
        <v>98</v>
      </c>
      <c r="D3" s="22" t="s">
        <v>81</v>
      </c>
      <c r="E3" s="22" t="s">
        <v>116</v>
      </c>
    </row>
    <row r="4" spans="1:10" ht="15" customHeight="1" x14ac:dyDescent="0.2">
      <c r="A4" s="22" t="s">
        <v>117</v>
      </c>
      <c r="B4" s="22" t="s">
        <v>118</v>
      </c>
      <c r="C4" s="22" t="s">
        <v>101</v>
      </c>
      <c r="D4" s="22" t="s">
        <v>81</v>
      </c>
      <c r="E4" s="22" t="s">
        <v>116</v>
      </c>
    </row>
    <row r="5" spans="1:10" ht="15" customHeight="1" x14ac:dyDescent="0.2">
      <c r="A5" s="22" t="s">
        <v>119</v>
      </c>
      <c r="B5" s="22" t="s">
        <v>120</v>
      </c>
      <c r="C5" s="22" t="s">
        <v>103</v>
      </c>
      <c r="D5" s="22" t="s">
        <v>81</v>
      </c>
      <c r="E5" s="22" t="s">
        <v>116</v>
      </c>
    </row>
    <row r="6" spans="1:10" ht="15" customHeight="1" x14ac:dyDescent="0.2">
      <c r="A6" s="22" t="s">
        <v>121</v>
      </c>
      <c r="B6" s="22" t="s">
        <v>122</v>
      </c>
      <c r="C6" s="22" t="s">
        <v>105</v>
      </c>
      <c r="D6" s="22" t="s">
        <v>81</v>
      </c>
      <c r="E6" s="26" t="s">
        <v>116</v>
      </c>
    </row>
    <row r="7" spans="1:10" ht="15" customHeight="1" x14ac:dyDescent="0.2">
      <c r="A7" s="22" t="s">
        <v>124</v>
      </c>
      <c r="B7" s="22" t="s">
        <v>125</v>
      </c>
      <c r="C7" s="22" t="s">
        <v>107</v>
      </c>
      <c r="D7" s="22" t="s">
        <v>81</v>
      </c>
      <c r="E7" s="26" t="s">
        <v>116</v>
      </c>
    </row>
    <row r="8" spans="1:10" ht="15" customHeight="1" x14ac:dyDescent="0.2">
      <c r="A8" s="22" t="s">
        <v>126</v>
      </c>
      <c r="B8" s="22" t="s">
        <v>127</v>
      </c>
      <c r="C8" s="22" t="s">
        <v>109</v>
      </c>
      <c r="D8" s="22" t="s">
        <v>81</v>
      </c>
      <c r="E8" s="26" t="s">
        <v>116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6" sqref="A6"/>
    </sheetView>
    <sheetView zoomScale="120" zoomScaleNormal="120" zoomScalePageLayoutView="120" workbookViewId="1">
      <selection activeCell="E3" sqref="E3"/>
    </sheetView>
  </sheetViews>
  <sheetFormatPr baseColWidth="10" defaultColWidth="9" defaultRowHeight="15" customHeight="1" x14ac:dyDescent="0.2"/>
  <cols>
    <col min="1" max="1" width="27" style="22" customWidth="1"/>
    <col min="2" max="2" width="5.6640625" style="22" customWidth="1"/>
    <col min="3" max="3" width="19" style="22" customWidth="1"/>
    <col min="4" max="4" width="16.5" style="22" bestFit="1" customWidth="1"/>
    <col min="5" max="5" width="10" style="22" bestFit="1" customWidth="1"/>
    <col min="6" max="6" width="17.1640625" style="22" customWidth="1"/>
    <col min="7" max="7" width="8.5" style="22" bestFit="1" customWidth="1"/>
    <col min="8" max="8" width="18.5" style="22" customWidth="1"/>
    <col min="9" max="10" width="8.6640625" style="22" customWidth="1"/>
    <col min="11" max="11" width="10.1640625" style="22" customWidth="1"/>
    <col min="12" max="12" width="10.5" style="22" customWidth="1"/>
    <col min="13" max="1026" width="8.83203125" style="22" customWidth="1"/>
    <col min="1027" max="1028" width="9" style="22" customWidth="1"/>
    <col min="1029" max="16384" width="9" style="22"/>
  </cols>
  <sheetData>
    <row r="1" spans="1:12" x14ac:dyDescent="0.2">
      <c r="A1" t="s">
        <v>128</v>
      </c>
    </row>
    <row r="2" spans="1:12" ht="28" customHeight="1" x14ac:dyDescent="0.2">
      <c r="A2" s="18" t="s">
        <v>29</v>
      </c>
      <c r="B2" s="18" t="s">
        <v>31</v>
      </c>
      <c r="C2" s="18" t="s">
        <v>129</v>
      </c>
      <c r="D2" s="18" t="s">
        <v>76</v>
      </c>
      <c r="E2" s="18" t="s">
        <v>77</v>
      </c>
      <c r="F2" s="18" t="s">
        <v>78</v>
      </c>
      <c r="G2" s="18" t="s">
        <v>79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ht="14" customHeight="1" x14ac:dyDescent="0.2">
      <c r="A3" s="22" t="s">
        <v>130</v>
      </c>
      <c r="C3" s="22" t="s">
        <v>114</v>
      </c>
      <c r="D3" s="22" t="s">
        <v>86</v>
      </c>
      <c r="E3" s="24">
        <v>1000000000</v>
      </c>
      <c r="F3" s="22">
        <v>0</v>
      </c>
      <c r="G3" s="24" t="s">
        <v>116</v>
      </c>
    </row>
    <row r="4" spans="1:12" ht="14" customHeight="1" x14ac:dyDescent="0.2">
      <c r="A4" s="22" t="s">
        <v>131</v>
      </c>
      <c r="C4" s="22" t="s">
        <v>117</v>
      </c>
      <c r="D4" s="22" t="s">
        <v>86</v>
      </c>
      <c r="E4" s="24">
        <v>2000000000</v>
      </c>
      <c r="F4" s="22">
        <v>0</v>
      </c>
      <c r="G4" s="24" t="s">
        <v>116</v>
      </c>
    </row>
    <row r="5" spans="1:12" ht="14" customHeight="1" x14ac:dyDescent="0.2">
      <c r="A5" s="22" t="s">
        <v>132</v>
      </c>
      <c r="C5" s="22" t="s">
        <v>119</v>
      </c>
      <c r="D5" s="22" t="s">
        <v>86</v>
      </c>
      <c r="E5" s="24">
        <v>3000000000</v>
      </c>
      <c r="F5" s="22">
        <v>0</v>
      </c>
      <c r="G5" s="24" t="s">
        <v>116</v>
      </c>
    </row>
    <row r="6" spans="1:12" ht="14" customHeight="1" x14ac:dyDescent="0.2">
      <c r="A6" s="22" t="s">
        <v>133</v>
      </c>
      <c r="C6" s="22" t="s">
        <v>121</v>
      </c>
      <c r="D6" s="22" t="s">
        <v>86</v>
      </c>
      <c r="E6" s="24">
        <v>4.0000000000000001E-13</v>
      </c>
      <c r="F6" s="22">
        <v>0</v>
      </c>
      <c r="G6" s="24" t="s">
        <v>123</v>
      </c>
    </row>
    <row r="7" spans="1:12" ht="14" customHeight="1" x14ac:dyDescent="0.2">
      <c r="A7" s="22" t="s">
        <v>134</v>
      </c>
      <c r="C7" s="22" t="s">
        <v>124</v>
      </c>
      <c r="D7" s="22" t="s">
        <v>86</v>
      </c>
      <c r="E7" s="24">
        <v>4.9999999999999999E-13</v>
      </c>
      <c r="F7" s="22">
        <v>0</v>
      </c>
      <c r="G7" s="24" t="s">
        <v>123</v>
      </c>
    </row>
    <row r="8" spans="1:12" ht="14" customHeight="1" x14ac:dyDescent="0.2">
      <c r="A8" s="22" t="s">
        <v>135</v>
      </c>
      <c r="C8" s="22" t="s">
        <v>126</v>
      </c>
      <c r="D8" s="22" t="s">
        <v>86</v>
      </c>
      <c r="E8" s="24">
        <v>5.9999999999999997E-13</v>
      </c>
      <c r="F8" s="22">
        <v>0</v>
      </c>
      <c r="G8" s="24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26</cp:revision>
  <dcterms:created xsi:type="dcterms:W3CDTF">2016-02-16T08:40:00Z</dcterms:created>
  <dcterms:modified xsi:type="dcterms:W3CDTF">2019-10-23T19:39:57Z</dcterms:modified>
</cp:coreProperties>
</file>