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Exhibit2" sheetId="22" r:id="rId1"/>
    <sheet name="Appendix 1" sheetId="19" r:id="rId2"/>
    <sheet name="Appendix 2" sheetId="20" r:id="rId3"/>
    <sheet name="TN1-a" sheetId="24" r:id="rId4"/>
    <sheet name="TN1-b" sheetId="23" r:id="rId5"/>
    <sheet name="TN1-c" sheetId="2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<sst xmlns="http://schemas.openxmlformats.org/spreadsheetml/2006/main" count="215" uniqueCount="96">
  <si>
    <t>Sales</t>
  </si>
  <si>
    <t>Return on Sales</t>
  </si>
  <si>
    <t>Net Income</t>
  </si>
  <si>
    <t>Appendix 1</t>
  </si>
  <si>
    <t>Bebida Sol</t>
  </si>
  <si>
    <t>Income Statements for the year ending December 31</t>
  </si>
  <si>
    <t>(thousands of pesos)</t>
  </si>
  <si>
    <t>Income Item</t>
  </si>
  <si>
    <t>COGS</t>
  </si>
  <si>
    <t>Gross margin</t>
  </si>
  <si>
    <t>Marketing &amp; Selling Expenses</t>
  </si>
  <si>
    <t>General Administrative expenses</t>
  </si>
  <si>
    <t>EBITDA</t>
  </si>
  <si>
    <t>Depreciation</t>
  </si>
  <si>
    <t>EBIT</t>
  </si>
  <si>
    <t>Interest</t>
  </si>
  <si>
    <t>EBT</t>
  </si>
  <si>
    <t>Taxes @ 30%</t>
  </si>
  <si>
    <t xml:space="preserve">   Dividends</t>
  </si>
  <si>
    <t xml:space="preserve">   Retained earnings</t>
  </si>
  <si>
    <t>Appendix 2</t>
  </si>
  <si>
    <t>Balance Sheet as of December 31</t>
  </si>
  <si>
    <t>Assets</t>
  </si>
  <si>
    <t>Cash</t>
  </si>
  <si>
    <t>Accounts Receivable</t>
  </si>
  <si>
    <t>Inventory</t>
  </si>
  <si>
    <t>Prepaid Expenses</t>
  </si>
  <si>
    <t xml:space="preserve">     Current Assets</t>
  </si>
  <si>
    <t>Gross fixed assets</t>
  </si>
  <si>
    <t>Accum depreciation</t>
  </si>
  <si>
    <t xml:space="preserve">    Net fixed assets</t>
  </si>
  <si>
    <t>Total Assets</t>
  </si>
  <si>
    <t>Liabilities &amp; Net Worth</t>
  </si>
  <si>
    <t>Accounts Payable</t>
  </si>
  <si>
    <t>Accrued expenses</t>
  </si>
  <si>
    <t>Short-term debt</t>
  </si>
  <si>
    <t xml:space="preserve">     Current Liabilities</t>
  </si>
  <si>
    <t>Long-term debt</t>
  </si>
  <si>
    <t>Equity</t>
  </si>
  <si>
    <r>
      <rPr>
        <b/>
        <sz val="12"/>
        <rFont val="Arial"/>
        <charset val="134"/>
      </rPr>
      <t xml:space="preserve">Hola Kola - The Valuation of the Zero-Calorie Soda Project </t>
    </r>
    <r>
      <rPr>
        <b/>
        <sz val="12"/>
        <rFont val="Arial"/>
        <charset val="134"/>
      </rPr>
      <t>(Prepared by Professor Lena Booth)</t>
    </r>
  </si>
  <si>
    <t>Scenario 1</t>
  </si>
  <si>
    <t>Monthly Sales (units)</t>
  </si>
  <si>
    <t>Cost of New Equipment (pesos)</t>
  </si>
  <si>
    <t xml:space="preserve">   Increase (Decrease) in Sales Volume</t>
  </si>
  <si>
    <t>Resale Value of Equipment (pesos)</t>
  </si>
  <si>
    <t>Unit Sale Price (pesos)</t>
  </si>
  <si>
    <t>% Overhead to Sales</t>
  </si>
  <si>
    <t xml:space="preserve">   Increase (Decrease) in Sales Price</t>
  </si>
  <si>
    <t>Building Rental (pesos)</t>
  </si>
  <si>
    <t>Unit Raw Material Cost (pesos)</t>
  </si>
  <si>
    <t>Average Collection Period (Days)</t>
  </si>
  <si>
    <t xml:space="preserve">   Increase (Decrease) in Raw Material Costs</t>
  </si>
  <si>
    <t>Average Payment Period (Days)</t>
  </si>
  <si>
    <t>Monthly Labor Costs (pesos)</t>
  </si>
  <si>
    <t>Years of Straight-line Depreciation</t>
  </si>
  <si>
    <t xml:space="preserve">   Increase (Decrease) in Direct Labor Costs</t>
  </si>
  <si>
    <t>Cost of Capital</t>
  </si>
  <si>
    <t>Monthly Energy Costs (pesos)</t>
  </si>
  <si>
    <t>Tax Rate</t>
  </si>
  <si>
    <t xml:space="preserve">   Increase (Decrease) in Energy Costs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</si>
  <si>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</si>
  <si>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</si>
  <si>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</si>
  <si>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</si>
  <si>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</si>
  <si>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Receivables ((Sales/365)*Avg Collection Period)</t>
  </si>
  <si>
    <t xml:space="preserve">       Inventories (One month materials costs)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</si>
  <si>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</si>
  <si>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</si>
  <si>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</si>
  <si>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</si>
  <si>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</si>
  <si>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</si>
  <si>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</si>
  <si>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</si>
  <si>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Building Rental (Opportunity Costs)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</si>
  <si>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</si>
  <si>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</si>
  <si>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</si>
  <si>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</si>
  <si>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>Operating Profit Before Tax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</si>
  <si>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</si>
  <si>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</si>
  <si>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</si>
  <si>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</si>
  <si>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 xml:space="preserve">     Erosion of Existing Sales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</si>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</sst>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  <numFmt numFmtId="178" formatCode="#,##0.0"/>
    <numFmt numFmtId="179" formatCode="0.0%"/>
    <numFmt numFmtId="180" formatCode="_(* #,##0.0_);_(* \(#,##0.0\);_(* &quot;-&quot;??_);_(@_)"/>
    <numFmt numFmtId="181" formatCode="&quot;$&quot;#,##0"/>
  </numFmts>
  <fonts count="32"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b/>
      <u/>
      <sz val="10"/>
      <name val="Arial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b/>
      <i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4" fillId="10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7" applyNumberFormat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4" fillId="13" borderId="19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48"/>
    <xf numFmtId="0" fontId="2" fillId="0" borderId="0" xfId="48" applyFont="1"/>
    <xf numFmtId="0" fontId="3" fillId="0" borderId="0" xfId="48" applyFont="1"/>
    <xf numFmtId="0" fontId="1" fillId="0" borderId="1" xfId="48" applyBorder="1"/>
    <xf numFmtId="0" fontId="1" fillId="0" borderId="2" xfId="48" applyBorder="1"/>
    <xf numFmtId="3" fontId="1" fillId="0" borderId="3" xfId="48" applyNumberFormat="1" applyBorder="1"/>
    <xf numFmtId="0" fontId="1" fillId="0" borderId="1" xfId="48" applyBorder="1" applyAlignment="1"/>
    <xf numFmtId="0" fontId="1" fillId="0" borderId="2" xfId="48" applyBorder="1" applyAlignment="1"/>
    <xf numFmtId="177" fontId="0" fillId="0" borderId="3" xfId="47" applyNumberFormat="1" applyFont="1" applyBorder="1"/>
    <xf numFmtId="0" fontId="1" fillId="0" borderId="4" xfId="48" applyBorder="1"/>
    <xf numFmtId="0" fontId="1" fillId="0" borderId="0" xfId="48" applyBorder="1"/>
    <xf numFmtId="9" fontId="0" fillId="0" borderId="5" xfId="49" applyFont="1" applyBorder="1"/>
    <xf numFmtId="0" fontId="1" fillId="0" borderId="4" xfId="48" applyBorder="1" applyAlignment="1"/>
    <xf numFmtId="0" fontId="1" fillId="0" borderId="0" xfId="48" applyBorder="1" applyAlignment="1"/>
    <xf numFmtId="177" fontId="0" fillId="0" borderId="5" xfId="47" applyNumberFormat="1" applyFont="1" applyBorder="1"/>
    <xf numFmtId="3" fontId="1" fillId="0" borderId="5" xfId="48" applyNumberFormat="1" applyBorder="1"/>
    <xf numFmtId="0" fontId="1" fillId="0" borderId="4" xfId="48" applyFill="1" applyBorder="1"/>
    <xf numFmtId="0" fontId="1" fillId="0" borderId="0" xfId="48" applyFill="1" applyBorder="1"/>
    <xf numFmtId="178" fontId="1" fillId="0" borderId="5" xfId="48" applyNumberFormat="1" applyBorder="1"/>
    <xf numFmtId="0" fontId="1" fillId="0" borderId="5" xfId="48" applyBorder="1"/>
    <xf numFmtId="9" fontId="0" fillId="0" borderId="5" xfId="49" applyFont="1" applyFill="1" applyBorder="1"/>
    <xf numFmtId="179" fontId="0" fillId="0" borderId="5" xfId="49" applyNumberFormat="1" applyFont="1" applyBorder="1"/>
    <xf numFmtId="3" fontId="1" fillId="0" borderId="5" xfId="48" applyNumberFormat="1" applyFill="1" applyBorder="1"/>
    <xf numFmtId="9" fontId="0" fillId="0" borderId="5" xfId="49" applyNumberFormat="1" applyFont="1" applyBorder="1"/>
    <xf numFmtId="0" fontId="1" fillId="0" borderId="6" xfId="48" applyBorder="1"/>
    <xf numFmtId="0" fontId="1" fillId="0" borderId="7" xfId="48" applyBorder="1"/>
    <xf numFmtId="9" fontId="0" fillId="0" borderId="8" xfId="49" applyFont="1" applyFill="1" applyBorder="1"/>
    <xf numFmtId="0" fontId="1" fillId="0" borderId="6" xfId="48" applyFill="1" applyBorder="1"/>
    <xf numFmtId="177" fontId="0" fillId="0" borderId="8" xfId="47" applyNumberFormat="1" applyFont="1" applyFill="1" applyBorder="1"/>
    <xf numFmtId="0" fontId="4" fillId="0" borderId="7" xfId="48" applyFont="1" applyBorder="1"/>
    <xf numFmtId="0" fontId="5" fillId="0" borderId="0" xfId="48" applyFont="1"/>
    <xf numFmtId="0" fontId="1" fillId="0" borderId="0" xfId="48" applyFont="1"/>
    <xf numFmtId="177" fontId="1" fillId="0" borderId="0" xfId="48" applyNumberFormat="1" applyFont="1"/>
    <xf numFmtId="0" fontId="1" fillId="0" borderId="0" xfId="48" applyFill="1" applyBorder="1" applyAlignment="1"/>
    <xf numFmtId="177" fontId="1" fillId="0" borderId="9" xfId="48" applyNumberFormat="1" applyFont="1" applyBorder="1"/>
    <xf numFmtId="177" fontId="0" fillId="0" borderId="0" xfId="47" applyNumberFormat="1" applyFont="1" applyBorder="1" applyAlignment="1"/>
    <xf numFmtId="177" fontId="0" fillId="0" borderId="9" xfId="47" applyNumberFormat="1" applyFont="1" applyBorder="1" applyAlignment="1"/>
    <xf numFmtId="177" fontId="1" fillId="0" borderId="0" xfId="48" applyNumberFormat="1" applyBorder="1" applyAlignment="1"/>
    <xf numFmtId="177" fontId="0" fillId="0" borderId="0" xfId="47" applyNumberFormat="1" applyFont="1"/>
    <xf numFmtId="177" fontId="1" fillId="0" borderId="0" xfId="48" applyNumberFormat="1"/>
    <xf numFmtId="177" fontId="1" fillId="0" borderId="0" xfId="47" applyNumberFormat="1" applyFont="1" applyBorder="1"/>
    <xf numFmtId="177" fontId="1" fillId="0" borderId="0" xfId="48" applyNumberFormat="1" applyFont="1" applyBorder="1"/>
    <xf numFmtId="177" fontId="1" fillId="0" borderId="9" xfId="47" applyNumberFormat="1" applyFont="1" applyBorder="1"/>
    <xf numFmtId="0" fontId="1" fillId="2" borderId="0" xfId="48" applyFill="1"/>
    <xf numFmtId="177" fontId="1" fillId="2" borderId="0" xfId="48" applyNumberFormat="1" applyFill="1"/>
    <xf numFmtId="0" fontId="1" fillId="3" borderId="1" xfId="48" applyFill="1" applyBorder="1"/>
    <xf numFmtId="0" fontId="1" fillId="3" borderId="2" xfId="48" applyFill="1" applyBorder="1"/>
    <xf numFmtId="177" fontId="1" fillId="3" borderId="3" xfId="48" applyNumberFormat="1" applyFill="1" applyBorder="1"/>
    <xf numFmtId="0" fontId="1" fillId="3" borderId="4" xfId="48" applyFill="1" applyBorder="1"/>
    <xf numFmtId="0" fontId="1" fillId="3" borderId="0" xfId="48" applyFill="1" applyBorder="1"/>
    <xf numFmtId="10" fontId="1" fillId="3" borderId="5" xfId="48" applyNumberFormat="1" applyFill="1" applyBorder="1"/>
    <xf numFmtId="2" fontId="1" fillId="3" borderId="5" xfId="48" applyNumberFormat="1" applyFill="1" applyBorder="1"/>
    <xf numFmtId="2" fontId="1" fillId="3" borderId="5" xfId="48" applyNumberFormat="1" applyFill="1" applyBorder="1" applyAlignment="1">
      <alignment horizontal="right"/>
    </xf>
    <xf numFmtId="0" fontId="1" fillId="3" borderId="6" xfId="48" applyFill="1" applyBorder="1"/>
    <xf numFmtId="0" fontId="1" fillId="3" borderId="7" xfId="48" applyFill="1" applyBorder="1"/>
    <xf numFmtId="176" fontId="1" fillId="3" borderId="8" xfId="48" applyNumberFormat="1" applyFill="1" applyBorder="1"/>
    <xf numFmtId="176" fontId="1" fillId="0" borderId="0" xfId="48" applyNumberFormat="1"/>
    <xf numFmtId="0" fontId="6" fillId="4" borderId="1" xfId="0" applyFont="1" applyFill="1" applyBorder="1"/>
    <xf numFmtId="0" fontId="6" fillId="4" borderId="2" xfId="0" applyFont="1" applyFill="1" applyBorder="1"/>
    <xf numFmtId="0" fontId="7" fillId="4" borderId="2" xfId="0" applyFont="1" applyFill="1" applyBorder="1" applyAlignment="1">
      <alignment horizontal="right"/>
    </xf>
    <xf numFmtId="0" fontId="6" fillId="4" borderId="4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wrapText="1"/>
    </xf>
    <xf numFmtId="0" fontId="9" fillId="5" borderId="0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6" fillId="4" borderId="0" xfId="0" applyFont="1" applyFill="1" applyBorder="1"/>
    <xf numFmtId="0" fontId="7" fillId="4" borderId="0" xfId="0" applyFont="1" applyFill="1" applyBorder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177" fontId="10" fillId="6" borderId="0" xfId="0" applyNumberFormat="1" applyFont="1" applyFill="1" applyAlignment="1">
      <alignment horizontal="right"/>
    </xf>
    <xf numFmtId="179" fontId="6" fillId="7" borderId="0" xfId="3" applyNumberFormat="1" applyFont="1" applyFill="1" applyBorder="1"/>
    <xf numFmtId="177" fontId="6" fillId="4" borderId="0" xfId="1" applyNumberFormat="1" applyFont="1" applyFill="1" applyBorder="1"/>
    <xf numFmtId="177" fontId="10" fillId="6" borderId="0" xfId="0" applyNumberFormat="1" applyFont="1" applyFill="1"/>
    <xf numFmtId="180" fontId="6" fillId="8" borderId="0" xfId="1" applyNumberFormat="1" applyFont="1" applyFill="1"/>
    <xf numFmtId="177" fontId="6" fillId="8" borderId="0" xfId="1" applyNumberFormat="1" applyFont="1" applyFill="1"/>
    <xf numFmtId="0" fontId="6" fillId="4" borderId="9" xfId="0" applyFont="1" applyFill="1" applyBorder="1"/>
    <xf numFmtId="177" fontId="11" fillId="6" borderId="9" xfId="0" applyNumberFormat="1" applyFont="1" applyFill="1" applyBorder="1"/>
    <xf numFmtId="179" fontId="6" fillId="7" borderId="9" xfId="3" applyNumberFormat="1" applyFont="1" applyFill="1" applyBorder="1"/>
    <xf numFmtId="0" fontId="6" fillId="8" borderId="0" xfId="0" applyFont="1" applyFill="1"/>
    <xf numFmtId="180" fontId="6" fillId="4" borderId="0" xfId="1" applyNumberFormat="1" applyFont="1" applyFill="1" applyBorder="1"/>
    <xf numFmtId="177" fontId="10" fillId="6" borderId="10" xfId="0" applyNumberFormat="1" applyFont="1" applyFill="1" applyBorder="1"/>
    <xf numFmtId="177" fontId="6" fillId="4" borderId="0" xfId="0" applyNumberFormat="1" applyFont="1" applyFill="1" applyBorder="1"/>
    <xf numFmtId="177" fontId="10" fillId="6" borderId="9" xfId="0" applyNumberFormat="1" applyFont="1" applyFill="1" applyBorder="1"/>
    <xf numFmtId="177" fontId="6" fillId="4" borderId="9" xfId="1" applyNumberFormat="1" applyFont="1" applyFill="1" applyBorder="1"/>
    <xf numFmtId="179" fontId="6" fillId="7" borderId="11" xfId="3" applyNumberFormat="1" applyFont="1" applyFill="1" applyBorder="1"/>
    <xf numFmtId="0" fontId="12" fillId="4" borderId="0" xfId="0" applyFont="1" applyFill="1" applyBorder="1"/>
    <xf numFmtId="177" fontId="10" fillId="6" borderId="12" xfId="0" applyNumberFormat="1" applyFont="1" applyFill="1" applyBorder="1"/>
    <xf numFmtId="180" fontId="6" fillId="7" borderId="0" xfId="0" applyNumberFormat="1" applyFont="1" applyFill="1" applyBorder="1"/>
    <xf numFmtId="0" fontId="7" fillId="4" borderId="9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right"/>
    </xf>
    <xf numFmtId="177" fontId="10" fillId="9" borderId="0" xfId="0" applyNumberFormat="1" applyFont="1" applyFill="1"/>
    <xf numFmtId="180" fontId="6" fillId="4" borderId="12" xfId="1" applyNumberFormat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3" xfId="0" applyFont="1" applyFill="1" applyBorder="1"/>
    <xf numFmtId="0" fontId="8" fillId="0" borderId="3" xfId="0" applyFont="1" applyFill="1" applyBorder="1" applyAlignment="1">
      <alignment horizontal="center"/>
    </xf>
    <xf numFmtId="0" fontId="6" fillId="4" borderId="5" xfId="0" applyFont="1" applyFill="1" applyBorder="1"/>
    <xf numFmtId="0" fontId="9" fillId="5" borderId="5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wrapText="1"/>
    </xf>
    <xf numFmtId="177" fontId="6" fillId="4" borderId="0" xfId="1" applyNumberFormat="1" applyFont="1" applyFill="1" applyBorder="1" applyAlignment="1">
      <alignment horizontal="right"/>
    </xf>
    <xf numFmtId="179" fontId="6" fillId="7" borderId="0" xfId="3" applyNumberFormat="1" applyFont="1" applyFill="1" applyBorder="1" applyAlignment="1">
      <alignment horizontal="right"/>
    </xf>
    <xf numFmtId="177" fontId="6" fillId="8" borderId="0" xfId="1" applyNumberFormat="1" applyFont="1" applyFill="1" applyAlignment="1">
      <alignment horizontal="right"/>
    </xf>
    <xf numFmtId="177" fontId="11" fillId="4" borderId="9" xfId="1" applyNumberFormat="1" applyFont="1" applyFill="1" applyBorder="1" applyAlignment="1">
      <alignment horizontal="right"/>
    </xf>
    <xf numFmtId="179" fontId="6" fillId="7" borderId="9" xfId="3" applyNumberFormat="1" applyFont="1" applyFill="1" applyBorder="1" applyAlignment="1">
      <alignment horizontal="right"/>
    </xf>
    <xf numFmtId="177" fontId="10" fillId="6" borderId="11" xfId="0" applyNumberFormat="1" applyFont="1" applyFill="1" applyBorder="1"/>
    <xf numFmtId="179" fontId="6" fillId="7" borderId="11" xfId="3" applyNumberFormat="1" applyFont="1" applyFill="1" applyBorder="1" applyAlignment="1">
      <alignment horizontal="right"/>
    </xf>
    <xf numFmtId="0" fontId="11" fillId="4" borderId="0" xfId="0" applyFont="1" applyFill="1" applyBorder="1"/>
    <xf numFmtId="0" fontId="6" fillId="4" borderId="8" xfId="0" applyFont="1" applyFill="1" applyBorder="1"/>
    <xf numFmtId="0" fontId="7" fillId="4" borderId="9" xfId="0" applyFont="1" applyFill="1" applyBorder="1" applyAlignment="1">
      <alignment horizontal="center"/>
    </xf>
    <xf numFmtId="177" fontId="6" fillId="4" borderId="10" xfId="1" applyNumberFormat="1" applyFont="1" applyFill="1" applyBorder="1"/>
    <xf numFmtId="0" fontId="13" fillId="4" borderId="0" xfId="0" applyFont="1" applyFill="1" applyBorder="1"/>
    <xf numFmtId="177" fontId="13" fillId="4" borderId="0" xfId="0" applyNumberFormat="1" applyFont="1" applyFill="1" applyBorder="1"/>
    <xf numFmtId="179" fontId="13" fillId="7" borderId="0" xfId="0" applyNumberFormat="1" applyFont="1" applyFill="1" applyBorder="1"/>
    <xf numFmtId="179" fontId="6" fillId="7" borderId="10" xfId="3" applyNumberFormat="1" applyFont="1" applyFill="1" applyBorder="1"/>
    <xf numFmtId="177" fontId="6" fillId="4" borderId="13" xfId="1" applyNumberFormat="1" applyFont="1" applyFill="1" applyBorder="1"/>
    <xf numFmtId="179" fontId="6" fillId="7" borderId="13" xfId="3" applyNumberFormat="1" applyFont="1" applyFill="1" applyBorder="1"/>
    <xf numFmtId="177" fontId="6" fillId="4" borderId="7" xfId="1" applyNumberFormat="1" applyFont="1" applyFill="1" applyBorder="1"/>
    <xf numFmtId="180" fontId="6" fillId="4" borderId="7" xfId="1" applyNumberFormat="1" applyFont="1" applyFill="1" applyBorder="1"/>
    <xf numFmtId="0" fontId="0" fillId="0" borderId="0" xfId="0" applyAlignment="1">
      <alignment horizontal="right"/>
    </xf>
    <xf numFmtId="181" fontId="6" fillId="4" borderId="0" xfId="1" applyNumberFormat="1" applyFont="1" applyFill="1" applyBorder="1"/>
    <xf numFmtId="10" fontId="0" fillId="0" borderId="0" xfId="3" applyNumberFormat="1" applyFont="1"/>
    <xf numFmtId="177" fontId="0" fillId="0" borderId="0" xfId="1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  <cellStyle name="Comma 2" xfId="47"/>
    <cellStyle name="Normal 2" xfId="48"/>
    <cellStyle name="Percent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2"/>
                <a:cs typeface="Times New Roman" panose="02020603050405020304" pitchFamily="12"/>
              </a:rPr>
              <a:t>Exhibit 2. Bebida Sol's Sales and Return on Sales </a:t>
            </a:r>
            <a:endParaRPr lang="en-US" sz="1200">
              <a:latin typeface="Times New Roman" panose="02020603050405020304" pitchFamily="12"/>
              <a:cs typeface="Times New Roman" panose="02020603050405020304" pitchFamily="12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Exhibit2!$B$2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Exhibit2!$A$3:$A$5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Exhibit2!$B$3:$B$5</c:f>
              <c:numCache>
                <c:formatCode>"$"#,##0</c:formatCode>
                <c:ptCount val="3"/>
                <c:pt idx="0">
                  <c:v>642400</c:v>
                </c:pt>
                <c:pt idx="1">
                  <c:v>832341</c:v>
                </c:pt>
                <c:pt idx="2">
                  <c:v>900101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015616"/>
        <c:axId val="92018560"/>
      </c:barChart>
      <c:lineChart>
        <c:grouping val="standard"/>
        <c:varyColors val="0"/>
        <c:ser>
          <c:idx val="1"/>
          <c:order val="1"/>
          <c:tx>
            <c:strRef>
              <c:f>Exhibit2!$C$2</c:f>
              <c:strCache>
                <c:ptCount val="1"/>
                <c:pt idx="0">
                  <c:v>Return on Sales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Exhibit2!$A$3:$A$5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Exhibit2!$C$3:$C$5</c:f>
              <c:numCache>
                <c:formatCode>0.00%</c:formatCode>
                <c:ptCount val="3"/>
                <c:pt idx="0">
                  <c:v>0.0421165940224159</c:v>
                </c:pt>
                <c:pt idx="1">
                  <c:v>0.0533665889341027</c:v>
                </c:pt>
                <c:pt idx="2">
                  <c:v>0.055709859226909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2030848"/>
        <c:axId val="92028928"/>
      </c:lineChart>
      <c:catAx>
        <c:axId val="920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18560"/>
        <c:crosses val="autoZero"/>
        <c:auto val="1"/>
        <c:lblAlgn val="ctr"/>
        <c:lblOffset val="100"/>
        <c:noMultiLvlLbl val="0"/>
      </c:catAx>
      <c:valAx>
        <c:axId val="920185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2"/>
                    <a:cs typeface="Times New Roman" panose="02020603050405020304" pitchFamily="12"/>
                  </a:rPr>
                  <a:t>Sales (thounds of pesos</a:t>
                </a:r>
                <a:endParaRPr lang="en-US">
                  <a:latin typeface="Times New Roman" panose="02020603050405020304" pitchFamily="12"/>
                  <a:cs typeface="Times New Roman" panose="02020603050405020304" pitchFamily="12"/>
                </a:endParaRP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15616"/>
        <c:crosses val="autoZero"/>
        <c:crossBetween val="between"/>
      </c:valAx>
      <c:catAx>
        <c:axId val="920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28928"/>
        <c:crosses val="autoZero"/>
        <c:auto val="1"/>
        <c:lblAlgn val="ctr"/>
        <c:lblOffset val="100"/>
        <c:noMultiLvlLbl val="0"/>
      </c:catAx>
      <c:valAx>
        <c:axId val="9202892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2"/>
                    <a:ea typeface="+mn-ea"/>
                    <a:cs typeface="Times New Roman" panose="02020603050405020304" pitchFamily="12"/>
                  </a:defRPr>
                </a:pPr>
                <a:r>
                  <a:rPr lang="en-US">
                    <a:latin typeface="Times New Roman" panose="02020603050405020304" pitchFamily="12"/>
                    <a:cs typeface="Times New Roman" panose="02020603050405020304" pitchFamily="12"/>
                  </a:rPr>
                  <a:t>Return of slaes (%)</a:t>
                </a:r>
                <a:endParaRPr lang="en-US">
                  <a:latin typeface="Times New Roman" panose="02020603050405020304" pitchFamily="12"/>
                  <a:cs typeface="Times New Roman" panose="02020603050405020304" pitchFamily="12"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03084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e94f32d-7ebb-4497-8b2a-b0a0e9e7b3b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414867</xdr:colOff>
      <xdr:row>27</xdr:row>
      <xdr:rowOff>33866</xdr:rowOff>
    </xdr:to>
    <xdr:graphicFrame>
      <xdr:nvGraphicFramePr>
        <xdr:cNvPr id="2" name="Chart 1"/>
        <xdr:cNvGraphicFramePr/>
      </xdr:nvGraphicFramePr>
      <xdr:xfrm>
        <a:off x="509270" y="1280160"/>
        <a:ext cx="5899785" cy="369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zoomScale="150" zoomScaleNormal="150" zoomScalePageLayoutView="150" workbookViewId="0">
      <selection activeCell="A1" sqref="A1"/>
    </sheetView>
  </sheetViews>
  <sheetFormatPr defaultColWidth="11.4259259259259" defaultRowHeight="14.4" outlineLevelRow="4" outlineLevelCol="3"/>
  <cols>
    <col min="1" max="1" width="7.42592592592593" customWidth="1"/>
  </cols>
  <sheetData>
    <row r="2" spans="2:4">
      <c r="B2" s="125" t="s">
        <v>0</v>
      </c>
      <c r="C2" t="s">
        <v>1</v>
      </c>
      <c r="D2" t="s">
        <v>2</v>
      </c>
    </row>
    <row r="3" spans="1:4">
      <c r="A3">
        <v>2009</v>
      </c>
      <c r="B3" s="126">
        <v>642400</v>
      </c>
      <c r="C3" s="127">
        <f>D3/B3</f>
        <v>0.0421165940224159</v>
      </c>
      <c r="D3" s="128">
        <v>27055.7</v>
      </c>
    </row>
    <row r="4" spans="1:4">
      <c r="A4">
        <v>2010</v>
      </c>
      <c r="B4" s="126">
        <v>832341</v>
      </c>
      <c r="C4" s="127">
        <f t="shared" ref="C4:C5" si="0">D4/B4</f>
        <v>0.0533665889341027</v>
      </c>
      <c r="D4" s="128">
        <v>44419.2</v>
      </c>
    </row>
    <row r="5" spans="1:4">
      <c r="A5">
        <v>2011</v>
      </c>
      <c r="B5" s="126">
        <v>900101</v>
      </c>
      <c r="C5" s="127">
        <f t="shared" si="0"/>
        <v>0.055709859226909</v>
      </c>
      <c r="D5" s="128">
        <v>50144.5</v>
      </c>
    </row>
  </sheetData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7"/>
  <sheetViews>
    <sheetView zoomScale="125" zoomScaleNormal="125" zoomScalePageLayoutView="125" workbookViewId="0">
      <selection activeCell="A1" sqref="A1"/>
    </sheetView>
  </sheetViews>
  <sheetFormatPr defaultColWidth="11.4259259259259" defaultRowHeight="14.4"/>
  <cols>
    <col min="1" max="2" width="3.28703703703704" customWidth="1"/>
    <col min="4" max="4" width="14.4259259259259" customWidth="1"/>
    <col min="7" max="7" width="3.42592592592593" customWidth="1"/>
    <col min="10" max="10" width="3.85185185185185" customWidth="1"/>
    <col min="13" max="13" width="3.28703703703704" customWidth="1"/>
    <col min="14" max="14" width="2.13888888888889" customWidth="1"/>
  </cols>
  <sheetData>
    <row r="1" ht="15.15"/>
    <row r="2" ht="15.15" spans="2:13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101"/>
    </row>
    <row r="3" ht="15.6" spans="2:13">
      <c r="B3" s="61"/>
      <c r="C3" s="62" t="s">
        <v>3</v>
      </c>
      <c r="D3" s="63"/>
      <c r="E3" s="63"/>
      <c r="F3" s="63"/>
      <c r="G3" s="63"/>
      <c r="H3" s="63"/>
      <c r="I3" s="63"/>
      <c r="J3" s="63"/>
      <c r="K3" s="63"/>
      <c r="L3" s="102"/>
      <c r="M3" s="103"/>
    </row>
    <row r="4" ht="15.6" spans="2:13">
      <c r="B4" s="61"/>
      <c r="C4" s="64" t="s">
        <v>4</v>
      </c>
      <c r="D4" s="65"/>
      <c r="E4" s="65"/>
      <c r="F4" s="65"/>
      <c r="G4" s="65"/>
      <c r="H4" s="65"/>
      <c r="I4" s="65"/>
      <c r="J4" s="65"/>
      <c r="K4" s="65"/>
      <c r="L4" s="104"/>
      <c r="M4" s="103"/>
    </row>
    <row r="5" ht="15.6" spans="2:13">
      <c r="B5" s="61"/>
      <c r="C5" s="64" t="s">
        <v>5</v>
      </c>
      <c r="D5" s="65"/>
      <c r="E5" s="65"/>
      <c r="F5" s="65"/>
      <c r="G5" s="65"/>
      <c r="H5" s="65"/>
      <c r="I5" s="65"/>
      <c r="J5" s="65"/>
      <c r="K5" s="65"/>
      <c r="L5" s="104"/>
      <c r="M5" s="103"/>
    </row>
    <row r="6" ht="16.35" spans="2:13">
      <c r="B6" s="61"/>
      <c r="C6" s="66" t="s">
        <v>6</v>
      </c>
      <c r="D6" s="67"/>
      <c r="E6" s="67"/>
      <c r="F6" s="67"/>
      <c r="G6" s="67"/>
      <c r="H6" s="67"/>
      <c r="I6" s="67"/>
      <c r="J6" s="67"/>
      <c r="K6" s="67"/>
      <c r="L6" s="105"/>
      <c r="M6" s="103"/>
    </row>
    <row r="7" spans="2:13">
      <c r="B7" s="61"/>
      <c r="C7" s="68"/>
      <c r="D7" s="68"/>
      <c r="E7" s="68"/>
      <c r="F7" s="68"/>
      <c r="G7" s="68"/>
      <c r="H7" s="68"/>
      <c r="I7" s="68"/>
      <c r="J7" s="68"/>
      <c r="K7" s="68"/>
      <c r="L7" s="68"/>
      <c r="M7" s="103"/>
    </row>
    <row r="8" spans="2:13">
      <c r="B8" s="61"/>
      <c r="C8" s="94" t="s">
        <v>7</v>
      </c>
      <c r="D8" s="72"/>
      <c r="E8" s="115">
        <v>2009</v>
      </c>
      <c r="F8" s="115"/>
      <c r="G8" s="72"/>
      <c r="H8" s="115">
        <v>2010</v>
      </c>
      <c r="I8" s="115"/>
      <c r="J8" s="72"/>
      <c r="K8" s="115">
        <v>2011</v>
      </c>
      <c r="L8" s="115"/>
      <c r="M8" s="103"/>
    </row>
    <row r="9" spans="2:13">
      <c r="B9" s="61"/>
      <c r="C9" s="72" t="s">
        <v>0</v>
      </c>
      <c r="D9" s="72"/>
      <c r="E9" s="77">
        <v>642400</v>
      </c>
      <c r="F9" s="76">
        <f>E9/$E$9</f>
        <v>1</v>
      </c>
      <c r="G9" s="72"/>
      <c r="H9" s="77">
        <v>832341</v>
      </c>
      <c r="I9" s="76">
        <f>H9/$H$9</f>
        <v>1</v>
      </c>
      <c r="J9" s="77"/>
      <c r="K9" s="77">
        <v>900101</v>
      </c>
      <c r="L9" s="76">
        <f>K9/$K$9</f>
        <v>1</v>
      </c>
      <c r="M9" s="103"/>
    </row>
    <row r="10" spans="2:13">
      <c r="B10" s="61"/>
      <c r="C10" s="72" t="s">
        <v>8</v>
      </c>
      <c r="D10" s="72"/>
      <c r="E10" s="77">
        <v>349884</v>
      </c>
      <c r="F10" s="83">
        <f>E10/$E$9</f>
        <v>0.544651307596513</v>
      </c>
      <c r="G10" s="72"/>
      <c r="H10" s="77">
        <v>456409</v>
      </c>
      <c r="I10" s="83">
        <f t="shared" ref="I10:I24" si="0">H10/$H$9</f>
        <v>0.548343767758647</v>
      </c>
      <c r="J10" s="77"/>
      <c r="K10" s="77">
        <v>487020</v>
      </c>
      <c r="L10" s="83">
        <f t="shared" ref="L10:L24" si="1">K10/$K$9</f>
        <v>0.541072612962323</v>
      </c>
      <c r="M10" s="103"/>
    </row>
    <row r="11" spans="2:13">
      <c r="B11" s="61"/>
      <c r="C11" s="72" t="s">
        <v>9</v>
      </c>
      <c r="D11" s="72"/>
      <c r="E11" s="116">
        <f>E9-E10</f>
        <v>292516</v>
      </c>
      <c r="F11" s="76">
        <f>E11/$E$9</f>
        <v>0.455348692403487</v>
      </c>
      <c r="G11" s="72"/>
      <c r="H11" s="116">
        <f>H9-H10</f>
        <v>375932</v>
      </c>
      <c r="I11" s="76">
        <f t="shared" si="0"/>
        <v>0.451656232241353</v>
      </c>
      <c r="J11" s="77"/>
      <c r="K11" s="116">
        <f>K9-K10</f>
        <v>413081</v>
      </c>
      <c r="L11" s="76">
        <f t="shared" si="1"/>
        <v>0.458927387037677</v>
      </c>
      <c r="M11" s="103"/>
    </row>
    <row r="12" spans="2:13">
      <c r="B12" s="61"/>
      <c r="C12" s="117"/>
      <c r="D12" s="117"/>
      <c r="E12" s="118"/>
      <c r="F12" s="119"/>
      <c r="G12" s="117"/>
      <c r="H12" s="118"/>
      <c r="I12" s="76"/>
      <c r="J12" s="117"/>
      <c r="K12" s="118"/>
      <c r="L12" s="76"/>
      <c r="M12" s="103"/>
    </row>
    <row r="13" spans="2:13">
      <c r="B13" s="61"/>
      <c r="C13" s="72" t="s">
        <v>10</v>
      </c>
      <c r="D13" s="117"/>
      <c r="E13" s="77">
        <v>120359</v>
      </c>
      <c r="F13" s="76">
        <f>E13/$E$9</f>
        <v>0.187358343711083</v>
      </c>
      <c r="G13" s="117"/>
      <c r="H13" s="77">
        <v>150322</v>
      </c>
      <c r="I13" s="76">
        <f t="shared" si="0"/>
        <v>0.180601460218829</v>
      </c>
      <c r="J13" s="85"/>
      <c r="K13" s="77">
        <v>168330</v>
      </c>
      <c r="L13" s="76">
        <f t="shared" si="1"/>
        <v>0.187012346392238</v>
      </c>
      <c r="M13" s="103"/>
    </row>
    <row r="14" spans="2:13">
      <c r="B14" s="61"/>
      <c r="C14" s="72" t="s">
        <v>11</v>
      </c>
      <c r="D14" s="72"/>
      <c r="E14" s="77">
        <v>65340</v>
      </c>
      <c r="F14" s="76">
        <f t="shared" ref="F14:F15" si="2">E14/$E$9</f>
        <v>0.101712328767123</v>
      </c>
      <c r="G14" s="72"/>
      <c r="H14" s="77">
        <v>88622</v>
      </c>
      <c r="I14" s="83">
        <f t="shared" si="0"/>
        <v>0.106473188272595</v>
      </c>
      <c r="J14" s="77"/>
      <c r="K14" s="77">
        <v>97791</v>
      </c>
      <c r="L14" s="83">
        <f t="shared" si="1"/>
        <v>0.108644474342324</v>
      </c>
      <c r="M14" s="103"/>
    </row>
    <row r="15" spans="2:13">
      <c r="B15" s="61"/>
      <c r="C15" s="72" t="s">
        <v>12</v>
      </c>
      <c r="D15" s="72"/>
      <c r="E15" s="116">
        <f>E11-E13-E14</f>
        <v>106817</v>
      </c>
      <c r="F15" s="120">
        <f t="shared" si="2"/>
        <v>0.16627801992528</v>
      </c>
      <c r="G15" s="72"/>
      <c r="H15" s="116">
        <f>H11-H13-H14</f>
        <v>136988</v>
      </c>
      <c r="I15" s="76">
        <f t="shared" si="0"/>
        <v>0.164581583749929</v>
      </c>
      <c r="J15" s="77"/>
      <c r="K15" s="116">
        <f>K11-K13-K14</f>
        <v>146960</v>
      </c>
      <c r="L15" s="76">
        <f t="shared" si="1"/>
        <v>0.163270566303115</v>
      </c>
      <c r="M15" s="103"/>
    </row>
    <row r="16" spans="2:13">
      <c r="B16" s="61"/>
      <c r="C16" s="117"/>
      <c r="D16" s="117"/>
      <c r="E16" s="118"/>
      <c r="F16" s="119"/>
      <c r="G16" s="117"/>
      <c r="H16" s="118"/>
      <c r="I16" s="76"/>
      <c r="J16" s="117"/>
      <c r="K16" s="118"/>
      <c r="L16" s="76"/>
      <c r="M16" s="103"/>
    </row>
    <row r="17" spans="2:13">
      <c r="B17" s="61"/>
      <c r="C17" s="72" t="s">
        <v>13</v>
      </c>
      <c r="D17" s="72"/>
      <c r="E17" s="77">
        <v>45046</v>
      </c>
      <c r="F17" s="76">
        <f t="shared" ref="F17:F18" si="3">E17/$E$9</f>
        <v>0.0701214196762142</v>
      </c>
      <c r="G17" s="72"/>
      <c r="H17" s="77">
        <v>59444</v>
      </c>
      <c r="I17" s="83">
        <f t="shared" si="0"/>
        <v>0.0714178443690747</v>
      </c>
      <c r="J17" s="77"/>
      <c r="K17" s="77">
        <v>65985</v>
      </c>
      <c r="L17" s="83">
        <f t="shared" si="1"/>
        <v>0.0733084398306412</v>
      </c>
      <c r="M17" s="103"/>
    </row>
    <row r="18" spans="2:13">
      <c r="B18" s="61"/>
      <c r="C18" s="72" t="s">
        <v>14</v>
      </c>
      <c r="D18" s="72"/>
      <c r="E18" s="116">
        <f>E15-E17</f>
        <v>61771</v>
      </c>
      <c r="F18" s="120">
        <f t="shared" si="3"/>
        <v>0.096156600249066</v>
      </c>
      <c r="G18" s="72"/>
      <c r="H18" s="116">
        <f>H15-H17</f>
        <v>77544</v>
      </c>
      <c r="I18" s="76">
        <f t="shared" si="0"/>
        <v>0.0931637393808547</v>
      </c>
      <c r="J18" s="77"/>
      <c r="K18" s="116">
        <f>K15-K17</f>
        <v>80975</v>
      </c>
      <c r="L18" s="76">
        <f t="shared" si="1"/>
        <v>0.0899621264724736</v>
      </c>
      <c r="M18" s="103"/>
    </row>
    <row r="19" spans="2:13">
      <c r="B19" s="61"/>
      <c r="C19" s="117"/>
      <c r="D19" s="117"/>
      <c r="E19" s="118"/>
      <c r="F19" s="119"/>
      <c r="G19" s="117"/>
      <c r="H19" s="118"/>
      <c r="I19" s="76"/>
      <c r="J19" s="117"/>
      <c r="K19" s="118"/>
      <c r="L19" s="76"/>
      <c r="M19" s="103"/>
    </row>
    <row r="20" spans="2:13">
      <c r="B20" s="61"/>
      <c r="C20" s="72" t="s">
        <v>15</v>
      </c>
      <c r="D20" s="72"/>
      <c r="E20" s="77">
        <v>23120</v>
      </c>
      <c r="F20" s="76">
        <f t="shared" ref="F20:F21" si="4">E20/$E$9</f>
        <v>0.0359900373599004</v>
      </c>
      <c r="G20" s="72"/>
      <c r="H20" s="77">
        <v>14088</v>
      </c>
      <c r="I20" s="83">
        <f t="shared" si="0"/>
        <v>0.0169257551892794</v>
      </c>
      <c r="J20" s="77"/>
      <c r="K20" s="77">
        <v>9340</v>
      </c>
      <c r="L20" s="83">
        <f t="shared" si="1"/>
        <v>0.0103766132911751</v>
      </c>
      <c r="M20" s="103"/>
    </row>
    <row r="21" spans="2:13">
      <c r="B21" s="61"/>
      <c r="C21" s="72" t="s">
        <v>16</v>
      </c>
      <c r="D21" s="72"/>
      <c r="E21" s="116">
        <f>E18-E20</f>
        <v>38651</v>
      </c>
      <c r="F21" s="120">
        <f t="shared" si="4"/>
        <v>0.0601665628891656</v>
      </c>
      <c r="G21" s="72"/>
      <c r="H21" s="116">
        <f>H18-H20</f>
        <v>63456</v>
      </c>
      <c r="I21" s="76">
        <f t="shared" si="0"/>
        <v>0.0762379841915753</v>
      </c>
      <c r="J21" s="77"/>
      <c r="K21" s="116">
        <f>K18-K20</f>
        <v>71635</v>
      </c>
      <c r="L21" s="76">
        <f t="shared" si="1"/>
        <v>0.0795855131812985</v>
      </c>
      <c r="M21" s="103"/>
    </row>
    <row r="22" spans="2:13">
      <c r="B22" s="61"/>
      <c r="C22" s="72"/>
      <c r="D22" s="72"/>
      <c r="E22" s="77"/>
      <c r="F22" s="76"/>
      <c r="G22" s="72"/>
      <c r="H22" s="77"/>
      <c r="I22" s="76"/>
      <c r="J22" s="77"/>
      <c r="K22" s="77"/>
      <c r="L22" s="76"/>
      <c r="M22" s="103"/>
    </row>
    <row r="23" spans="2:13">
      <c r="B23" s="61"/>
      <c r="C23" s="72" t="s">
        <v>17</v>
      </c>
      <c r="D23" s="72"/>
      <c r="E23" s="77">
        <f>0.3*E21</f>
        <v>11595.3</v>
      </c>
      <c r="F23" s="76">
        <f t="shared" ref="F23:F24" si="5">E23/$E$9</f>
        <v>0.0180499688667497</v>
      </c>
      <c r="G23" s="72"/>
      <c r="H23" s="77">
        <f>0.3*H21</f>
        <v>19036.8</v>
      </c>
      <c r="I23" s="76">
        <f t="shared" si="0"/>
        <v>0.0228713952574726</v>
      </c>
      <c r="J23" s="77"/>
      <c r="K23" s="77">
        <f>0.3*K21</f>
        <v>21490.5</v>
      </c>
      <c r="L23" s="76">
        <f t="shared" si="1"/>
        <v>0.0238756539543896</v>
      </c>
      <c r="M23" s="103"/>
    </row>
    <row r="24" ht="15.15" spans="2:13">
      <c r="B24" s="61"/>
      <c r="C24" s="72" t="s">
        <v>2</v>
      </c>
      <c r="D24" s="72"/>
      <c r="E24" s="121">
        <f>E21-E23</f>
        <v>27055.7</v>
      </c>
      <c r="F24" s="122">
        <f t="shared" si="5"/>
        <v>0.0421165940224159</v>
      </c>
      <c r="G24" s="72"/>
      <c r="H24" s="121">
        <f>H21-H23</f>
        <v>44419.2</v>
      </c>
      <c r="I24" s="122">
        <f t="shared" si="0"/>
        <v>0.0533665889341027</v>
      </c>
      <c r="J24" s="77"/>
      <c r="K24" s="121">
        <f>K21-K23</f>
        <v>50144.5</v>
      </c>
      <c r="L24" s="122">
        <f t="shared" si="1"/>
        <v>0.055709859226909</v>
      </c>
      <c r="M24" s="103"/>
    </row>
    <row r="25" ht="15.15" spans="2:13">
      <c r="B25" s="61"/>
      <c r="C25" s="117"/>
      <c r="D25" s="117"/>
      <c r="E25" s="118"/>
      <c r="F25" s="117"/>
      <c r="G25" s="117"/>
      <c r="H25" s="118"/>
      <c r="I25" s="117"/>
      <c r="J25" s="117"/>
      <c r="K25" s="118"/>
      <c r="L25" s="117"/>
      <c r="M25" s="103"/>
    </row>
    <row r="26" spans="2:13">
      <c r="B26" s="61"/>
      <c r="C26" s="72" t="s">
        <v>18</v>
      </c>
      <c r="D26" s="72"/>
      <c r="E26" s="77">
        <v>20000</v>
      </c>
      <c r="F26" s="85"/>
      <c r="G26" s="72"/>
      <c r="H26" s="77">
        <v>20000</v>
      </c>
      <c r="I26" s="85"/>
      <c r="J26" s="77"/>
      <c r="K26" s="77">
        <v>20000</v>
      </c>
      <c r="L26" s="85"/>
      <c r="M26" s="103"/>
    </row>
    <row r="27" ht="15.15" spans="2:13">
      <c r="B27" s="99"/>
      <c r="C27" s="100" t="s">
        <v>19</v>
      </c>
      <c r="D27" s="100"/>
      <c r="E27" s="123">
        <f>E24-E26</f>
        <v>7055.7</v>
      </c>
      <c r="F27" s="124"/>
      <c r="G27" s="100"/>
      <c r="H27" s="123">
        <f>H24-H26</f>
        <v>24419.2</v>
      </c>
      <c r="I27" s="124"/>
      <c r="J27" s="123"/>
      <c r="K27" s="123">
        <f>K24-K26</f>
        <v>30144.5</v>
      </c>
      <c r="L27" s="124"/>
      <c r="M27" s="114"/>
    </row>
  </sheetData>
  <mergeCells count="7">
    <mergeCell ref="C3:L3"/>
    <mergeCell ref="C4:L4"/>
    <mergeCell ref="C5:L5"/>
    <mergeCell ref="C6:L6"/>
    <mergeCell ref="E8:F8"/>
    <mergeCell ref="H8:I8"/>
    <mergeCell ref="K8:L8"/>
  </mergeCell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3"/>
  <sheetViews>
    <sheetView tabSelected="1" zoomScale="125" zoomScaleNormal="125" zoomScalePageLayoutView="125" topLeftCell="A11" workbookViewId="0">
      <selection activeCell="A1" sqref="A1"/>
    </sheetView>
  </sheetViews>
  <sheetFormatPr defaultColWidth="11.4259259259259" defaultRowHeight="14.4"/>
  <cols>
    <col min="1" max="1" width="3.28703703703704" customWidth="1"/>
    <col min="2" max="2" width="4" customWidth="1"/>
    <col min="7" max="7" width="3" customWidth="1"/>
    <col min="10" max="10" width="3.42592592592593" customWidth="1"/>
    <col min="13" max="13" width="3.28703703703704" customWidth="1"/>
  </cols>
  <sheetData>
    <row r="1" ht="15.15"/>
    <row r="2" ht="15.15" spans="2:13">
      <c r="B2" s="58"/>
      <c r="C2" s="59"/>
      <c r="D2" s="59"/>
      <c r="E2" s="60"/>
      <c r="F2" s="60"/>
      <c r="G2" s="59"/>
      <c r="H2" s="60"/>
      <c r="I2" s="60"/>
      <c r="J2" s="59"/>
      <c r="K2" s="60"/>
      <c r="L2" s="60"/>
      <c r="M2" s="101"/>
    </row>
    <row r="3" ht="15.6" spans="2:13">
      <c r="B3" s="61"/>
      <c r="C3" s="62" t="s">
        <v>20</v>
      </c>
      <c r="D3" s="63"/>
      <c r="E3" s="63"/>
      <c r="F3" s="63"/>
      <c r="G3" s="63"/>
      <c r="H3" s="63"/>
      <c r="I3" s="63"/>
      <c r="J3" s="63"/>
      <c r="K3" s="63"/>
      <c r="L3" s="102"/>
      <c r="M3" s="103"/>
    </row>
    <row r="4" ht="15.6" spans="2:13">
      <c r="B4" s="61"/>
      <c r="C4" s="64" t="s">
        <v>4</v>
      </c>
      <c r="D4" s="65"/>
      <c r="E4" s="65"/>
      <c r="F4" s="65"/>
      <c r="G4" s="65"/>
      <c r="H4" s="65"/>
      <c r="I4" s="65"/>
      <c r="J4" s="65"/>
      <c r="K4" s="65"/>
      <c r="L4" s="104"/>
      <c r="M4" s="103"/>
    </row>
    <row r="5" ht="15.6" spans="2:13">
      <c r="B5" s="61"/>
      <c r="C5" s="64" t="s">
        <v>21</v>
      </c>
      <c r="D5" s="65"/>
      <c r="E5" s="65"/>
      <c r="F5" s="65"/>
      <c r="G5" s="65"/>
      <c r="H5" s="65"/>
      <c r="I5" s="65"/>
      <c r="J5" s="65"/>
      <c r="K5" s="65"/>
      <c r="L5" s="104"/>
      <c r="M5" s="103"/>
    </row>
    <row r="6" ht="16.35" spans="2:13">
      <c r="B6" s="61"/>
      <c r="C6" s="66" t="s">
        <v>6</v>
      </c>
      <c r="D6" s="67"/>
      <c r="E6" s="67"/>
      <c r="F6" s="67"/>
      <c r="G6" s="67"/>
      <c r="H6" s="67"/>
      <c r="I6" s="67"/>
      <c r="J6" s="67"/>
      <c r="K6" s="67"/>
      <c r="L6" s="105"/>
      <c r="M6" s="103"/>
    </row>
    <row r="7" spans="2:13">
      <c r="B7" s="61"/>
      <c r="C7" s="68"/>
      <c r="D7" s="68"/>
      <c r="E7" s="68"/>
      <c r="F7" s="68"/>
      <c r="G7" s="68"/>
      <c r="H7" s="68"/>
      <c r="I7" s="68"/>
      <c r="J7" s="68"/>
      <c r="K7" s="68"/>
      <c r="L7" s="68"/>
      <c r="M7" s="103"/>
    </row>
    <row r="8" spans="2:13">
      <c r="B8" s="61"/>
      <c r="C8" s="69" t="s">
        <v>22</v>
      </c>
      <c r="D8" s="68"/>
      <c r="E8" s="70">
        <v>2009</v>
      </c>
      <c r="F8" s="71"/>
      <c r="G8" s="72"/>
      <c r="H8" s="70">
        <v>2010</v>
      </c>
      <c r="I8" s="71"/>
      <c r="J8" s="72"/>
      <c r="K8" s="70">
        <v>2011</v>
      </c>
      <c r="L8" s="71"/>
      <c r="M8" s="103"/>
    </row>
    <row r="9" spans="2:13">
      <c r="B9" s="61"/>
      <c r="C9" s="73"/>
      <c r="D9" s="68"/>
      <c r="E9" s="71"/>
      <c r="F9" s="71"/>
      <c r="G9" s="72"/>
      <c r="H9" s="71"/>
      <c r="I9" s="71"/>
      <c r="J9" s="72"/>
      <c r="K9" s="71"/>
      <c r="L9" s="71"/>
      <c r="M9" s="103"/>
    </row>
    <row r="10" spans="2:13">
      <c r="B10" s="61"/>
      <c r="C10" s="74" t="s">
        <v>23</v>
      </c>
      <c r="D10" s="68"/>
      <c r="E10" s="75">
        <v>12023</v>
      </c>
      <c r="F10" s="76">
        <f>E10/$E$20</f>
        <v>0.0306559892134162</v>
      </c>
      <c r="G10" s="72"/>
      <c r="H10" s="77">
        <v>36090</v>
      </c>
      <c r="I10" s="76">
        <f>H10/$H$20</f>
        <v>0.0892105136445636</v>
      </c>
      <c r="J10" s="72"/>
      <c r="K10" s="106">
        <v>53020</v>
      </c>
      <c r="L10" s="107">
        <f>K10/$K$20</f>
        <v>0.139621739618129</v>
      </c>
      <c r="M10" s="103"/>
    </row>
    <row r="11" spans="2:13">
      <c r="B11" s="61"/>
      <c r="C11" s="72" t="s">
        <v>24</v>
      </c>
      <c r="D11" s="72"/>
      <c r="E11" s="78">
        <v>61600</v>
      </c>
      <c r="F11" s="76">
        <f t="shared" ref="F11:F20" si="0">E11/$E$20</f>
        <v>0.157066367424639</v>
      </c>
      <c r="G11" s="72"/>
      <c r="H11" s="77">
        <v>75252.7479452055</v>
      </c>
      <c r="I11" s="76">
        <f t="shared" ref="I11:I32" si="1">H11/$H$20</f>
        <v>0.18601652250919</v>
      </c>
      <c r="J11" s="72"/>
      <c r="K11" s="106">
        <v>78912.9643835616</v>
      </c>
      <c r="L11" s="107">
        <f t="shared" ref="L11:L32" si="2">K11/$K$20</f>
        <v>0.207807720966736</v>
      </c>
      <c r="M11" s="103"/>
    </row>
    <row r="12" spans="2:13">
      <c r="B12" s="61"/>
      <c r="C12" s="72" t="s">
        <v>25</v>
      </c>
      <c r="D12" s="72"/>
      <c r="E12" s="78">
        <v>32591.9</v>
      </c>
      <c r="F12" s="76">
        <f t="shared" si="0"/>
        <v>0.08310213215044</v>
      </c>
      <c r="G12" s="79"/>
      <c r="H12" s="80">
        <v>45015.6821917808</v>
      </c>
      <c r="I12" s="76">
        <f t="shared" si="1"/>
        <v>0.111273819074237</v>
      </c>
      <c r="J12" s="79"/>
      <c r="K12" s="108">
        <v>60043.5616438356</v>
      </c>
      <c r="L12" s="107">
        <f t="shared" si="2"/>
        <v>0.158117437374212</v>
      </c>
      <c r="M12" s="103"/>
    </row>
    <row r="13" spans="2:13">
      <c r="B13" s="61"/>
      <c r="C13" s="81" t="s">
        <v>26</v>
      </c>
      <c r="D13" s="72"/>
      <c r="E13" s="82">
        <v>11792</v>
      </c>
      <c r="F13" s="83">
        <f t="shared" si="0"/>
        <v>0.0300669903355738</v>
      </c>
      <c r="G13" s="84"/>
      <c r="H13" s="77">
        <v>20660.299890411</v>
      </c>
      <c r="I13" s="83">
        <f t="shared" si="1"/>
        <v>0.0510699907252503</v>
      </c>
      <c r="J13" s="72"/>
      <c r="K13" s="109">
        <v>15116.764739726</v>
      </c>
      <c r="L13" s="110">
        <f t="shared" si="2"/>
        <v>0.0398081665476904</v>
      </c>
      <c r="M13" s="103"/>
    </row>
    <row r="14" spans="2:13">
      <c r="B14" s="61"/>
      <c r="C14" s="72" t="s">
        <v>27</v>
      </c>
      <c r="D14" s="72"/>
      <c r="E14" s="78">
        <f>SUM(E10:E13)</f>
        <v>118006.9</v>
      </c>
      <c r="F14" s="76">
        <f t="shared" si="0"/>
        <v>0.300891479124069</v>
      </c>
      <c r="G14" s="85"/>
      <c r="H14" s="86">
        <f>SUM(H10:H13)</f>
        <v>177018.730027397</v>
      </c>
      <c r="I14" s="76">
        <f t="shared" si="1"/>
        <v>0.43757084595324</v>
      </c>
      <c r="J14" s="85"/>
      <c r="K14" s="78">
        <f>SUM(K10:K13)</f>
        <v>207093.290767123</v>
      </c>
      <c r="L14" s="107">
        <f t="shared" si="2"/>
        <v>0.545355064506768</v>
      </c>
      <c r="M14" s="103"/>
    </row>
    <row r="15" spans="2:13">
      <c r="B15" s="61"/>
      <c r="C15" s="72"/>
      <c r="D15" s="72"/>
      <c r="E15" s="78"/>
      <c r="F15" s="76"/>
      <c r="G15" s="72"/>
      <c r="H15" s="87"/>
      <c r="I15" s="76"/>
      <c r="J15" s="72"/>
      <c r="K15" s="87"/>
      <c r="L15" s="107"/>
      <c r="M15" s="103"/>
    </row>
    <row r="16" spans="2:13">
      <c r="B16" s="61"/>
      <c r="C16" s="72" t="s">
        <v>28</v>
      </c>
      <c r="D16" s="72"/>
      <c r="E16" s="78">
        <v>439230</v>
      </c>
      <c r="F16" s="76">
        <f t="shared" si="0"/>
        <v>1.1199392948689</v>
      </c>
      <c r="G16" s="72"/>
      <c r="H16" s="77">
        <v>452020</v>
      </c>
      <c r="I16" s="76">
        <f t="shared" si="1"/>
        <v>1.11734376219495</v>
      </c>
      <c r="J16" s="72"/>
      <c r="K16" s="77">
        <v>463122</v>
      </c>
      <c r="L16" s="107">
        <f t="shared" si="2"/>
        <v>1.21957561854823</v>
      </c>
      <c r="M16" s="103"/>
    </row>
    <row r="17" spans="2:13">
      <c r="B17" s="61"/>
      <c r="C17" s="81" t="s">
        <v>29</v>
      </c>
      <c r="D17" s="72"/>
      <c r="E17" s="88">
        <v>165046</v>
      </c>
      <c r="F17" s="76">
        <f t="shared" si="0"/>
        <v>0.420830773992971</v>
      </c>
      <c r="G17" s="72"/>
      <c r="H17" s="89">
        <v>224490</v>
      </c>
      <c r="I17" s="76">
        <f t="shared" si="1"/>
        <v>0.554914608148187</v>
      </c>
      <c r="J17" s="84"/>
      <c r="K17" s="77">
        <v>290475</v>
      </c>
      <c r="L17" s="107">
        <f t="shared" si="2"/>
        <v>0.764930683055</v>
      </c>
      <c r="M17" s="103"/>
    </row>
    <row r="18" spans="2:13">
      <c r="B18" s="61"/>
      <c r="C18" s="72" t="s">
        <v>30</v>
      </c>
      <c r="D18" s="72"/>
      <c r="E18" s="88">
        <f>E16-E17</f>
        <v>274184</v>
      </c>
      <c r="F18" s="90">
        <f t="shared" si="0"/>
        <v>0.699108520875931</v>
      </c>
      <c r="G18" s="72"/>
      <c r="H18" s="88">
        <f>H16-H17</f>
        <v>227530</v>
      </c>
      <c r="I18" s="90">
        <f t="shared" si="1"/>
        <v>0.56242915404676</v>
      </c>
      <c r="J18" s="85"/>
      <c r="K18" s="111">
        <f>K16-K17</f>
        <v>172647</v>
      </c>
      <c r="L18" s="112">
        <f t="shared" si="2"/>
        <v>0.454644935493232</v>
      </c>
      <c r="M18" s="103"/>
    </row>
    <row r="19" spans="2:13">
      <c r="B19" s="61"/>
      <c r="C19" s="72"/>
      <c r="D19" s="72"/>
      <c r="E19" s="78"/>
      <c r="F19" s="76"/>
      <c r="G19" s="72"/>
      <c r="H19" s="87"/>
      <c r="I19" s="76"/>
      <c r="J19" s="72"/>
      <c r="K19" s="87"/>
      <c r="L19" s="107"/>
      <c r="M19" s="103"/>
    </row>
    <row r="20" ht="15.15" spans="2:13">
      <c r="B20" s="61"/>
      <c r="C20" s="91" t="s">
        <v>31</v>
      </c>
      <c r="D20" s="72"/>
      <c r="E20" s="92">
        <f>E14+E18</f>
        <v>392190.9</v>
      </c>
      <c r="F20" s="76">
        <f t="shared" si="0"/>
        <v>1</v>
      </c>
      <c r="G20" s="72"/>
      <c r="H20" s="92">
        <f>H14+H18</f>
        <v>404548.730027397</v>
      </c>
      <c r="I20" s="76">
        <f t="shared" si="1"/>
        <v>1</v>
      </c>
      <c r="J20" s="72"/>
      <c r="K20" s="92">
        <f>K14+K18</f>
        <v>379740.290767123</v>
      </c>
      <c r="L20" s="107">
        <f t="shared" si="2"/>
        <v>1</v>
      </c>
      <c r="M20" s="103"/>
    </row>
    <row r="21" ht="15.15" spans="2:13">
      <c r="B21" s="61"/>
      <c r="C21" s="72"/>
      <c r="D21" s="72"/>
      <c r="E21" s="78"/>
      <c r="F21" s="93"/>
      <c r="G21" s="72"/>
      <c r="H21" s="87"/>
      <c r="I21" s="76"/>
      <c r="J21" s="72"/>
      <c r="K21" s="87"/>
      <c r="L21" s="107"/>
      <c r="M21" s="103"/>
    </row>
    <row r="22" spans="2:13">
      <c r="B22" s="61"/>
      <c r="C22" s="94" t="s">
        <v>32</v>
      </c>
      <c r="D22" s="95"/>
      <c r="E22" s="70">
        <v>2009</v>
      </c>
      <c r="F22" s="96"/>
      <c r="G22" s="72"/>
      <c r="H22" s="70">
        <v>2010</v>
      </c>
      <c r="I22" s="76"/>
      <c r="J22" s="72"/>
      <c r="K22" s="70">
        <v>2011</v>
      </c>
      <c r="L22" s="107"/>
      <c r="M22" s="103"/>
    </row>
    <row r="23" spans="2:13">
      <c r="B23" s="61"/>
      <c r="C23" s="95"/>
      <c r="D23" s="95"/>
      <c r="E23" s="71"/>
      <c r="F23" s="96"/>
      <c r="G23" s="72"/>
      <c r="H23" s="71"/>
      <c r="I23" s="76"/>
      <c r="J23" s="72"/>
      <c r="K23" s="71"/>
      <c r="L23" s="107"/>
      <c r="M23" s="103"/>
    </row>
    <row r="24" spans="2:13">
      <c r="B24" s="61"/>
      <c r="C24" s="72" t="s">
        <v>33</v>
      </c>
      <c r="D24" s="72"/>
      <c r="E24" s="78">
        <v>34509.1</v>
      </c>
      <c r="F24" s="76">
        <f t="shared" ref="F24:F32" si="3">E24/$E$20</f>
        <v>0.0879905678586627</v>
      </c>
      <c r="G24" s="72"/>
      <c r="H24" s="77">
        <v>43765.2465753425</v>
      </c>
      <c r="I24" s="76">
        <f t="shared" si="1"/>
        <v>0.108182879655508</v>
      </c>
      <c r="J24" s="72"/>
      <c r="K24" s="77">
        <v>48034.8493150685</v>
      </c>
      <c r="L24" s="107">
        <f t="shared" si="2"/>
        <v>0.126493949899369</v>
      </c>
      <c r="M24" s="103"/>
    </row>
    <row r="25" spans="2:13">
      <c r="B25" s="61"/>
      <c r="C25" s="72" t="s">
        <v>34</v>
      </c>
      <c r="D25" s="72"/>
      <c r="E25" s="78">
        <v>15083.2</v>
      </c>
      <c r="F25" s="76">
        <f t="shared" si="3"/>
        <v>0.0384588219665474</v>
      </c>
      <c r="G25" s="72"/>
      <c r="H25" s="77">
        <v>19086.8333424658</v>
      </c>
      <c r="I25" s="76">
        <f t="shared" si="1"/>
        <v>0.0471805543455127</v>
      </c>
      <c r="J25" s="72"/>
      <c r="K25" s="77">
        <v>20492.7104383562</v>
      </c>
      <c r="L25" s="107">
        <f t="shared" si="2"/>
        <v>0.0539650675385493</v>
      </c>
      <c r="M25" s="103"/>
    </row>
    <row r="26" spans="2:13">
      <c r="B26" s="61"/>
      <c r="C26" s="72" t="s">
        <v>35</v>
      </c>
      <c r="D26" s="72"/>
      <c r="E26" s="89">
        <v>70519.9273972603</v>
      </c>
      <c r="F26" s="83">
        <f t="shared" si="3"/>
        <v>0.17981020823599</v>
      </c>
      <c r="G26" s="72"/>
      <c r="H26" s="89">
        <v>63428.750109589</v>
      </c>
      <c r="I26" s="83">
        <f t="shared" si="1"/>
        <v>0.156788899338019</v>
      </c>
      <c r="J26" s="113"/>
      <c r="K26" s="89">
        <v>22900.3310136986</v>
      </c>
      <c r="L26" s="110">
        <f t="shared" si="2"/>
        <v>0.0603052443222104</v>
      </c>
      <c r="M26" s="103"/>
    </row>
    <row r="27" spans="2:13">
      <c r="B27" s="61"/>
      <c r="C27" s="72" t="s">
        <v>36</v>
      </c>
      <c r="D27" s="72"/>
      <c r="E27" s="97">
        <f>SUM(E24:E26)</f>
        <v>120112.22739726</v>
      </c>
      <c r="F27" s="76">
        <f t="shared" si="3"/>
        <v>0.3062595980612</v>
      </c>
      <c r="G27" s="72"/>
      <c r="H27" s="97">
        <f>SUM(H24:H26)</f>
        <v>126280.830027397</v>
      </c>
      <c r="I27" s="76">
        <f t="shared" si="1"/>
        <v>0.31215233333904</v>
      </c>
      <c r="J27" s="72"/>
      <c r="K27" s="97">
        <f>SUM(K24:K26)</f>
        <v>91427.8907671233</v>
      </c>
      <c r="L27" s="107">
        <f t="shared" si="2"/>
        <v>0.240764261760129</v>
      </c>
      <c r="M27" s="103"/>
    </row>
    <row r="28" spans="2:13">
      <c r="B28" s="61"/>
      <c r="C28" s="72"/>
      <c r="D28" s="72"/>
      <c r="E28" s="97"/>
      <c r="F28" s="76"/>
      <c r="G28" s="72"/>
      <c r="H28" s="87"/>
      <c r="I28" s="76"/>
      <c r="J28" s="72"/>
      <c r="K28" s="87"/>
      <c r="L28" s="107"/>
      <c r="M28" s="103"/>
    </row>
    <row r="29" spans="2:13">
      <c r="B29" s="61"/>
      <c r="C29" s="72" t="s">
        <v>37</v>
      </c>
      <c r="D29" s="72"/>
      <c r="E29" s="97">
        <v>45023</v>
      </c>
      <c r="F29" s="76">
        <f t="shared" si="3"/>
        <v>0.114798686048044</v>
      </c>
      <c r="G29" s="72"/>
      <c r="H29" s="77">
        <v>26793</v>
      </c>
      <c r="I29" s="76">
        <f t="shared" si="1"/>
        <v>0.0662293514014628</v>
      </c>
      <c r="J29" s="72"/>
      <c r="K29" s="77">
        <v>6693</v>
      </c>
      <c r="L29" s="107">
        <f t="shared" si="2"/>
        <v>0.0176252037582825</v>
      </c>
      <c r="M29" s="103"/>
    </row>
    <row r="30" spans="2:13">
      <c r="B30" s="61"/>
      <c r="C30" s="72" t="s">
        <v>38</v>
      </c>
      <c r="D30" s="72"/>
      <c r="E30" s="89">
        <v>227055.7</v>
      </c>
      <c r="F30" s="83">
        <f t="shared" si="3"/>
        <v>0.578941785747706</v>
      </c>
      <c r="G30" s="72"/>
      <c r="H30" s="89">
        <v>251474.9</v>
      </c>
      <c r="I30" s="83">
        <f t="shared" si="1"/>
        <v>0.621618315259498</v>
      </c>
      <c r="J30" s="72"/>
      <c r="K30" s="89">
        <v>281619.4</v>
      </c>
      <c r="L30" s="110">
        <f t="shared" si="2"/>
        <v>0.741610534481588</v>
      </c>
      <c r="M30" s="103"/>
    </row>
    <row r="31" spans="2:13">
      <c r="B31" s="61"/>
      <c r="C31" s="72"/>
      <c r="D31" s="72"/>
      <c r="E31" s="78"/>
      <c r="F31" s="76"/>
      <c r="G31" s="72"/>
      <c r="H31" s="87"/>
      <c r="I31" s="76"/>
      <c r="J31" s="72"/>
      <c r="K31" s="87"/>
      <c r="L31" s="107"/>
      <c r="M31" s="103"/>
    </row>
    <row r="32" ht="15.15" spans="2:13">
      <c r="B32" s="61"/>
      <c r="C32" s="91" t="s">
        <v>32</v>
      </c>
      <c r="D32" s="72"/>
      <c r="E32" s="92">
        <f>E27+E29+E30</f>
        <v>392190.92739726</v>
      </c>
      <c r="F32" s="76">
        <f t="shared" si="3"/>
        <v>1.00000006985695</v>
      </c>
      <c r="G32" s="98"/>
      <c r="H32" s="92">
        <f>H27+H29+H30</f>
        <v>404548.730027397</v>
      </c>
      <c r="I32" s="76">
        <f t="shared" si="1"/>
        <v>1</v>
      </c>
      <c r="J32" s="98"/>
      <c r="K32" s="92">
        <f>K27+K29+K30</f>
        <v>379740.290767123</v>
      </c>
      <c r="L32" s="107">
        <f t="shared" si="2"/>
        <v>1</v>
      </c>
      <c r="M32" s="103"/>
    </row>
    <row r="33" ht="15.9" spans="2:13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14"/>
    </row>
  </sheetData>
  <mergeCells count="4">
    <mergeCell ref="C3:L3"/>
    <mergeCell ref="C4:L4"/>
    <mergeCell ref="C5:L5"/>
    <mergeCell ref="C6:L6"/>
  </mergeCells>
  <pageMargins left="0.75" right="0.75" top="1" bottom="1" header="0.5" footer="0.5"/>
  <pageSetup paperSize="1" orientation="portrait"/>
  <headerFooter/>
  <ignoredErrors>
    <ignoredError sqref="K27 H27 E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5"/>
  <sheetViews>
    <sheetView zoomScale="150" zoomScaleNormal="150" zoomScalePageLayoutView="150" workbookViewId="0">
      <selection activeCell="A1" sqref="A1"/>
    </sheetView>
  </sheetViews>
  <sheetFormatPr defaultColWidth="8.85185185185185" defaultRowHeight="13.2"/>
  <cols>
    <col min="1" max="1" width="41.1388888888889" style="1" customWidth="1"/>
    <col min="2" max="2" width="2.85185185185185" style="1" customWidth="1"/>
    <col min="3" max="8" width="13.712962962963" style="1" customWidth="1"/>
    <col min="9" max="9" width="2.28703703703704" style="1" customWidth="1"/>
    <col min="10" max="10" width="8.85185185185185" style="1" customWidth="1"/>
    <col min="11" max="16384" width="8.85185185185185" style="1"/>
  </cols>
  <sheetData>
    <row r="1" ht="15.6" spans="1:2">
      <c r="A1" s="2" t="s">
        <v>39</v>
      </c>
      <c r="B1" s="2"/>
    </row>
    <row r="2" ht="15" spans="1:2">
      <c r="A2" s="3"/>
      <c r="B2" s="3"/>
    </row>
    <row r="3" ht="15.6" spans="1:2">
      <c r="A3" s="2" t="s">
        <v>40</v>
      </c>
      <c r="B3" s="2"/>
    </row>
    <row r="4" ht="13.95"/>
    <row r="5" ht="14.4" spans="1:8">
      <c r="A5" s="4" t="s">
        <v>41</v>
      </c>
      <c r="B5" s="5"/>
      <c r="C5" s="6">
        <v>600000</v>
      </c>
      <c r="E5" s="7" t="s">
        <v>42</v>
      </c>
      <c r="F5" s="8"/>
      <c r="G5" s="5"/>
      <c r="H5" s="9">
        <v>50000000</v>
      </c>
    </row>
    <row r="6" ht="14.4" spans="1:8">
      <c r="A6" s="10" t="s">
        <v>43</v>
      </c>
      <c r="B6" s="11"/>
      <c r="C6" s="12">
        <v>0</v>
      </c>
      <c r="E6" s="13" t="s">
        <v>44</v>
      </c>
      <c r="F6" s="14"/>
      <c r="G6" s="11"/>
      <c r="H6" s="15">
        <v>4000000</v>
      </c>
    </row>
    <row r="7" ht="14.4" spans="1:8">
      <c r="A7" s="10" t="s">
        <v>45</v>
      </c>
      <c r="B7" s="11"/>
      <c r="C7" s="16">
        <v>5</v>
      </c>
      <c r="E7" s="10" t="s">
        <v>46</v>
      </c>
      <c r="F7" s="11"/>
      <c r="G7" s="11"/>
      <c r="H7" s="12">
        <v>0.01</v>
      </c>
    </row>
    <row r="8" ht="14.4" spans="1:8">
      <c r="A8" s="17" t="s">
        <v>47</v>
      </c>
      <c r="B8" s="18"/>
      <c r="C8" s="12">
        <v>0</v>
      </c>
      <c r="E8" s="10" t="s">
        <v>48</v>
      </c>
      <c r="F8" s="11"/>
      <c r="G8" s="11"/>
      <c r="H8" s="15">
        <v>60000</v>
      </c>
    </row>
    <row r="9" spans="1:8">
      <c r="A9" s="10" t="s">
        <v>49</v>
      </c>
      <c r="B9" s="11"/>
      <c r="C9" s="19">
        <v>1.8</v>
      </c>
      <c r="E9" s="17" t="s">
        <v>50</v>
      </c>
      <c r="F9" s="11"/>
      <c r="G9" s="11"/>
      <c r="H9" s="20">
        <v>45</v>
      </c>
    </row>
    <row r="10" ht="14.4" spans="1:8">
      <c r="A10" s="10" t="s">
        <v>51</v>
      </c>
      <c r="B10" s="11"/>
      <c r="C10" s="12">
        <v>0</v>
      </c>
      <c r="E10" s="17" t="s">
        <v>52</v>
      </c>
      <c r="F10" s="11"/>
      <c r="G10" s="11"/>
      <c r="H10" s="20">
        <v>36</v>
      </c>
    </row>
    <row r="11" spans="1:8">
      <c r="A11" s="10" t="s">
        <v>53</v>
      </c>
      <c r="B11" s="11"/>
      <c r="C11" s="16">
        <v>180000</v>
      </c>
      <c r="E11" s="17" t="s">
        <v>54</v>
      </c>
      <c r="F11" s="11"/>
      <c r="G11" s="11"/>
      <c r="H11" s="20">
        <v>5</v>
      </c>
    </row>
    <row r="12" ht="14.4" spans="1:8">
      <c r="A12" s="10" t="s">
        <v>55</v>
      </c>
      <c r="B12" s="11"/>
      <c r="C12" s="21">
        <v>0</v>
      </c>
      <c r="E12" s="13" t="s">
        <v>56</v>
      </c>
      <c r="F12" s="14"/>
      <c r="G12" s="11"/>
      <c r="H12" s="22">
        <v>0.182</v>
      </c>
    </row>
    <row r="13" ht="14.4" spans="1:8">
      <c r="A13" s="17" t="s">
        <v>57</v>
      </c>
      <c r="B13" s="18"/>
      <c r="C13" s="23">
        <v>50000</v>
      </c>
      <c r="E13" s="10" t="s">
        <v>58</v>
      </c>
      <c r="F13" s="11"/>
      <c r="G13" s="11"/>
      <c r="H13" s="24">
        <v>0.3</v>
      </c>
    </row>
    <row r="14" ht="15.15" spans="1:8">
      <c r="A14" s="25" t="s">
        <v>59</v>
      </c>
      <c r="B14" s="26"/>
      <c r="C14" s="27">
        <v>0</v>
      </c>
      <c r="E14" s="28" t="s">
        <v>60</v>
      </c>
      <c r="F14" s="26"/>
      <c r="G14" s="26"/>
      <c r="H14" s="29">
        <v>800000</v>
      </c>
    </row>
    <row r="16" ht="13.95" spans="1:8">
      <c r="A16" s="30" t="s">
        <v>61</v>
      </c>
      <c r="B16" s="30"/>
      <c r="C16" s="30">
        <v>0</v>
      </c>
      <c r="D16" s="30">
        <v>1</v>
      </c>
      <c r="E16" s="30">
        <v>2</v>
      </c>
      <c r="F16" s="30">
        <v>3</v>
      </c>
      <c r="G16" s="30">
        <v>4</v>
      </c>
      <c r="H16" s="30">
        <v>5</v>
      </c>
    </row>
    <row r="17" spans="1:8">
      <c r="A17" s="31"/>
      <c r="B17" s="31"/>
      <c r="C17" s="31"/>
      <c r="D17" s="31"/>
      <c r="E17" s="31"/>
      <c r="F17" s="31"/>
      <c r="G17" s="31"/>
      <c r="H17" s="31"/>
    </row>
    <row r="18" spans="1:8">
      <c r="A18" s="32" t="s">
        <v>42</v>
      </c>
      <c r="B18" s="32"/>
      <c r="C18" s="33">
        <f>-$H$5</f>
        <v>-50000000</v>
      </c>
      <c r="D18" s="31"/>
      <c r="E18" s="31"/>
      <c r="F18" s="31"/>
      <c r="G18" s="31"/>
      <c r="H18" s="31"/>
    </row>
    <row r="19" spans="1:8">
      <c r="A19" s="14" t="s">
        <v>44</v>
      </c>
      <c r="B19" s="14"/>
      <c r="C19" s="14"/>
      <c r="D19" s="31"/>
      <c r="E19" s="31"/>
      <c r="F19" s="31"/>
      <c r="G19" s="31"/>
      <c r="H19" s="33">
        <f>$H$6</f>
        <v>4000000</v>
      </c>
    </row>
    <row r="20" spans="1:8">
      <c r="A20" s="34" t="s">
        <v>62</v>
      </c>
      <c r="B20" s="34"/>
      <c r="C20" s="14"/>
      <c r="D20" s="31"/>
      <c r="E20" s="31"/>
      <c r="F20" s="31"/>
      <c r="G20" s="31"/>
      <c r="H20" s="35">
        <f>-H13*H19</f>
        <v>-1200000</v>
      </c>
    </row>
    <row r="21" spans="1:8">
      <c r="A21" s="34" t="s">
        <v>63</v>
      </c>
      <c r="B21" s="34"/>
      <c r="C21" s="14"/>
      <c r="D21" s="31"/>
      <c r="E21" s="31"/>
      <c r="F21" s="31"/>
      <c r="G21" s="31"/>
      <c r="H21" s="33">
        <f>H19+H20</f>
        <v>2800000</v>
      </c>
    </row>
    <row r="22" spans="1:8">
      <c r="A22" s="14"/>
      <c r="B22" s="14"/>
      <c r="C22" s="14"/>
      <c r="D22" s="31"/>
      <c r="E22" s="31"/>
      <c r="F22" s="31"/>
      <c r="G22" s="31"/>
      <c r="H22" s="33"/>
    </row>
    <row r="23" spans="1:8">
      <c r="A23" s="1" t="s">
        <v>64</v>
      </c>
      <c r="C23" s="14"/>
      <c r="D23" s="31"/>
      <c r="E23" s="31"/>
      <c r="F23" s="31"/>
      <c r="G23" s="31"/>
      <c r="H23" s="33"/>
    </row>
    <row r="24" ht="14.4" spans="1:8">
      <c r="A24" s="1" t="s">
        <v>65</v>
      </c>
      <c r="C24" s="36">
        <f>(($C$5*12*(1+$C$6)^C16)*($C$7*(1+$C$8)^C16))/365*$H$9</f>
        <v>4438356.16438356</v>
      </c>
      <c r="D24" s="36">
        <f>(($C$5*12*(1+$C$6)^D16)*($C$7*(1+$C$8)^D16))/365*$H$9</f>
        <v>4438356.16438356</v>
      </c>
      <c r="E24" s="36">
        <f>(($C$5*12*(1+$C$6)^E16)*($C$7*(1+$C$8)^E16))/365*$H$9</f>
        <v>4438356.16438356</v>
      </c>
      <c r="F24" s="36">
        <f>(($C$5*12*(1+$C$6)^F16)*($C$7*(1+$C$8)^F16))/365*$H$9</f>
        <v>4438356.16438356</v>
      </c>
      <c r="G24" s="36">
        <f>(($C$5*12*(1+$C$6)^G16)*($C$7*(1+$C$8)^G16))/365*$H$9</f>
        <v>4438356.16438356</v>
      </c>
      <c r="H24" s="33"/>
    </row>
    <row r="25" ht="14.4" spans="1:8">
      <c r="A25" s="1" t="s">
        <v>66</v>
      </c>
      <c r="C25" s="36">
        <f>($C$5*(1+$C$6)^C16)*($C$9*(1+$C$10)^C16)</f>
        <v>1080000</v>
      </c>
      <c r="D25" s="36">
        <f>($C$5*(1+$C$6)^D16)*($C$9*(1+$C$10)^D16)</f>
        <v>1080000</v>
      </c>
      <c r="E25" s="36">
        <f>($C$5*(1+$C$6)^E16)*($C$9*(1+$C$10)^E16)</f>
        <v>1080000</v>
      </c>
      <c r="F25" s="36">
        <f>($C$5*(1+$C$6)^F16)*($C$9*(1+$C$10)^F16)</f>
        <v>1080000</v>
      </c>
      <c r="G25" s="36">
        <f>($C$5*(1+$C$6)^G16)*($C$9*(1+$C$10)^G16)</f>
        <v>1080000</v>
      </c>
      <c r="H25" s="33"/>
    </row>
    <row r="26" ht="14.4" spans="1:8">
      <c r="A26" s="1" t="s">
        <v>67</v>
      </c>
      <c r="C26" s="37">
        <f>-((($C$5*(1+$C$6)^C16)*12*($C$9*(1+$C$10)^C16))/365)*$H$10</f>
        <v>-1278246.57534247</v>
      </c>
      <c r="D26" s="37">
        <f>-((($C$5*(1+$C$6)^D16)*12*($C$9*(1+$C$10)^D16))/365)*$H$10</f>
        <v>-1278246.57534247</v>
      </c>
      <c r="E26" s="37">
        <f>-((($C$5*(1+$C$6)^E16)*12*($C$9*(1+$C$10)^E16))/365)*$H$10</f>
        <v>-1278246.57534247</v>
      </c>
      <c r="F26" s="37">
        <f>-((($C$5*(1+$C$6)^F16)*12*($C$9*(1+$C$10)^F16))/365)*$H$10</f>
        <v>-1278246.57534247</v>
      </c>
      <c r="G26" s="37">
        <f>-((($C$5*(1+$C$6)^G16)*12*($C$9*(1+$C$10)^G16))/365)*$H$10</f>
        <v>-1278246.57534247</v>
      </c>
      <c r="H26" s="35"/>
    </row>
    <row r="27" spans="3:8">
      <c r="C27" s="38">
        <f t="shared" ref="C27:H27" si="0">SUM(C24:C26)</f>
        <v>4240109.5890411</v>
      </c>
      <c r="D27" s="38">
        <f t="shared" si="0"/>
        <v>4240109.5890411</v>
      </c>
      <c r="E27" s="38">
        <f t="shared" si="0"/>
        <v>4240109.5890411</v>
      </c>
      <c r="F27" s="38">
        <f t="shared" si="0"/>
        <v>4240109.5890411</v>
      </c>
      <c r="G27" s="38">
        <f t="shared" si="0"/>
        <v>4240109.5890411</v>
      </c>
      <c r="H27" s="38">
        <f t="shared" si="0"/>
        <v>0</v>
      </c>
    </row>
    <row r="28" spans="3:8">
      <c r="C28" s="38"/>
      <c r="D28" s="38"/>
      <c r="E28" s="38"/>
      <c r="F28" s="38"/>
      <c r="G28" s="38"/>
      <c r="H28" s="38"/>
    </row>
    <row r="29" spans="1:8">
      <c r="A29" s="1" t="s">
        <v>68</v>
      </c>
      <c r="C29" s="38">
        <f>A27-C27</f>
        <v>-4240109.5890411</v>
      </c>
      <c r="D29" s="38">
        <f>C27-D27</f>
        <v>0</v>
      </c>
      <c r="E29" s="38">
        <f>D27-E27</f>
        <v>0</v>
      </c>
      <c r="F29" s="38">
        <f>E27-F27</f>
        <v>0</v>
      </c>
      <c r="G29" s="38">
        <f>F27-G27</f>
        <v>0</v>
      </c>
      <c r="H29" s="38">
        <f>G27-H27</f>
        <v>4240109.5890411</v>
      </c>
    </row>
    <row r="31" ht="14.4" spans="1:8">
      <c r="A31" s="1" t="s">
        <v>69</v>
      </c>
      <c r="D31" s="39">
        <f>$C$5*12*(1+$C$6)^C16</f>
        <v>7200000</v>
      </c>
      <c r="E31" s="39">
        <f>$C$5*12*(1+$C$6)^D16</f>
        <v>7200000</v>
      </c>
      <c r="F31" s="39">
        <f>$C$5*12*(1+$C$6)^E16</f>
        <v>7200000</v>
      </c>
      <c r="G31" s="39">
        <f>$C$5*12*(1+$C$6)^F16</f>
        <v>7200000</v>
      </c>
      <c r="H31" s="39">
        <f>$C$5*12*(1+$C$6)^G16</f>
        <v>7200000</v>
      </c>
    </row>
    <row r="32" spans="1:9">
      <c r="A32" s="1" t="s">
        <v>70</v>
      </c>
      <c r="D32" s="40">
        <f>D31*$C$7*(1+$C$8)^C16</f>
        <v>36000000</v>
      </c>
      <c r="E32" s="40">
        <f>E31*$C$7*(1+$C$8)^D16</f>
        <v>36000000</v>
      </c>
      <c r="F32" s="40">
        <f>F31*$C$7*(1+$C$8)^E16</f>
        <v>36000000</v>
      </c>
      <c r="G32" s="40">
        <f>G31*$C$7*(1+$C$8)^F16</f>
        <v>36000000</v>
      </c>
      <c r="H32" s="40">
        <f>H31*$C$7*(1+$C$8)^G16</f>
        <v>36000000</v>
      </c>
      <c r="I32" s="57"/>
    </row>
    <row r="34" spans="1:1">
      <c r="A34" s="1" t="s">
        <v>71</v>
      </c>
    </row>
    <row r="35" ht="14.4" spans="1:8">
      <c r="A35" s="1" t="s">
        <v>72</v>
      </c>
      <c r="D35" s="39">
        <f>-(D31*$C$9)*(1+$C$10)^C16</f>
        <v>-12960000</v>
      </c>
      <c r="E35" s="39">
        <f>-(E31*$C$9)*(1+$C$10)^D16</f>
        <v>-12960000</v>
      </c>
      <c r="F35" s="39">
        <f>-(F31*$C$9)*(1+$C$10)^E16</f>
        <v>-12960000</v>
      </c>
      <c r="G35" s="39">
        <f>-(G31*$C$9)*(1+$C$10)^F16</f>
        <v>-12960000</v>
      </c>
      <c r="H35" s="39">
        <f>-(H31*$C$9)*(1+$C$10)^G16</f>
        <v>-12960000</v>
      </c>
    </row>
    <row r="36" ht="14.4" spans="1:8">
      <c r="A36" s="1" t="s">
        <v>73</v>
      </c>
      <c r="D36" s="39">
        <f>-$C$11*12*(1+$C$12)^C16</f>
        <v>-2160000</v>
      </c>
      <c r="E36" s="39">
        <f>-$C$11*12*(1+$C$12)^D16</f>
        <v>-2160000</v>
      </c>
      <c r="F36" s="39">
        <f>-$C$11*12*(1+$C$12)^E16</f>
        <v>-2160000</v>
      </c>
      <c r="G36" s="39">
        <f>-$C$11*12*(1+$C$12)^F16</f>
        <v>-2160000</v>
      </c>
      <c r="H36" s="39">
        <f>-$C$11*12*(1+$C$12)^G16</f>
        <v>-2160000</v>
      </c>
    </row>
    <row r="37" ht="14.4" spans="1:8">
      <c r="A37" s="1" t="s">
        <v>74</v>
      </c>
      <c r="D37" s="39">
        <f>-$C$13*12*(1+$C$14)^C16</f>
        <v>-600000</v>
      </c>
      <c r="E37" s="39">
        <f>-$C$13*12*(1+$C$14)^D16</f>
        <v>-600000</v>
      </c>
      <c r="F37" s="39">
        <f>-$C$13*12*(1+$C$14)^E16</f>
        <v>-600000</v>
      </c>
      <c r="G37" s="39">
        <f>-$C$13*12*(1+$C$14)^F16</f>
        <v>-600000</v>
      </c>
      <c r="H37" s="39">
        <f>-$C$13*12*(1+$C$14)^G16</f>
        <v>-600000</v>
      </c>
    </row>
    <row r="38" spans="1:8">
      <c r="A38" s="1" t="s">
        <v>75</v>
      </c>
      <c r="D38" s="41">
        <f>-$H$8</f>
        <v>-60000</v>
      </c>
      <c r="E38" s="41">
        <f>-$H$8</f>
        <v>-60000</v>
      </c>
      <c r="F38" s="41">
        <f>-$H$8</f>
        <v>-60000</v>
      </c>
      <c r="G38" s="41">
        <f>-$H$8</f>
        <v>-60000</v>
      </c>
      <c r="H38" s="41">
        <f>-$H$8</f>
        <v>-60000</v>
      </c>
    </row>
    <row r="39" spans="1:8">
      <c r="A39" s="1" t="s">
        <v>76</v>
      </c>
      <c r="D39" s="40">
        <f>-$H$5/$H$11</f>
        <v>-10000000</v>
      </c>
      <c r="E39" s="40">
        <f>-$H$5/$H$11</f>
        <v>-10000000</v>
      </c>
      <c r="F39" s="40">
        <f>-$H$5/$H$11</f>
        <v>-10000000</v>
      </c>
      <c r="G39" s="40">
        <f>-$H$5/$H$11</f>
        <v>-10000000</v>
      </c>
      <c r="H39" s="40">
        <f>-$H$5/$H$11</f>
        <v>-10000000</v>
      </c>
    </row>
    <row r="40" spans="1:8">
      <c r="A40" s="1" t="s">
        <v>77</v>
      </c>
      <c r="D40" s="40">
        <v>-300000</v>
      </c>
      <c r="E40" s="40">
        <v>-300000</v>
      </c>
      <c r="F40" s="40">
        <v>-300000</v>
      </c>
      <c r="G40" s="40">
        <v>-300000</v>
      </c>
      <c r="H40" s="40">
        <v>-300000</v>
      </c>
    </row>
    <row r="41" spans="1:8">
      <c r="A41" s="1" t="s">
        <v>78</v>
      </c>
      <c r="D41" s="35">
        <f>-$H$7*D32</f>
        <v>-360000</v>
      </c>
      <c r="E41" s="35">
        <f>-$H$7*E32</f>
        <v>-360000</v>
      </c>
      <c r="F41" s="35">
        <f>-$H$7*F32</f>
        <v>-360000</v>
      </c>
      <c r="G41" s="35">
        <f>-$H$7*G32</f>
        <v>-360000</v>
      </c>
      <c r="H41" s="35">
        <f>-$H$7*H32</f>
        <v>-360000</v>
      </c>
    </row>
    <row r="42" spans="1:8">
      <c r="A42" s="1" t="s">
        <v>79</v>
      </c>
      <c r="D42" s="42">
        <f>SUM(D35:D41)</f>
        <v>-26440000</v>
      </c>
      <c r="E42" s="42">
        <f>SUM(E35:E41)</f>
        <v>-26440000</v>
      </c>
      <c r="F42" s="42">
        <f>SUM(F35:F41)</f>
        <v>-26440000</v>
      </c>
      <c r="G42" s="42">
        <f>SUM(G35:G41)</f>
        <v>-26440000</v>
      </c>
      <c r="H42" s="42">
        <f>SUM(H35:H41)</f>
        <v>-26440000</v>
      </c>
    </row>
    <row r="43" spans="4:8">
      <c r="D43" s="42"/>
      <c r="E43" s="42"/>
      <c r="F43" s="42"/>
      <c r="G43" s="42"/>
      <c r="H43" s="42"/>
    </row>
    <row r="44" spans="1:8">
      <c r="A44" s="1" t="s">
        <v>80</v>
      </c>
      <c r="D44" s="40">
        <f>D32+D42</f>
        <v>9560000</v>
      </c>
      <c r="E44" s="40">
        <f>E32+E42</f>
        <v>9560000</v>
      </c>
      <c r="F44" s="40">
        <f>F32+F42</f>
        <v>9560000</v>
      </c>
      <c r="G44" s="40">
        <f>G32+G42</f>
        <v>9560000</v>
      </c>
      <c r="H44" s="40">
        <f>H32+H42</f>
        <v>9560000</v>
      </c>
    </row>
    <row r="46" spans="1:8">
      <c r="A46" s="1" t="s">
        <v>81</v>
      </c>
      <c r="D46" s="35">
        <f>-$H$13*D44</f>
        <v>-2868000</v>
      </c>
      <c r="E46" s="35">
        <f>-$H$13*E44</f>
        <v>-2868000</v>
      </c>
      <c r="F46" s="35">
        <f>-$H$13*F44</f>
        <v>-2868000</v>
      </c>
      <c r="G46" s="35">
        <f>-$H$13*G44</f>
        <v>-2868000</v>
      </c>
      <c r="H46" s="35">
        <f>-$H$13*H44</f>
        <v>-2868000</v>
      </c>
    </row>
    <row r="47" spans="4:8">
      <c r="D47" s="42"/>
      <c r="E47" s="42"/>
      <c r="F47" s="42"/>
      <c r="G47" s="42"/>
      <c r="H47" s="42"/>
    </row>
    <row r="48" spans="1:8">
      <c r="A48" s="1" t="s">
        <v>82</v>
      </c>
      <c r="D48" s="40">
        <f>D44+D46</f>
        <v>6692000</v>
      </c>
      <c r="E48" s="40">
        <f>E44+E46</f>
        <v>6692000</v>
      </c>
      <c r="F48" s="40">
        <f>F44+F46</f>
        <v>6692000</v>
      </c>
      <c r="G48" s="40">
        <f>G44+G46</f>
        <v>6692000</v>
      </c>
      <c r="H48" s="40">
        <f>H44+H46</f>
        <v>6692000</v>
      </c>
    </row>
    <row r="49" spans="4:8">
      <c r="D49" s="40"/>
      <c r="E49" s="40"/>
      <c r="F49" s="40"/>
      <c r="G49" s="40"/>
      <c r="H49" s="40"/>
    </row>
    <row r="50" spans="1:1">
      <c r="A50" s="1" t="s">
        <v>83</v>
      </c>
    </row>
    <row r="51" spans="1:8">
      <c r="A51" s="1" t="s">
        <v>84</v>
      </c>
      <c r="D51" s="40">
        <f>-D39</f>
        <v>10000000</v>
      </c>
      <c r="E51" s="40">
        <f>-E39</f>
        <v>10000000</v>
      </c>
      <c r="F51" s="40">
        <f>-F39</f>
        <v>10000000</v>
      </c>
      <c r="G51" s="40">
        <f>-G39</f>
        <v>10000000</v>
      </c>
      <c r="H51" s="40">
        <f>-H39</f>
        <v>10000000</v>
      </c>
    </row>
    <row r="52" spans="1:8">
      <c r="A52" s="1" t="s">
        <v>85</v>
      </c>
      <c r="D52" s="43">
        <f>-$H$14</f>
        <v>-800000</v>
      </c>
      <c r="E52" s="43">
        <f>-$H$14</f>
        <v>-800000</v>
      </c>
      <c r="F52" s="43">
        <f>-$H$14</f>
        <v>-800000</v>
      </c>
      <c r="G52" s="43">
        <f>-$H$14</f>
        <v>-800000</v>
      </c>
      <c r="H52" s="43">
        <f>-$H$14</f>
        <v>-800000</v>
      </c>
    </row>
    <row r="53" spans="1:8">
      <c r="A53" s="1" t="s">
        <v>86</v>
      </c>
      <c r="D53" s="40">
        <f>D48+D51+D52</f>
        <v>15892000</v>
      </c>
      <c r="E53" s="40">
        <f>E48+E51+E52</f>
        <v>15892000</v>
      </c>
      <c r="F53" s="40">
        <f>F48+F51+F52</f>
        <v>15892000</v>
      </c>
      <c r="G53" s="40">
        <f>G48+G51+G52</f>
        <v>15892000</v>
      </c>
      <c r="H53" s="40">
        <f>H48+H51+H52</f>
        <v>15892000</v>
      </c>
    </row>
    <row r="55" spans="1:8">
      <c r="A55" s="44" t="s">
        <v>87</v>
      </c>
      <c r="B55" s="44"/>
      <c r="C55" s="45">
        <f>C18+C29+C53</f>
        <v>-54240109.5890411</v>
      </c>
      <c r="D55" s="45">
        <f>D19+D29+D53</f>
        <v>15892000</v>
      </c>
      <c r="E55" s="45">
        <f>E19+E29+E53</f>
        <v>15892000</v>
      </c>
      <c r="F55" s="45">
        <f>F19+F29+F53</f>
        <v>15892000</v>
      </c>
      <c r="G55" s="45">
        <f>G19+G29+G53</f>
        <v>15892000</v>
      </c>
      <c r="H55" s="45">
        <f>H21+H29+H53</f>
        <v>22932109.5890411</v>
      </c>
    </row>
    <row r="57" ht="14.4" spans="1:8">
      <c r="A57" s="1" t="s">
        <v>88</v>
      </c>
      <c r="C57" s="39">
        <f t="shared" ref="C57:H57" si="1">C55/(1+$H$12)^C16</f>
        <v>-54240109.5890411</v>
      </c>
      <c r="D57" s="39">
        <f t="shared" si="1"/>
        <v>13445008.4602369</v>
      </c>
      <c r="E57" s="39">
        <f t="shared" si="1"/>
        <v>11374795.6516387</v>
      </c>
      <c r="F57" s="39">
        <f t="shared" si="1"/>
        <v>9623346.5749904</v>
      </c>
      <c r="G57" s="39">
        <f t="shared" si="1"/>
        <v>8141579.16665855</v>
      </c>
      <c r="H57" s="39">
        <f t="shared" si="1"/>
        <v>9939318.91780025</v>
      </c>
    </row>
    <row r="58" ht="13.95"/>
    <row r="59" spans="1:3">
      <c r="A59" s="46" t="s">
        <v>89</v>
      </c>
      <c r="B59" s="47"/>
      <c r="C59" s="48">
        <f>NPV($H$12,D55:H55)+C55</f>
        <v>-1716060.81771635</v>
      </c>
    </row>
    <row r="60" spans="1:3">
      <c r="A60" s="49" t="s">
        <v>90</v>
      </c>
      <c r="B60" s="50"/>
      <c r="C60" s="51">
        <f>IRR(C55:H55)</f>
        <v>0.168587051033778</v>
      </c>
    </row>
    <row r="61" spans="1:3">
      <c r="A61" s="49" t="s">
        <v>91</v>
      </c>
      <c r="B61" s="50"/>
      <c r="C61" s="52">
        <f>IF(D55&gt;ABS(C55),0+ABS(C55)/D55,IF(SUM(D55:E55)&gt;ABS(C55),1+(ABS(C55)-D55)/E55,IF(SUM(D55:F55)&gt;ABS(C55),2+(ABS(C55)-SUM(D55+E55)/F55),IF(SUM(D55:G55)&gt;ABS(C55),3+(ABS(C55)-SUM(D55:F55))/G55,IF(SUM(D55:H55)&gt;ABS(C55),4+(ABS(C55)-SUM(D55:G55))/H55)))))</f>
        <v>3.41304490240631</v>
      </c>
    </row>
    <row r="62" spans="1:3">
      <c r="A62" s="49" t="s">
        <v>92</v>
      </c>
      <c r="B62" s="50"/>
      <c r="C62" s="53" t="b">
        <f>IF(D57&gt;ABS(C57),0+ABS(C57)/D57,IF(SUM(D57:E57)&gt;ABS(C57),1+(ABS(C57)-D57)/E57,IF(SUM(D57:F57)&gt;ABS(C57),2+(ABS(C57)-SUM(D57+E57)/F57),IF(SUM(D57:G57)&gt;ABS(C57),3+(ABS(C57)-SUM(D57:F57))/G57,IF(SUM(D57:H57)&gt;ABS(C57),4+(ABS(C57)-SUM(D57:G57))/H57)))))</f>
        <v>0</v>
      </c>
    </row>
    <row r="63" ht="13.95" spans="1:3">
      <c r="A63" s="54" t="s">
        <v>93</v>
      </c>
      <c r="B63" s="55"/>
      <c r="C63" s="56">
        <f>NPV($H$12,D55:H55)/-C55</f>
        <v>0.968361774511181</v>
      </c>
    </row>
    <row r="65" spans="3:7">
      <c r="C65" s="40"/>
      <c r="D65" s="40"/>
      <c r="E65" s="40"/>
      <c r="F65" s="40"/>
      <c r="G65" s="40"/>
    </row>
  </sheetData>
  <mergeCells count="2">
    <mergeCell ref="E5:F5"/>
    <mergeCell ref="E6:F6"/>
  </mergeCells>
  <pageMargins left="0.75" right="0.75" top="1" bottom="1" header="0.5" footer="0.5"/>
  <pageSetup paperSize="1" scale="70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5"/>
  <sheetViews>
    <sheetView zoomScale="150" zoomScaleNormal="150" zoomScalePageLayoutView="150" workbookViewId="0">
      <selection activeCell="H27" sqref="H27"/>
    </sheetView>
  </sheetViews>
  <sheetFormatPr defaultColWidth="8.85185185185185" defaultRowHeight="13.2"/>
  <cols>
    <col min="1" max="1" width="41.1388888888889" style="1" customWidth="1"/>
    <col min="2" max="2" width="2.85185185185185" style="1" customWidth="1"/>
    <col min="3" max="8" width="13.712962962963" style="1" customWidth="1"/>
    <col min="9" max="9" width="2.28703703703704" style="1" customWidth="1"/>
    <col min="10" max="10" width="8.85185185185185" style="1" customWidth="1"/>
    <col min="11" max="16384" width="8.85185185185185" style="1"/>
  </cols>
  <sheetData>
    <row r="1" ht="15.6" spans="1:2">
      <c r="A1" s="2" t="s">
        <v>39</v>
      </c>
      <c r="B1" s="2"/>
    </row>
    <row r="2" ht="15" spans="1:2">
      <c r="A2" s="3"/>
      <c r="B2" s="3"/>
    </row>
    <row r="3" ht="15.6" spans="1:2">
      <c r="A3" s="2" t="s">
        <v>94</v>
      </c>
      <c r="B3" s="2"/>
    </row>
    <row r="4" ht="13.95"/>
    <row r="5" ht="14.4" spans="1:8">
      <c r="A5" s="4" t="s">
        <v>41</v>
      </c>
      <c r="B5" s="5"/>
      <c r="C5" s="6">
        <v>600000</v>
      </c>
      <c r="E5" s="7" t="s">
        <v>42</v>
      </c>
      <c r="F5" s="8"/>
      <c r="G5" s="5"/>
      <c r="H5" s="9">
        <v>50000000</v>
      </c>
    </row>
    <row r="6" ht="14.4" spans="1:8">
      <c r="A6" s="10" t="s">
        <v>43</v>
      </c>
      <c r="B6" s="11"/>
      <c r="C6" s="12">
        <v>0</v>
      </c>
      <c r="E6" s="13" t="s">
        <v>44</v>
      </c>
      <c r="F6" s="14"/>
      <c r="G6" s="11"/>
      <c r="H6" s="15">
        <v>4000000</v>
      </c>
    </row>
    <row r="7" ht="14.4" spans="1:8">
      <c r="A7" s="10" t="s">
        <v>45</v>
      </c>
      <c r="B7" s="11"/>
      <c r="C7" s="16">
        <v>5</v>
      </c>
      <c r="E7" s="10" t="s">
        <v>46</v>
      </c>
      <c r="F7" s="11"/>
      <c r="G7" s="11"/>
      <c r="H7" s="12">
        <v>0.01</v>
      </c>
    </row>
    <row r="8" ht="14.4" spans="1:8">
      <c r="A8" s="17" t="s">
        <v>47</v>
      </c>
      <c r="B8" s="18"/>
      <c r="C8" s="12">
        <v>0</v>
      </c>
      <c r="E8" s="10" t="s">
        <v>48</v>
      </c>
      <c r="F8" s="11"/>
      <c r="G8" s="11"/>
      <c r="H8" s="15">
        <v>60000</v>
      </c>
    </row>
    <row r="9" spans="1:8">
      <c r="A9" s="10" t="s">
        <v>49</v>
      </c>
      <c r="B9" s="11"/>
      <c r="C9" s="19">
        <v>1.8</v>
      </c>
      <c r="E9" s="17" t="s">
        <v>50</v>
      </c>
      <c r="F9" s="11"/>
      <c r="G9" s="11"/>
      <c r="H9" s="20">
        <v>45</v>
      </c>
    </row>
    <row r="10" ht="14.4" spans="1:8">
      <c r="A10" s="10" t="s">
        <v>51</v>
      </c>
      <c r="B10" s="11"/>
      <c r="C10" s="12">
        <v>0.05</v>
      </c>
      <c r="E10" s="17" t="s">
        <v>52</v>
      </c>
      <c r="F10" s="11"/>
      <c r="G10" s="11"/>
      <c r="H10" s="20">
        <v>36</v>
      </c>
    </row>
    <row r="11" spans="1:8">
      <c r="A11" s="10" t="s">
        <v>53</v>
      </c>
      <c r="B11" s="11"/>
      <c r="C11" s="16">
        <v>180000</v>
      </c>
      <c r="E11" s="17" t="s">
        <v>54</v>
      </c>
      <c r="F11" s="11"/>
      <c r="G11" s="11"/>
      <c r="H11" s="20">
        <v>5</v>
      </c>
    </row>
    <row r="12" ht="14.4" spans="1:8">
      <c r="A12" s="10" t="s">
        <v>55</v>
      </c>
      <c r="B12" s="11"/>
      <c r="C12" s="21">
        <v>0.05</v>
      </c>
      <c r="E12" s="13" t="s">
        <v>56</v>
      </c>
      <c r="F12" s="14"/>
      <c r="G12" s="11"/>
      <c r="H12" s="22">
        <v>0.182</v>
      </c>
    </row>
    <row r="13" ht="14.4" spans="1:8">
      <c r="A13" s="17" t="s">
        <v>57</v>
      </c>
      <c r="B13" s="18"/>
      <c r="C13" s="23">
        <v>50000</v>
      </c>
      <c r="E13" s="10" t="s">
        <v>58</v>
      </c>
      <c r="F13" s="11"/>
      <c r="G13" s="11"/>
      <c r="H13" s="24">
        <v>0.3</v>
      </c>
    </row>
    <row r="14" ht="15.15" spans="1:8">
      <c r="A14" s="25" t="s">
        <v>59</v>
      </c>
      <c r="B14" s="26"/>
      <c r="C14" s="27">
        <v>0.05</v>
      </c>
      <c r="E14" s="28" t="s">
        <v>60</v>
      </c>
      <c r="F14" s="26"/>
      <c r="G14" s="26"/>
      <c r="H14" s="29">
        <v>800000</v>
      </c>
    </row>
    <row r="16" ht="13.95" spans="1:8">
      <c r="A16" s="30" t="s">
        <v>61</v>
      </c>
      <c r="B16" s="30"/>
      <c r="C16" s="30">
        <v>0</v>
      </c>
      <c r="D16" s="30">
        <v>1</v>
      </c>
      <c r="E16" s="30">
        <v>2</v>
      </c>
      <c r="F16" s="30">
        <v>3</v>
      </c>
      <c r="G16" s="30">
        <v>4</v>
      </c>
      <c r="H16" s="30">
        <v>5</v>
      </c>
    </row>
    <row r="17" spans="1:8">
      <c r="A17" s="31"/>
      <c r="B17" s="31"/>
      <c r="C17" s="31"/>
      <c r="D17" s="31"/>
      <c r="E17" s="31"/>
      <c r="F17" s="31"/>
      <c r="G17" s="31"/>
      <c r="H17" s="31"/>
    </row>
    <row r="18" spans="1:8">
      <c r="A18" s="32" t="s">
        <v>42</v>
      </c>
      <c r="B18" s="32"/>
      <c r="C18" s="33">
        <f>-$H$5</f>
        <v>-50000000</v>
      </c>
      <c r="D18" s="31"/>
      <c r="E18" s="31"/>
      <c r="F18" s="31"/>
      <c r="G18" s="31"/>
      <c r="H18" s="31"/>
    </row>
    <row r="19" spans="1:8">
      <c r="A19" s="14" t="s">
        <v>44</v>
      </c>
      <c r="B19" s="14"/>
      <c r="C19" s="14"/>
      <c r="D19" s="31"/>
      <c r="E19" s="31"/>
      <c r="F19" s="31"/>
      <c r="G19" s="31"/>
      <c r="H19" s="33">
        <f>$H$6</f>
        <v>4000000</v>
      </c>
    </row>
    <row r="20" spans="1:8">
      <c r="A20" s="34" t="s">
        <v>62</v>
      </c>
      <c r="B20" s="34"/>
      <c r="C20" s="14"/>
      <c r="D20" s="31"/>
      <c r="E20" s="31"/>
      <c r="F20" s="31"/>
      <c r="G20" s="31"/>
      <c r="H20" s="35">
        <f>-H13*H19</f>
        <v>-1200000</v>
      </c>
    </row>
    <row r="21" spans="1:8">
      <c r="A21" s="34" t="s">
        <v>63</v>
      </c>
      <c r="B21" s="34"/>
      <c r="C21" s="14"/>
      <c r="D21" s="31"/>
      <c r="E21" s="31"/>
      <c r="F21" s="31"/>
      <c r="G21" s="31"/>
      <c r="H21" s="33">
        <f>H19+H20</f>
        <v>2800000</v>
      </c>
    </row>
    <row r="22" spans="1:8">
      <c r="A22" s="14"/>
      <c r="B22" s="14"/>
      <c r="C22" s="14"/>
      <c r="D22" s="31"/>
      <c r="E22" s="31"/>
      <c r="F22" s="31"/>
      <c r="G22" s="31"/>
      <c r="H22" s="33"/>
    </row>
    <row r="23" spans="1:8">
      <c r="A23" s="1" t="s">
        <v>64</v>
      </c>
      <c r="C23" s="14"/>
      <c r="D23" s="31"/>
      <c r="E23" s="31"/>
      <c r="F23" s="31"/>
      <c r="G23" s="31"/>
      <c r="H23" s="33"/>
    </row>
    <row r="24" ht="14.4" spans="1:8">
      <c r="A24" s="1" t="s">
        <v>65</v>
      </c>
      <c r="C24" s="36">
        <f>(($C$5*12*(1+$C$6)^C16)*($C$7*(1+$C$8)^C16))/365*$H$9</f>
        <v>4438356.16438356</v>
      </c>
      <c r="D24" s="36">
        <f>(($C$5*12*(1+$C$6)^D16)*($C$7*(1+$C$8)^D16))/365*$H$9</f>
        <v>4438356.16438356</v>
      </c>
      <c r="E24" s="36">
        <f>(($C$5*12*(1+$C$6)^E16)*($C$7*(1+$C$8)^E16))/365*$H$9</f>
        <v>4438356.16438356</v>
      </c>
      <c r="F24" s="36">
        <f>(($C$5*12*(1+$C$6)^F16)*($C$7*(1+$C$8)^F16))/365*$H$9</f>
        <v>4438356.16438356</v>
      </c>
      <c r="G24" s="36">
        <f>(($C$5*12*(1+$C$6)^G16)*($C$7*(1+$C$8)^G16))/365*$H$9</f>
        <v>4438356.16438356</v>
      </c>
      <c r="H24" s="33"/>
    </row>
    <row r="25" ht="14.4" spans="1:8">
      <c r="A25" s="1" t="s">
        <v>66</v>
      </c>
      <c r="C25" s="36">
        <f>($C$5*(1+$C$6)^C16)*($C$9*(1+$C$10)^C16)</f>
        <v>1080000</v>
      </c>
      <c r="D25" s="36">
        <f>($C$5*(1+$C$6)^D16)*($C$9*(1+$C$10)^D16)</f>
        <v>1134000</v>
      </c>
      <c r="E25" s="36">
        <f>($C$5*(1+$C$6)^E16)*($C$9*(1+$C$10)^E16)</f>
        <v>1190700</v>
      </c>
      <c r="F25" s="36">
        <f>($C$5*(1+$C$6)^F16)*($C$9*(1+$C$10)^F16)</f>
        <v>1250235</v>
      </c>
      <c r="G25" s="36">
        <f>($C$5*(1+$C$6)^G16)*($C$9*(1+$C$10)^G16)</f>
        <v>1312746.75</v>
      </c>
      <c r="H25" s="33"/>
    </row>
    <row r="26" ht="14.4" spans="1:8">
      <c r="A26" s="1" t="s">
        <v>67</v>
      </c>
      <c r="C26" s="37">
        <f>-((($C$5*(1+$C$6)^C16)*12*($C$9*(1+$C$10)^C16))/365)*$H$10</f>
        <v>-1278246.57534247</v>
      </c>
      <c r="D26" s="37">
        <f>-((($C$5*(1+$C$6)^D16)*12*($C$9*(1+$C$10)^D16))/365)*$H$10</f>
        <v>-1342158.90410959</v>
      </c>
      <c r="E26" s="37">
        <f>-((($C$5*(1+$C$6)^E16)*12*($C$9*(1+$C$10)^E16))/365)*$H$10</f>
        <v>-1409266.84931507</v>
      </c>
      <c r="F26" s="37">
        <f>-((($C$5*(1+$C$6)^F16)*12*($C$9*(1+$C$10)^F16))/365)*$H$10</f>
        <v>-1479730.19178082</v>
      </c>
      <c r="G26" s="37">
        <f>-((($C$5*(1+$C$6)^G16)*12*($C$9*(1+$C$10)^G16))/365)*$H$10</f>
        <v>-1553716.70136986</v>
      </c>
      <c r="H26" s="35"/>
    </row>
    <row r="27" spans="3:8">
      <c r="C27" s="38">
        <f t="shared" ref="C27:H27" si="0">SUM(C24:C26)</f>
        <v>4240109.5890411</v>
      </c>
      <c r="D27" s="38">
        <f t="shared" si="0"/>
        <v>4230197.26027397</v>
      </c>
      <c r="E27" s="38">
        <f t="shared" si="0"/>
        <v>4219789.31506849</v>
      </c>
      <c r="F27" s="38">
        <f t="shared" si="0"/>
        <v>4208860.97260274</v>
      </c>
      <c r="G27" s="38">
        <f t="shared" si="0"/>
        <v>4197386.2130137</v>
      </c>
      <c r="H27" s="38">
        <f t="shared" si="0"/>
        <v>0</v>
      </c>
    </row>
    <row r="28" spans="3:8">
      <c r="C28" s="38"/>
      <c r="D28" s="38"/>
      <c r="E28" s="38"/>
      <c r="F28" s="38"/>
      <c r="G28" s="38"/>
      <c r="H28" s="38"/>
    </row>
    <row r="29" spans="1:8">
      <c r="A29" s="1" t="s">
        <v>68</v>
      </c>
      <c r="C29" s="38">
        <f>A27-C27</f>
        <v>-4240109.5890411</v>
      </c>
      <c r="D29" s="38">
        <f>C27-D27</f>
        <v>9912.3287671227</v>
      </c>
      <c r="E29" s="38">
        <f>D27-E27</f>
        <v>10407.9452054799</v>
      </c>
      <c r="F29" s="38">
        <f>E27-F27</f>
        <v>10928.3424657537</v>
      </c>
      <c r="G29" s="38">
        <f>F27-G27</f>
        <v>11474.7595890416</v>
      </c>
      <c r="H29" s="38">
        <f>G27-H27</f>
        <v>4197386.2130137</v>
      </c>
    </row>
    <row r="31" ht="14.4" spans="1:8">
      <c r="A31" s="1" t="s">
        <v>69</v>
      </c>
      <c r="D31" s="39">
        <f>$C$5*12*(1+$C$6)^C16</f>
        <v>7200000</v>
      </c>
      <c r="E31" s="39">
        <f>$C$5*12*(1+$C$6)^D16</f>
        <v>7200000</v>
      </c>
      <c r="F31" s="39">
        <f>$C$5*12*(1+$C$6)^E16</f>
        <v>7200000</v>
      </c>
      <c r="G31" s="39">
        <f>$C$5*12*(1+$C$6)^F16</f>
        <v>7200000</v>
      </c>
      <c r="H31" s="39">
        <f>$C$5*12*(1+$C$6)^G16</f>
        <v>7200000</v>
      </c>
    </row>
    <row r="32" spans="1:9">
      <c r="A32" s="1" t="s">
        <v>70</v>
      </c>
      <c r="D32" s="40">
        <f>D31*$C$7*(1+$C$8)^C16</f>
        <v>36000000</v>
      </c>
      <c r="E32" s="40">
        <f>E31*$C$7*(1+$C$8)^D16</f>
        <v>36000000</v>
      </c>
      <c r="F32" s="40">
        <f>F31*$C$7*(1+$C$8)^E16</f>
        <v>36000000</v>
      </c>
      <c r="G32" s="40">
        <f>G31*$C$7*(1+$C$8)^F16</f>
        <v>36000000</v>
      </c>
      <c r="H32" s="40">
        <f>H31*$C$7*(1+$C$8)^G16</f>
        <v>36000000</v>
      </c>
      <c r="I32" s="57"/>
    </row>
    <row r="34" spans="1:1">
      <c r="A34" s="1" t="s">
        <v>71</v>
      </c>
    </row>
    <row r="35" ht="14.4" spans="1:8">
      <c r="A35" s="1" t="s">
        <v>72</v>
      </c>
      <c r="D35" s="39">
        <f>-(D31*$C$9)*(1+$C$10)^C16</f>
        <v>-12960000</v>
      </c>
      <c r="E35" s="39">
        <f>-(E31*$C$9)*(1+$C$10)^D16</f>
        <v>-13608000</v>
      </c>
      <c r="F35" s="39">
        <f>-(F31*$C$9)*(1+$C$10)^E16</f>
        <v>-14288400</v>
      </c>
      <c r="G35" s="39">
        <f>-(G31*$C$9)*(1+$C$10)^F16</f>
        <v>-15002820</v>
      </c>
      <c r="H35" s="39">
        <f>-(H31*$C$9)*(1+$C$10)^G16</f>
        <v>-15752961</v>
      </c>
    </row>
    <row r="36" ht="14.4" spans="1:8">
      <c r="A36" s="1" t="s">
        <v>73</v>
      </c>
      <c r="D36" s="39">
        <f>-$C$11*12*(1+$C$12)^C16</f>
        <v>-2160000</v>
      </c>
      <c r="E36" s="39">
        <f>-$C$11*12*(1+$C$12)^D16</f>
        <v>-2268000</v>
      </c>
      <c r="F36" s="39">
        <f>-$C$11*12*(1+$C$12)^E16</f>
        <v>-2381400</v>
      </c>
      <c r="G36" s="39">
        <f>-$C$11*12*(1+$C$12)^F16</f>
        <v>-2500470</v>
      </c>
      <c r="H36" s="39">
        <f>-$C$11*12*(1+$C$12)^G16</f>
        <v>-2625493.5</v>
      </c>
    </row>
    <row r="37" ht="14.4" spans="1:8">
      <c r="A37" s="1" t="s">
        <v>74</v>
      </c>
      <c r="D37" s="39">
        <f>-$C$13*12*(1+$C$14)^C16</f>
        <v>-600000</v>
      </c>
      <c r="E37" s="39">
        <f>-$C$13*12*(1+$C$14)^D16</f>
        <v>-630000</v>
      </c>
      <c r="F37" s="39">
        <f>-$C$13*12*(1+$C$14)^E16</f>
        <v>-661500</v>
      </c>
      <c r="G37" s="39">
        <f>-$C$13*12*(1+$C$14)^F16</f>
        <v>-694575</v>
      </c>
      <c r="H37" s="39">
        <f>-$C$13*12*(1+$C$14)^G16</f>
        <v>-729303.75</v>
      </c>
    </row>
    <row r="38" spans="1:8">
      <c r="A38" s="1" t="s">
        <v>75</v>
      </c>
      <c r="D38" s="41">
        <f>-$H$8</f>
        <v>-60000</v>
      </c>
      <c r="E38" s="41">
        <f>-$H$8</f>
        <v>-60000</v>
      </c>
      <c r="F38" s="41">
        <f>-$H$8</f>
        <v>-60000</v>
      </c>
      <c r="G38" s="41">
        <f>-$H$8</f>
        <v>-60000</v>
      </c>
      <c r="H38" s="41">
        <f>-$H$8</f>
        <v>-60000</v>
      </c>
    </row>
    <row r="39" spans="1:8">
      <c r="A39" s="1" t="s">
        <v>76</v>
      </c>
      <c r="D39" s="40">
        <f>-$H$5/$H$11</f>
        <v>-10000000</v>
      </c>
      <c r="E39" s="40">
        <f>-$H$5/$H$11</f>
        <v>-10000000</v>
      </c>
      <c r="F39" s="40">
        <f>-$H$5/$H$11</f>
        <v>-10000000</v>
      </c>
      <c r="G39" s="40">
        <f>-$H$5/$H$11</f>
        <v>-10000000</v>
      </c>
      <c r="H39" s="40">
        <f>-$H$5/$H$11</f>
        <v>-10000000</v>
      </c>
    </row>
    <row r="40" spans="1:8">
      <c r="A40" s="1" t="s">
        <v>77</v>
      </c>
      <c r="D40" s="40">
        <v>-300000</v>
      </c>
      <c r="E40" s="40">
        <v>-300000</v>
      </c>
      <c r="F40" s="40">
        <v>-300000</v>
      </c>
      <c r="G40" s="40">
        <v>-300000</v>
      </c>
      <c r="H40" s="40">
        <v>-300000</v>
      </c>
    </row>
    <row r="41" spans="1:8">
      <c r="A41" s="1" t="s">
        <v>78</v>
      </c>
      <c r="D41" s="35">
        <f>-$H$7*D32</f>
        <v>-360000</v>
      </c>
      <c r="E41" s="35">
        <f>-$H$7*E32</f>
        <v>-360000</v>
      </c>
      <c r="F41" s="35">
        <f>-$H$7*F32</f>
        <v>-360000</v>
      </c>
      <c r="G41" s="35">
        <f>-$H$7*G32</f>
        <v>-360000</v>
      </c>
      <c r="H41" s="35">
        <f>-$H$7*H32</f>
        <v>-360000</v>
      </c>
    </row>
    <row r="42" spans="1:8">
      <c r="A42" s="1" t="s">
        <v>79</v>
      </c>
      <c r="D42" s="42">
        <f>SUM(D35:D41)</f>
        <v>-26440000</v>
      </c>
      <c r="E42" s="42">
        <f>SUM(E35:E41)</f>
        <v>-27226000</v>
      </c>
      <c r="F42" s="42">
        <f>SUM(F35:F41)</f>
        <v>-28051300</v>
      </c>
      <c r="G42" s="42">
        <f>SUM(G35:G41)</f>
        <v>-28917865</v>
      </c>
      <c r="H42" s="42">
        <f>SUM(H35:H41)</f>
        <v>-29827758.25</v>
      </c>
    </row>
    <row r="43" spans="4:8">
      <c r="D43" s="42"/>
      <c r="E43" s="42"/>
      <c r="F43" s="42"/>
      <c r="G43" s="42"/>
      <c r="H43" s="42"/>
    </row>
    <row r="44" spans="1:8">
      <c r="A44" s="1" t="s">
        <v>80</v>
      </c>
      <c r="D44" s="40">
        <f>D32+D42</f>
        <v>9560000</v>
      </c>
      <c r="E44" s="40">
        <f>E32+E42</f>
        <v>8774000</v>
      </c>
      <c r="F44" s="40">
        <f>F32+F42</f>
        <v>7948700</v>
      </c>
      <c r="G44" s="40">
        <f>G32+G42</f>
        <v>7082135</v>
      </c>
      <c r="H44" s="40">
        <f>H32+H42</f>
        <v>6172241.75</v>
      </c>
    </row>
    <row r="46" spans="1:8">
      <c r="A46" s="1" t="s">
        <v>81</v>
      </c>
      <c r="D46" s="35">
        <f>-$H$13*D44</f>
        <v>-2868000</v>
      </c>
      <c r="E46" s="35">
        <f>-$H$13*E44</f>
        <v>-2632200</v>
      </c>
      <c r="F46" s="35">
        <f>-$H$13*F44</f>
        <v>-2384610</v>
      </c>
      <c r="G46" s="35">
        <f>-$H$13*G44</f>
        <v>-2124640.5</v>
      </c>
      <c r="H46" s="35">
        <f>-$H$13*H44</f>
        <v>-1851672.525</v>
      </c>
    </row>
    <row r="47" spans="4:8">
      <c r="D47" s="42"/>
      <c r="E47" s="42"/>
      <c r="F47" s="42"/>
      <c r="G47" s="42"/>
      <c r="H47" s="42"/>
    </row>
    <row r="48" spans="1:8">
      <c r="A48" s="1" t="s">
        <v>82</v>
      </c>
      <c r="D48" s="40">
        <f>D44+D46</f>
        <v>6692000</v>
      </c>
      <c r="E48" s="40">
        <f>E44+E46</f>
        <v>6141800</v>
      </c>
      <c r="F48" s="40">
        <f>F44+F46</f>
        <v>5564090</v>
      </c>
      <c r="G48" s="40">
        <f>G44+G46</f>
        <v>4957494.5</v>
      </c>
      <c r="H48" s="40">
        <f>H44+H46</f>
        <v>4320569.225</v>
      </c>
    </row>
    <row r="49" spans="4:8">
      <c r="D49" s="40"/>
      <c r="E49" s="40"/>
      <c r="F49" s="40"/>
      <c r="G49" s="40"/>
      <c r="H49" s="40"/>
    </row>
    <row r="50" spans="1:1">
      <c r="A50" s="1" t="s">
        <v>83</v>
      </c>
    </row>
    <row r="51" spans="1:8">
      <c r="A51" s="1" t="s">
        <v>84</v>
      </c>
      <c r="D51" s="40">
        <f>-D39</f>
        <v>10000000</v>
      </c>
      <c r="E51" s="40">
        <f>-E39</f>
        <v>10000000</v>
      </c>
      <c r="F51" s="40">
        <f>-F39</f>
        <v>10000000</v>
      </c>
      <c r="G51" s="40">
        <f>-G39</f>
        <v>10000000</v>
      </c>
      <c r="H51" s="40">
        <f>-H39</f>
        <v>10000000</v>
      </c>
    </row>
    <row r="52" spans="1:8">
      <c r="A52" s="1" t="s">
        <v>85</v>
      </c>
      <c r="D52" s="43">
        <f>-$H$14</f>
        <v>-800000</v>
      </c>
      <c r="E52" s="43">
        <f>-$H$14</f>
        <v>-800000</v>
      </c>
      <c r="F52" s="43">
        <f>-$H$14</f>
        <v>-800000</v>
      </c>
      <c r="G52" s="43">
        <f>-$H$14</f>
        <v>-800000</v>
      </c>
      <c r="H52" s="43">
        <f>-$H$14</f>
        <v>-800000</v>
      </c>
    </row>
    <row r="53" spans="1:8">
      <c r="A53" s="1" t="s">
        <v>86</v>
      </c>
      <c r="D53" s="40">
        <f>D48+D51+D52</f>
        <v>15892000</v>
      </c>
      <c r="E53" s="40">
        <f>E48+E51+E52</f>
        <v>15341800</v>
      </c>
      <c r="F53" s="40">
        <f>F48+F51+F52</f>
        <v>14764090</v>
      </c>
      <c r="G53" s="40">
        <f>G48+G51+G52</f>
        <v>14157494.5</v>
      </c>
      <c r="H53" s="40">
        <f>H48+H51+H52</f>
        <v>13520569.225</v>
      </c>
    </row>
    <row r="55" spans="1:8">
      <c r="A55" s="44" t="s">
        <v>87</v>
      </c>
      <c r="B55" s="44"/>
      <c r="C55" s="45">
        <f>C18+C29+C53</f>
        <v>-54240109.5890411</v>
      </c>
      <c r="D55" s="45">
        <f>D19+D29+D53</f>
        <v>15901912.3287671</v>
      </c>
      <c r="E55" s="45">
        <f>E19+E29+E53</f>
        <v>15352207.9452055</v>
      </c>
      <c r="F55" s="45">
        <f>F19+F29+F53</f>
        <v>14775018.3424658</v>
      </c>
      <c r="G55" s="45">
        <f>G19+G29+G53</f>
        <v>14168969.259589</v>
      </c>
      <c r="H55" s="45">
        <f>H21+H29+H53</f>
        <v>20517955.4380137</v>
      </c>
    </row>
    <row r="57" ht="14.4" spans="1:8">
      <c r="A57" s="1" t="s">
        <v>88</v>
      </c>
      <c r="C57" s="39">
        <f t="shared" ref="C57:H57" si="1">C55/(1+$H$12)^C16</f>
        <v>-54240109.5890411</v>
      </c>
      <c r="D57" s="39">
        <f t="shared" si="1"/>
        <v>13453394.5251837</v>
      </c>
      <c r="E57" s="39">
        <f t="shared" si="1"/>
        <v>10988436.2055233</v>
      </c>
      <c r="F57" s="39">
        <f t="shared" si="1"/>
        <v>8946962.12946062</v>
      </c>
      <c r="G57" s="39">
        <f t="shared" si="1"/>
        <v>7258858.85583284</v>
      </c>
      <c r="H57" s="39">
        <f t="shared" si="1"/>
        <v>8892967.38478388</v>
      </c>
    </row>
    <row r="58" ht="13.95"/>
    <row r="59" spans="1:3">
      <c r="A59" s="46" t="s">
        <v>89</v>
      </c>
      <c r="B59" s="47"/>
      <c r="C59" s="48">
        <f>NPV($H$12,D55:H55)+C55</f>
        <v>-4699490.48825681</v>
      </c>
    </row>
    <row r="60" spans="1:3">
      <c r="A60" s="49" t="s">
        <v>90</v>
      </c>
      <c r="B60" s="50"/>
      <c r="C60" s="51">
        <f>IRR(C55:H55)</f>
        <v>0.144022735454689</v>
      </c>
    </row>
    <row r="61" spans="1:3">
      <c r="A61" s="49" t="s">
        <v>91</v>
      </c>
      <c r="B61" s="50"/>
      <c r="C61" s="52">
        <f>IF(D55&gt;ABS(C55),0+ABS(C55)/D55,IF(SUM(D55:E55)&gt;ABS(C55),1+(ABS(C55)-D55)/E55,IF(SUM(D55:F55)&gt;ABS(C55),2+(ABS(C55)-SUM(D55+E55)/F55),IF(SUM(D55:G55)&gt;ABS(C55),3+(ABS(C55)-SUM(D55:F55))/G55,IF(SUM(D55:H55)&gt;ABS(C55),4+(ABS(C55)-SUM(D55:G55))/H55)))))</f>
        <v>3.5795037608008</v>
      </c>
    </row>
    <row r="62" spans="1:3">
      <c r="A62" s="49" t="s">
        <v>92</v>
      </c>
      <c r="B62" s="50"/>
      <c r="C62" s="53" t="b">
        <f>IF(D57&gt;ABS(C57),0+ABS(C57)/D57,IF(SUM(D57:E57)&gt;ABS(C57),1+(ABS(C57)-D57)/E57,IF(SUM(D57:F57)&gt;ABS(C57),2+(ABS(C57)-SUM(D57+E57)/F57),IF(SUM(D57:G57)&gt;ABS(C57),3+(ABS(C57)-SUM(D57:F57))/G57,IF(SUM(D57:H57)&gt;ABS(C57),4+(ABS(C57)-SUM(D57:G57))/H57)))))</f>
        <v>0</v>
      </c>
    </row>
    <row r="63" ht="13.95" spans="1:3">
      <c r="A63" s="54" t="s">
        <v>93</v>
      </c>
      <c r="B63" s="55"/>
      <c r="C63" s="56">
        <f>NPV($H$12,D55:H55)/-C55</f>
        <v>0.913357651305219</v>
      </c>
    </row>
    <row r="65" spans="3:7">
      <c r="C65" s="40"/>
      <c r="D65" s="40"/>
      <c r="E65" s="40"/>
      <c r="F65" s="40"/>
      <c r="G65" s="40"/>
    </row>
  </sheetData>
  <mergeCells count="2">
    <mergeCell ref="E5:F5"/>
    <mergeCell ref="E6:F6"/>
  </mergeCells>
  <pageMargins left="0.75" right="0.75" top="1" bottom="1" header="0.5" footer="0.5"/>
  <pageSetup paperSize="1" scale="70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5"/>
  <sheetViews>
    <sheetView zoomScale="150" zoomScaleNormal="150" zoomScalePageLayoutView="150" workbookViewId="0">
      <selection activeCell="A1" sqref="A1"/>
    </sheetView>
  </sheetViews>
  <sheetFormatPr defaultColWidth="8.85185185185185" defaultRowHeight="13.2"/>
  <cols>
    <col min="1" max="1" width="41.1388888888889" style="1" customWidth="1"/>
    <col min="2" max="2" width="2.85185185185185" style="1" customWidth="1"/>
    <col min="3" max="8" width="13.712962962963" style="1" customWidth="1"/>
    <col min="9" max="9" width="2.28703703703704" style="1" customWidth="1"/>
    <col min="10" max="10" width="8.85185185185185" style="1" customWidth="1"/>
    <col min="11" max="16384" width="8.85185185185185" style="1"/>
  </cols>
  <sheetData>
    <row r="1" ht="15.6" spans="1:2">
      <c r="A1" s="2" t="s">
        <v>39</v>
      </c>
      <c r="B1" s="2"/>
    </row>
    <row r="2" ht="15" spans="1:2">
      <c r="A2" s="3"/>
      <c r="B2" s="3"/>
    </row>
    <row r="3" ht="15.6" spans="1:2">
      <c r="A3" s="2" t="s">
        <v>95</v>
      </c>
      <c r="B3" s="2"/>
    </row>
    <row r="4" ht="13.95"/>
    <row r="5" ht="14.4" spans="1:8">
      <c r="A5" s="4" t="s">
        <v>41</v>
      </c>
      <c r="B5" s="5"/>
      <c r="C5" s="6">
        <v>600000</v>
      </c>
      <c r="E5" s="7" t="s">
        <v>42</v>
      </c>
      <c r="F5" s="8"/>
      <c r="G5" s="5"/>
      <c r="H5" s="9">
        <v>50000000</v>
      </c>
    </row>
    <row r="6" ht="14.4" spans="1:8">
      <c r="A6" s="10" t="s">
        <v>43</v>
      </c>
      <c r="B6" s="11"/>
      <c r="C6" s="12">
        <v>-0.02</v>
      </c>
      <c r="E6" s="13" t="s">
        <v>44</v>
      </c>
      <c r="F6" s="14"/>
      <c r="G6" s="11"/>
      <c r="H6" s="15">
        <v>4000000</v>
      </c>
    </row>
    <row r="7" ht="14.4" spans="1:8">
      <c r="A7" s="10" t="s">
        <v>45</v>
      </c>
      <c r="B7" s="11"/>
      <c r="C7" s="16">
        <v>5</v>
      </c>
      <c r="E7" s="10" t="s">
        <v>46</v>
      </c>
      <c r="F7" s="11"/>
      <c r="G7" s="11"/>
      <c r="H7" s="12">
        <v>0.01</v>
      </c>
    </row>
    <row r="8" ht="14.4" spans="1:8">
      <c r="A8" s="17" t="s">
        <v>47</v>
      </c>
      <c r="B8" s="18"/>
      <c r="C8" s="12">
        <v>0.05</v>
      </c>
      <c r="E8" s="10" t="s">
        <v>48</v>
      </c>
      <c r="F8" s="11"/>
      <c r="G8" s="11"/>
      <c r="H8" s="15">
        <v>60000</v>
      </c>
    </row>
    <row r="9" spans="1:8">
      <c r="A9" s="10" t="s">
        <v>49</v>
      </c>
      <c r="B9" s="11"/>
      <c r="C9" s="19">
        <v>1.8</v>
      </c>
      <c r="E9" s="17" t="s">
        <v>50</v>
      </c>
      <c r="F9" s="11"/>
      <c r="G9" s="11"/>
      <c r="H9" s="20">
        <v>45</v>
      </c>
    </row>
    <row r="10" ht="14.4" spans="1:8">
      <c r="A10" s="10" t="s">
        <v>51</v>
      </c>
      <c r="B10" s="11"/>
      <c r="C10" s="12">
        <v>0.05</v>
      </c>
      <c r="E10" s="17" t="s">
        <v>52</v>
      </c>
      <c r="F10" s="11"/>
      <c r="G10" s="11"/>
      <c r="H10" s="20">
        <v>36</v>
      </c>
    </row>
    <row r="11" spans="1:8">
      <c r="A11" s="10" t="s">
        <v>53</v>
      </c>
      <c r="B11" s="11"/>
      <c r="C11" s="16">
        <v>180000</v>
      </c>
      <c r="E11" s="17" t="s">
        <v>54</v>
      </c>
      <c r="F11" s="11"/>
      <c r="G11" s="11"/>
      <c r="H11" s="20">
        <v>5</v>
      </c>
    </row>
    <row r="12" ht="14.4" spans="1:8">
      <c r="A12" s="10" t="s">
        <v>55</v>
      </c>
      <c r="B12" s="11"/>
      <c r="C12" s="21">
        <v>0.05</v>
      </c>
      <c r="E12" s="13" t="s">
        <v>56</v>
      </c>
      <c r="F12" s="14"/>
      <c r="G12" s="11"/>
      <c r="H12" s="22">
        <v>0.182</v>
      </c>
    </row>
    <row r="13" ht="14.4" spans="1:8">
      <c r="A13" s="17" t="s">
        <v>57</v>
      </c>
      <c r="B13" s="18"/>
      <c r="C13" s="23">
        <v>50000</v>
      </c>
      <c r="E13" s="10" t="s">
        <v>58</v>
      </c>
      <c r="F13" s="11"/>
      <c r="G13" s="11"/>
      <c r="H13" s="24">
        <v>0.3</v>
      </c>
    </row>
    <row r="14" ht="15.15" spans="1:8">
      <c r="A14" s="25" t="s">
        <v>59</v>
      </c>
      <c r="B14" s="26"/>
      <c r="C14" s="27">
        <v>0.05</v>
      </c>
      <c r="E14" s="28" t="s">
        <v>60</v>
      </c>
      <c r="F14" s="26"/>
      <c r="G14" s="26"/>
      <c r="H14" s="29">
        <v>800000</v>
      </c>
    </row>
    <row r="16" ht="13.95" spans="1:8">
      <c r="A16" s="30" t="s">
        <v>61</v>
      </c>
      <c r="B16" s="30"/>
      <c r="C16" s="30">
        <v>0</v>
      </c>
      <c r="D16" s="30">
        <v>1</v>
      </c>
      <c r="E16" s="30">
        <v>2</v>
      </c>
      <c r="F16" s="30">
        <v>3</v>
      </c>
      <c r="G16" s="30">
        <v>4</v>
      </c>
      <c r="H16" s="30">
        <v>5</v>
      </c>
    </row>
    <row r="17" spans="1:8">
      <c r="A17" s="31"/>
      <c r="B17" s="31"/>
      <c r="C17" s="31"/>
      <c r="D17" s="31"/>
      <c r="E17" s="31"/>
      <c r="F17" s="31"/>
      <c r="G17" s="31"/>
      <c r="H17" s="31"/>
    </row>
    <row r="18" spans="1:8">
      <c r="A18" s="32" t="s">
        <v>42</v>
      </c>
      <c r="B18" s="32"/>
      <c r="C18" s="33">
        <f>-$H$5</f>
        <v>-50000000</v>
      </c>
      <c r="D18" s="31"/>
      <c r="E18" s="31"/>
      <c r="F18" s="31"/>
      <c r="G18" s="31"/>
      <c r="H18" s="31"/>
    </row>
    <row r="19" spans="1:8">
      <c r="A19" s="14" t="s">
        <v>44</v>
      </c>
      <c r="B19" s="14"/>
      <c r="C19" s="14"/>
      <c r="D19" s="31"/>
      <c r="E19" s="31"/>
      <c r="F19" s="31"/>
      <c r="G19" s="31"/>
      <c r="H19" s="33">
        <f>$H$6</f>
        <v>4000000</v>
      </c>
    </row>
    <row r="20" spans="1:8">
      <c r="A20" s="34" t="s">
        <v>62</v>
      </c>
      <c r="B20" s="34"/>
      <c r="C20" s="14"/>
      <c r="D20" s="31"/>
      <c r="E20" s="31"/>
      <c r="F20" s="31"/>
      <c r="G20" s="31"/>
      <c r="H20" s="35">
        <f>-H13*H19</f>
        <v>-1200000</v>
      </c>
    </row>
    <row r="21" spans="1:8">
      <c r="A21" s="34" t="s">
        <v>63</v>
      </c>
      <c r="B21" s="34"/>
      <c r="C21" s="14"/>
      <c r="D21" s="31"/>
      <c r="E21" s="31"/>
      <c r="F21" s="31"/>
      <c r="G21" s="31"/>
      <c r="H21" s="33">
        <f>H19+H20</f>
        <v>2800000</v>
      </c>
    </row>
    <row r="22" spans="1:8">
      <c r="A22" s="14"/>
      <c r="B22" s="14"/>
      <c r="C22" s="14"/>
      <c r="D22" s="31"/>
      <c r="E22" s="31"/>
      <c r="F22" s="31"/>
      <c r="G22" s="31"/>
      <c r="H22" s="33"/>
    </row>
    <row r="23" spans="1:8">
      <c r="A23" s="1" t="s">
        <v>64</v>
      </c>
      <c r="C23" s="14"/>
      <c r="D23" s="31"/>
      <c r="E23" s="31"/>
      <c r="F23" s="31"/>
      <c r="G23" s="31"/>
      <c r="H23" s="33"/>
    </row>
    <row r="24" ht="14.4" spans="1:8">
      <c r="A24" s="1" t="s">
        <v>65</v>
      </c>
      <c r="C24" s="36">
        <f>(($C$5*12*(1+$C$6)^C16)*($C$7*(1+$C$8)^C16))/365*$H$9</f>
        <v>4438356.16438356</v>
      </c>
      <c r="D24" s="36">
        <f>(($C$5*12*(1+$C$6)^D16)*($C$7*(1+$C$8)^D16))/365*$H$9</f>
        <v>4567068.49315068</v>
      </c>
      <c r="E24" s="36">
        <f>(($C$5*12*(1+$C$6)^E16)*($C$7*(1+$C$8)^E16))/365*$H$9</f>
        <v>4699513.47945205</v>
      </c>
      <c r="F24" s="36">
        <f>(($C$5*12*(1+$C$6)^F16)*($C$7*(1+$C$8)^F16))/365*$H$9</f>
        <v>4835799.37035616</v>
      </c>
      <c r="G24" s="36">
        <f>(($C$5*12*(1+$C$6)^G16)*($C$7*(1+$C$8)^G16))/365*$H$9</f>
        <v>4976037.55209649</v>
      </c>
      <c r="H24" s="33"/>
    </row>
    <row r="25" ht="14.4" spans="1:8">
      <c r="A25" s="1" t="s">
        <v>66</v>
      </c>
      <c r="C25" s="36">
        <f>($C$5*(1+$C$6)^C16)*($C$9*(1+$C$10)^C16)</f>
        <v>1080000</v>
      </c>
      <c r="D25" s="36">
        <f>($C$5*(1+$C$6)^D16)*($C$9*(1+$C$10)^D16)</f>
        <v>1111320</v>
      </c>
      <c r="E25" s="36">
        <f>($C$5*(1+$C$6)^E16)*($C$9*(1+$C$10)^E16)</f>
        <v>1143548.28</v>
      </c>
      <c r="F25" s="36">
        <f>($C$5*(1+$C$6)^F16)*($C$9*(1+$C$10)^F16)</f>
        <v>1176711.18012</v>
      </c>
      <c r="G25" s="36">
        <f>($C$5*(1+$C$6)^G16)*($C$9*(1+$C$10)^G16)</f>
        <v>1210835.80434348</v>
      </c>
      <c r="H25" s="33"/>
    </row>
    <row r="26" ht="14.4" spans="1:8">
      <c r="A26" s="1" t="s">
        <v>67</v>
      </c>
      <c r="C26" s="37">
        <f>-((($C$5*(1+$C$6)^C16)*12*($C$9*(1+$C$10)^C16))/365)*$H$10</f>
        <v>-1278246.57534247</v>
      </c>
      <c r="D26" s="37">
        <f>-((($C$5*(1+$C$6)^D16)*12*($C$9*(1+$C$10)^D16))/365)*$H$10</f>
        <v>-1315315.7260274</v>
      </c>
      <c r="E26" s="37">
        <f>-((($C$5*(1+$C$6)^E16)*12*($C$9*(1+$C$10)^E16))/365)*$H$10</f>
        <v>-1353459.88208219</v>
      </c>
      <c r="F26" s="37">
        <f>-((($C$5*(1+$C$6)^F16)*12*($C$9*(1+$C$10)^F16))/365)*$H$10</f>
        <v>-1392710.21866258</v>
      </c>
      <c r="G26" s="37">
        <f>-((($C$5*(1+$C$6)^G16)*12*($C$9*(1+$C$10)^G16))/365)*$H$10</f>
        <v>-1433098.81500379</v>
      </c>
      <c r="H26" s="35"/>
    </row>
    <row r="27" spans="3:8">
      <c r="C27" s="38">
        <f t="shared" ref="C27:H27" si="0">SUM(C24:C26)</f>
        <v>4240109.5890411</v>
      </c>
      <c r="D27" s="38">
        <f t="shared" si="0"/>
        <v>4363072.76712329</v>
      </c>
      <c r="E27" s="38">
        <f t="shared" si="0"/>
        <v>4489601.87736986</v>
      </c>
      <c r="F27" s="38">
        <f t="shared" si="0"/>
        <v>4619800.33181359</v>
      </c>
      <c r="G27" s="38">
        <f t="shared" si="0"/>
        <v>4753774.54143618</v>
      </c>
      <c r="H27" s="38">
        <f t="shared" si="0"/>
        <v>0</v>
      </c>
    </row>
    <row r="28" spans="3:8">
      <c r="C28" s="38"/>
      <c r="D28" s="38"/>
      <c r="E28" s="38"/>
      <c r="F28" s="38"/>
      <c r="G28" s="38"/>
      <c r="H28" s="38"/>
    </row>
    <row r="29" spans="1:8">
      <c r="A29" s="1" t="s">
        <v>68</v>
      </c>
      <c r="C29" s="38">
        <f>A27-C27</f>
        <v>-4240109.5890411</v>
      </c>
      <c r="D29" s="38">
        <f>C27-D27</f>
        <v>-122963.178082192</v>
      </c>
      <c r="E29" s="38">
        <f>D27-E27</f>
        <v>-126529.110246575</v>
      </c>
      <c r="F29" s="38">
        <f>E27-F27</f>
        <v>-130198.454443727</v>
      </c>
      <c r="G29" s="38">
        <f>F27-G27</f>
        <v>-133974.209622595</v>
      </c>
      <c r="H29" s="38">
        <f>G27-H27</f>
        <v>4753774.54143618</v>
      </c>
    </row>
    <row r="31" ht="14.4" spans="1:8">
      <c r="A31" s="1" t="s">
        <v>69</v>
      </c>
      <c r="D31" s="39">
        <f>$C$5*12*(1+$C$6)^C16</f>
        <v>7200000</v>
      </c>
      <c r="E31" s="39">
        <f>$C$5*12*(1+$C$6)^D16</f>
        <v>7056000</v>
      </c>
      <c r="F31" s="39">
        <f>$C$5*12*(1+$C$6)^E16</f>
        <v>6914880</v>
      </c>
      <c r="G31" s="39">
        <f>$C$5*12*(1+$C$6)^F16</f>
        <v>6776582.4</v>
      </c>
      <c r="H31" s="39">
        <f>$C$5*12*(1+$C$6)^G16</f>
        <v>6641050.752</v>
      </c>
    </row>
    <row r="32" spans="1:9">
      <c r="A32" s="1" t="s">
        <v>70</v>
      </c>
      <c r="D32" s="40">
        <f>D31*$C$7*(1+$C$8)^C16</f>
        <v>36000000</v>
      </c>
      <c r="E32" s="40">
        <f>E31*$C$7*(1+$C$8)^D16</f>
        <v>37044000</v>
      </c>
      <c r="F32" s="40">
        <f>F31*$C$7*(1+$C$8)^E16</f>
        <v>38118276</v>
      </c>
      <c r="G32" s="40">
        <f>G31*$C$7*(1+$C$8)^F16</f>
        <v>39223706.004</v>
      </c>
      <c r="H32" s="40">
        <f>H31*$C$7*(1+$C$8)^G16</f>
        <v>40361193.478116</v>
      </c>
      <c r="I32" s="57"/>
    </row>
    <row r="34" spans="1:1">
      <c r="A34" s="1" t="s">
        <v>71</v>
      </c>
    </row>
    <row r="35" ht="14.4" spans="1:8">
      <c r="A35" s="1" t="s">
        <v>72</v>
      </c>
      <c r="D35" s="39">
        <f>-(D31*$C$9)*(1+$C$10)^C16</f>
        <v>-12960000</v>
      </c>
      <c r="E35" s="39">
        <f>-(E31*$C$9)*(1+$C$10)^D16</f>
        <v>-13335840</v>
      </c>
      <c r="F35" s="39">
        <f>-(F31*$C$9)*(1+$C$10)^E16</f>
        <v>-13722579.36</v>
      </c>
      <c r="G35" s="39">
        <f>-(G31*$C$9)*(1+$C$10)^F16</f>
        <v>-14120534.16144</v>
      </c>
      <c r="H35" s="39">
        <f>-(H31*$C$9)*(1+$C$10)^G16</f>
        <v>-14530029.6521218</v>
      </c>
    </row>
    <row r="36" ht="14.4" spans="1:8">
      <c r="A36" s="1" t="s">
        <v>73</v>
      </c>
      <c r="D36" s="39">
        <f>-$C$11*12*(1+$C$12)^C16</f>
        <v>-2160000</v>
      </c>
      <c r="E36" s="39">
        <f>-$C$11*12*(1+$C$12)^D16</f>
        <v>-2268000</v>
      </c>
      <c r="F36" s="39">
        <f>-$C$11*12*(1+$C$12)^E16</f>
        <v>-2381400</v>
      </c>
      <c r="G36" s="39">
        <f>-$C$11*12*(1+$C$12)^F16</f>
        <v>-2500470</v>
      </c>
      <c r="H36" s="39">
        <f>-$C$11*12*(1+$C$12)^G16</f>
        <v>-2625493.5</v>
      </c>
    </row>
    <row r="37" ht="14.4" spans="1:8">
      <c r="A37" s="1" t="s">
        <v>74</v>
      </c>
      <c r="D37" s="39">
        <f>-$C$13*12*(1+$C$14)^C16</f>
        <v>-600000</v>
      </c>
      <c r="E37" s="39">
        <f>-$C$13*12*(1+$C$14)^D16</f>
        <v>-630000</v>
      </c>
      <c r="F37" s="39">
        <f>-$C$13*12*(1+$C$14)^E16</f>
        <v>-661500</v>
      </c>
      <c r="G37" s="39">
        <f>-$C$13*12*(1+$C$14)^F16</f>
        <v>-694575</v>
      </c>
      <c r="H37" s="39">
        <f>-$C$13*12*(1+$C$14)^G16</f>
        <v>-729303.75</v>
      </c>
    </row>
    <row r="38" spans="1:8">
      <c r="A38" s="1" t="s">
        <v>75</v>
      </c>
      <c r="D38" s="41">
        <f>-$H$8</f>
        <v>-60000</v>
      </c>
      <c r="E38" s="41">
        <f>-$H$8</f>
        <v>-60000</v>
      </c>
      <c r="F38" s="41">
        <f>-$H$8</f>
        <v>-60000</v>
      </c>
      <c r="G38" s="41">
        <f>-$H$8</f>
        <v>-60000</v>
      </c>
      <c r="H38" s="41">
        <f>-$H$8</f>
        <v>-60000</v>
      </c>
    </row>
    <row r="39" spans="1:8">
      <c r="A39" s="1" t="s">
        <v>76</v>
      </c>
      <c r="D39" s="40">
        <f>-$H$5/$H$11</f>
        <v>-10000000</v>
      </c>
      <c r="E39" s="40">
        <f>-$H$5/$H$11</f>
        <v>-10000000</v>
      </c>
      <c r="F39" s="40">
        <f>-$H$5/$H$11</f>
        <v>-10000000</v>
      </c>
      <c r="G39" s="40">
        <f>-$H$5/$H$11</f>
        <v>-10000000</v>
      </c>
      <c r="H39" s="40">
        <f>-$H$5/$H$11</f>
        <v>-10000000</v>
      </c>
    </row>
    <row r="40" spans="1:8">
      <c r="A40" s="1" t="s">
        <v>77</v>
      </c>
      <c r="D40" s="40">
        <v>-300000</v>
      </c>
      <c r="E40" s="40">
        <v>-300000</v>
      </c>
      <c r="F40" s="40">
        <v>-300000</v>
      </c>
      <c r="G40" s="40">
        <v>-300000</v>
      </c>
      <c r="H40" s="40">
        <v>-300000</v>
      </c>
    </row>
    <row r="41" spans="1:8">
      <c r="A41" s="1" t="s">
        <v>78</v>
      </c>
      <c r="D41" s="35">
        <f>-$H$7*D32</f>
        <v>-360000</v>
      </c>
      <c r="E41" s="35">
        <f>-$H$7*E32</f>
        <v>-370440</v>
      </c>
      <c r="F41" s="35">
        <f>-$H$7*F32</f>
        <v>-381182.76</v>
      </c>
      <c r="G41" s="35">
        <f>-$H$7*G32</f>
        <v>-392237.06004</v>
      </c>
      <c r="H41" s="35">
        <f>-$H$7*H32</f>
        <v>-403611.93478116</v>
      </c>
    </row>
    <row r="42" spans="1:8">
      <c r="A42" s="1" t="s">
        <v>79</v>
      </c>
      <c r="D42" s="42">
        <f>SUM(D35:D41)</f>
        <v>-26440000</v>
      </c>
      <c r="E42" s="42">
        <f>SUM(E35:E41)</f>
        <v>-26964280</v>
      </c>
      <c r="F42" s="42">
        <f>SUM(F35:F41)</f>
        <v>-27506662.12</v>
      </c>
      <c r="G42" s="42">
        <f>SUM(G35:G41)</f>
        <v>-28067816.22148</v>
      </c>
      <c r="H42" s="42">
        <f>SUM(H35:H41)</f>
        <v>-28648438.8369029</v>
      </c>
    </row>
    <row r="43" spans="4:8">
      <c r="D43" s="42"/>
      <c r="E43" s="42"/>
      <c r="F43" s="42"/>
      <c r="G43" s="42"/>
      <c r="H43" s="42"/>
    </row>
    <row r="44" spans="1:8">
      <c r="A44" s="1" t="s">
        <v>80</v>
      </c>
      <c r="D44" s="40">
        <f>D32+D42</f>
        <v>9560000</v>
      </c>
      <c r="E44" s="40">
        <f>E32+E42</f>
        <v>10079720</v>
      </c>
      <c r="F44" s="40">
        <f>F32+F42</f>
        <v>10611613.88</v>
      </c>
      <c r="G44" s="40">
        <f>G32+G42</f>
        <v>11155889.78252</v>
      </c>
      <c r="H44" s="40">
        <f>H32+H42</f>
        <v>11712754.6412131</v>
      </c>
    </row>
    <row r="46" spans="1:8">
      <c r="A46" s="1" t="s">
        <v>81</v>
      </c>
      <c r="D46" s="35">
        <f>-$H$13*D44</f>
        <v>-2868000</v>
      </c>
      <c r="E46" s="35">
        <f>-$H$13*E44</f>
        <v>-3023916</v>
      </c>
      <c r="F46" s="35">
        <f>-$H$13*F44</f>
        <v>-3183484.164</v>
      </c>
      <c r="G46" s="35">
        <f>-$H$13*G44</f>
        <v>-3346766.934756</v>
      </c>
      <c r="H46" s="35">
        <f>-$H$13*H44</f>
        <v>-3513826.39236392</v>
      </c>
    </row>
    <row r="47" spans="4:8">
      <c r="D47" s="42"/>
      <c r="E47" s="42"/>
      <c r="F47" s="42"/>
      <c r="G47" s="42"/>
      <c r="H47" s="42"/>
    </row>
    <row r="48" spans="1:8">
      <c r="A48" s="1" t="s">
        <v>82</v>
      </c>
      <c r="D48" s="40">
        <f>D44+D46</f>
        <v>6692000</v>
      </c>
      <c r="E48" s="40">
        <f>E44+E46</f>
        <v>7055804</v>
      </c>
      <c r="F48" s="40">
        <f>F44+F46</f>
        <v>7428129.71599999</v>
      </c>
      <c r="G48" s="40">
        <f>G44+G46</f>
        <v>7809122.847764</v>
      </c>
      <c r="H48" s="40">
        <f>H44+H46</f>
        <v>8198928.24884916</v>
      </c>
    </row>
    <row r="49" spans="4:8">
      <c r="D49" s="40"/>
      <c r="E49" s="40"/>
      <c r="F49" s="40"/>
      <c r="G49" s="40"/>
      <c r="H49" s="40"/>
    </row>
    <row r="50" spans="1:1">
      <c r="A50" s="1" t="s">
        <v>83</v>
      </c>
    </row>
    <row r="51" spans="1:8">
      <c r="A51" s="1" t="s">
        <v>84</v>
      </c>
      <c r="D51" s="40">
        <f>-D39</f>
        <v>10000000</v>
      </c>
      <c r="E51" s="40">
        <f>-E39</f>
        <v>10000000</v>
      </c>
      <c r="F51" s="40">
        <f>-F39</f>
        <v>10000000</v>
      </c>
      <c r="G51" s="40">
        <f>-G39</f>
        <v>10000000</v>
      </c>
      <c r="H51" s="40">
        <f>-H39</f>
        <v>10000000</v>
      </c>
    </row>
    <row r="52" spans="1:8">
      <c r="A52" s="1" t="s">
        <v>85</v>
      </c>
      <c r="D52" s="43">
        <f>-$H$14</f>
        <v>-800000</v>
      </c>
      <c r="E52" s="43">
        <f>-$H$14</f>
        <v>-800000</v>
      </c>
      <c r="F52" s="43">
        <f>-$H$14</f>
        <v>-800000</v>
      </c>
      <c r="G52" s="43">
        <f>-$H$14</f>
        <v>-800000</v>
      </c>
      <c r="H52" s="43">
        <f>-$H$14</f>
        <v>-800000</v>
      </c>
    </row>
    <row r="53" spans="1:8">
      <c r="A53" s="1" t="s">
        <v>86</v>
      </c>
      <c r="D53" s="40">
        <f>D48+D51+D52</f>
        <v>15892000</v>
      </c>
      <c r="E53" s="40">
        <f>E48+E51+E52</f>
        <v>16255804</v>
      </c>
      <c r="F53" s="40">
        <f>F48+F51+F52</f>
        <v>16628129.716</v>
      </c>
      <c r="G53" s="40">
        <f>G48+G51+G52</f>
        <v>17009122.847764</v>
      </c>
      <c r="H53" s="40">
        <f>H48+H51+H52</f>
        <v>17398928.2488492</v>
      </c>
    </row>
    <row r="55" spans="1:8">
      <c r="A55" s="44" t="s">
        <v>87</v>
      </c>
      <c r="B55" s="44"/>
      <c r="C55" s="45">
        <f>C18+C29+C53</f>
        <v>-54240109.5890411</v>
      </c>
      <c r="D55" s="45">
        <f>D19+D29+D53</f>
        <v>15769036.8219178</v>
      </c>
      <c r="E55" s="45">
        <f>E19+E29+E53</f>
        <v>16129274.8897534</v>
      </c>
      <c r="F55" s="45">
        <f>F19+F29+F53</f>
        <v>16497931.2615563</v>
      </c>
      <c r="G55" s="45">
        <f>G19+G29+G53</f>
        <v>16875148.6381414</v>
      </c>
      <c r="H55" s="45">
        <f>H21+H29+H53</f>
        <v>24952702.7902853</v>
      </c>
    </row>
    <row r="57" ht="14.4" spans="1:8">
      <c r="A57" s="1" t="s">
        <v>88</v>
      </c>
      <c r="C57" s="39">
        <f t="shared" ref="C57:H57" si="1">C55/(1+$H$12)^C16</f>
        <v>-54240109.5890411</v>
      </c>
      <c r="D57" s="39">
        <f t="shared" si="1"/>
        <v>13340978.698746</v>
      </c>
      <c r="E57" s="39">
        <f t="shared" si="1"/>
        <v>11544626.5970332</v>
      </c>
      <c r="F57" s="39">
        <f t="shared" si="1"/>
        <v>9990266.19055654</v>
      </c>
      <c r="G57" s="39">
        <f t="shared" si="1"/>
        <v>8645252.86852243</v>
      </c>
      <c r="H57" s="39">
        <f t="shared" si="1"/>
        <v>10815091.8227014</v>
      </c>
    </row>
    <row r="58" ht="13.95"/>
    <row r="59" spans="1:3">
      <c r="A59" s="46" t="s">
        <v>89</v>
      </c>
      <c r="B59" s="47"/>
      <c r="C59" s="48">
        <f>NPV($H$12,D55:H55)+C55</f>
        <v>96106.5885184929</v>
      </c>
    </row>
    <row r="60" spans="1:3">
      <c r="A60" s="49" t="s">
        <v>90</v>
      </c>
      <c r="B60" s="50"/>
      <c r="C60" s="51">
        <f>IRR(C55:H55)</f>
        <v>0.182733664439723</v>
      </c>
    </row>
    <row r="61" spans="1:3">
      <c r="A61" s="49" t="s">
        <v>91</v>
      </c>
      <c r="B61" s="50"/>
      <c r="C61" s="52">
        <f>IF(D55&gt;ABS(C55),0+ABS(C55)/D55,IF(SUM(D55:E55)&gt;ABS(C55),1+(ABS(C55)-D55)/E55,IF(SUM(D55:F55)&gt;ABS(C55),2+(ABS(C55)-SUM(D55+E55)/F55),IF(SUM(D55:G55)&gt;ABS(C55),3+(ABS(C55)-SUM(D55:F55))/G55,IF(SUM(D55:H55)&gt;ABS(C55),4+(ABS(C55)-SUM(D55:G55))/H55)))))</f>
        <v>3.34630015658678</v>
      </c>
    </row>
    <row r="62" spans="1:3">
      <c r="A62" s="49" t="s">
        <v>92</v>
      </c>
      <c r="B62" s="50"/>
      <c r="C62" s="53">
        <f>IF(D57&gt;ABS(C57),0+ABS(C57)/D57,IF(SUM(D57:E57)&gt;ABS(C57),1+(ABS(C57)-D57)/E57,IF(SUM(D57:F57)&gt;ABS(C57),2+(ABS(C57)-SUM(D57+E57)/F57),IF(SUM(D57:G57)&gt;ABS(C57),3+(ABS(C57)-SUM(D57:F57))/G57,IF(SUM(D57:H57)&gt;ABS(C57),4+(ABS(C57)-SUM(D57:G57))/H57)))))</f>
        <v>4.99111365949601</v>
      </c>
    </row>
    <row r="63" ht="13.95" spans="1:3">
      <c r="A63" s="54" t="s">
        <v>93</v>
      </c>
      <c r="B63" s="55"/>
      <c r="C63" s="56">
        <f>NPV($H$12,D55:H55)/-C55</f>
        <v>1.001771873052</v>
      </c>
    </row>
    <row r="65" spans="3:7">
      <c r="C65" s="40"/>
      <c r="D65" s="40"/>
      <c r="E65" s="40"/>
      <c r="F65" s="40"/>
      <c r="G65" s="40"/>
    </row>
  </sheetData>
  <mergeCells count="2">
    <mergeCell ref="E5:F5"/>
    <mergeCell ref="E6:F6"/>
  </mergeCells>
  <pageMargins left="0.75" right="0.75" top="1" bottom="1" header="0.5" footer="0.5"/>
  <pageSetup paperSize="1" scale="70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Exhibit2</vt:lpstr>
      <vt:lpstr>Appendix 1</vt:lpstr>
      <vt:lpstr>Appendix 2</vt:lpstr>
      <vt:lpstr>TN1-a</vt:lpstr>
      <vt:lpstr>TN1-b</vt:lpstr>
      <vt:lpstr>TN1-c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咕咕咕</cp:lastModifiedBy>
  <dcterms:created xsi:type="dcterms:W3CDTF">2011-09-22T14:22:00Z</dcterms:created>
  <cp:lastPrinted>2012-05-10T21:50:00Z</cp:lastPrinted>
  <dcterms:modified xsi:type="dcterms:W3CDTF">2024-12-08T16:08:00Z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59C5529EE300465C8464BC6C3B0A91E8_13</vt:lpwstr>
  </property>
  <property fmtid="{D5CDD505-2E9C-101B-9397-08002B2CF9AE}" pid="3" name="KSOProductBuildVer">
    <vt:lpwstr>2052-12.1.0.19302</vt:lpwstr>
  </property>
</Properties>
</file>