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base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<sst xmlns="http://schemas.openxmlformats.org/spreadsheetml/2006/main" count="65" uniqueCount="63">
  <si>
    <t xml:space="preserve">Hola Kola - The Valuation of the Zero-Calorie Soda Project </t>
  </si>
  <si>
    <t>Project Information</t>
  </si>
  <si>
    <t>Monthly Sales (units)</t>
  </si>
  <si>
    <t>Cost of New Equipment (pesos)</t>
  </si>
  <si>
    <t xml:space="preserve">   Increase (Decrease) in Sales Volume*</t>
  </si>
  <si>
    <t>Resale Value of Equipment (pesos)</t>
  </si>
  <si>
    <t>Unit Sale Price (pesos)</t>
  </si>
  <si>
    <t>% Overhead to Sales</t>
  </si>
  <si>
    <t xml:space="preserve">   Increase (Decrease) in Sales Price*</t>
  </si>
  <si>
    <t>Building Rental (pesos)</t>
  </si>
  <si>
    <t>Unit Raw Material Cost (pesos)</t>
  </si>
  <si>
    <t>Average Collection Period (Days)</t>
  </si>
  <si>
    <t xml:space="preserve">   Increase (Decrease) in Raw Material Costs*</t>
  </si>
  <si>
    <t>Average Payment Period (Days)</t>
  </si>
  <si>
    <t>Monthly Labor Costs (pesos)</t>
  </si>
  <si>
    <t>Years of Straight-line Depreciation</t>
  </si>
  <si>
    <t xml:space="preserve">   Increase (Decrease) in Direct Labor Costs*</t>
  </si>
  <si>
    <t>Cost of Capital</t>
  </si>
  <si>
    <t>Monthly Energy Costs (pesos)</t>
  </si>
  <si>
    <t>Tax Rate</t>
  </si>
  <si>
    <t xml:space="preserve">   Increase (Decrease) in Energy Costs*</t>
  </si>
  <si>
    <t>Erosion (pesos)</t>
  </si>
  <si>
    <t>*the shaded rows are reserved for sensitivity analysis</t>
  </si>
  <si>
    <t>Intrest rate of loan</t>
  </si>
  <si>
    <t>Consultant's market study cost</t>
  </si>
  <si>
    <t>Year</t>
  </si>
  <si>
    <t xml:space="preserve">       Less Taxes</t>
  </si>
  <si>
    <t>Net Resale Value of Equipment (pesos)</t>
  </si>
  <si>
    <t>Consultant's market study cost ?</t>
  </si>
  <si>
    <t>Net Capital Expenditure</t>
  </si>
  <si>
    <t>Working Capital Requirements (pesos)</t>
  </si>
  <si>
    <t xml:space="preserve">       Receivables (=(Sales/365)*Avg Collection Period)</t>
  </si>
  <si>
    <t xml:space="preserve">       Inventories (=One month materials costs)</t>
  </si>
  <si>
    <t xml:space="preserve">       Payables ((Material Costs/365)*Avg Pmt Period)</t>
  </si>
  <si>
    <t>Change in Working Capital Requirements (pesos)</t>
  </si>
  <si>
    <t>Annual Sales (Units)</t>
  </si>
  <si>
    <t>Annual Sales Revenue (pesos)</t>
  </si>
  <si>
    <t>Operating Expenses (pesos)</t>
  </si>
  <si>
    <t xml:space="preserve">       Raw Material Costs</t>
  </si>
  <si>
    <t xml:space="preserve">       Direct Labor Costs</t>
  </si>
  <si>
    <t xml:space="preserve">       Energy Costs</t>
  </si>
  <si>
    <t xml:space="preserve">       Building Rental (Opportunity Costs) ?</t>
  </si>
  <si>
    <t xml:space="preserve">       Depreciation</t>
  </si>
  <si>
    <t xml:space="preserve">       General Administrative and Selling Expenses</t>
  </si>
  <si>
    <t xml:space="preserve">       Overhead Expenses</t>
  </si>
  <si>
    <t>Total Operating Expenses (pesos)</t>
  </si>
  <si>
    <t>Operating Profit Before Interest and Tax (pesos)</t>
  </si>
  <si>
    <t xml:space="preserve">     Intrest Expenses ?</t>
  </si>
  <si>
    <t xml:space="preserve">     Taxes (pesos)</t>
  </si>
  <si>
    <t>Operating Profit After Tax (pesos)</t>
  </si>
  <si>
    <t>Project's Operating Cash Flow (pesos)</t>
  </si>
  <si>
    <t xml:space="preserve">     Depreciation (pesos)</t>
  </si>
  <si>
    <t xml:space="preserve">     Erosion of Existing Sales (pesos) ?</t>
  </si>
  <si>
    <t>Total Operating Cash Flow (pesos)</t>
  </si>
  <si>
    <t>Project's Free Cash Flow (pesos)</t>
  </si>
  <si>
    <t xml:space="preserve">    Cummulative Cash Flow (pesos)</t>
  </si>
  <si>
    <t>Present Value of Cash Flow (pesos)</t>
  </si>
  <si>
    <t xml:space="preserve">    Cummulative PV of Cash flow (pesos)</t>
  </si>
  <si>
    <t>NPV (pesos)</t>
  </si>
  <si>
    <t>IRR</t>
  </si>
  <si>
    <t>Payback Period (Years)</t>
  </si>
  <si>
    <t>Discounted Payback Period (Years)</t>
  </si>
  <si>
    <t>Profitability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</si>
</sst>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  <numFmt numFmtId="178" formatCode="#,##0.0"/>
    <numFmt numFmtId="179" formatCode="0.0%"/>
    <numFmt numFmtId="180" formatCode="#,##0_);\(#,##0\)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b/>
      <u/>
      <sz val="10"/>
      <name val="Arial"/>
      <charset val="134"/>
    </font>
    <font>
      <sz val="10"/>
      <color rgb="FFC00000"/>
      <name val="Arial"/>
      <charset val="134"/>
    </font>
    <font>
      <b/>
      <u/>
      <sz val="10"/>
      <color rgb="FFC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0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0" fillId="8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50"/>
    <xf numFmtId="0" fontId="2" fillId="0" borderId="0" xfId="50" applyFont="1"/>
    <xf numFmtId="0" fontId="3" fillId="0" borderId="0" xfId="50" applyFont="1"/>
    <xf numFmtId="0" fontId="1" fillId="0" borderId="1" xfId="50" applyBorder="1"/>
    <xf numFmtId="0" fontId="1" fillId="0" borderId="2" xfId="50" applyBorder="1"/>
    <xf numFmtId="3" fontId="1" fillId="0" borderId="3" xfId="50" applyNumberFormat="1" applyBorder="1"/>
    <xf numFmtId="177" fontId="0" fillId="0" borderId="3" xfId="49" applyNumberFormat="1" applyFont="1" applyBorder="1"/>
    <xf numFmtId="0" fontId="1" fillId="2" borderId="4" xfId="50" applyFont="1" applyFill="1" applyBorder="1"/>
    <xf numFmtId="0" fontId="1" fillId="2" borderId="0" xfId="50" applyFill="1"/>
    <xf numFmtId="9" fontId="0" fillId="2" borderId="5" xfId="51" applyFont="1" applyFill="1" applyBorder="1"/>
    <xf numFmtId="0" fontId="1" fillId="0" borderId="4" xfId="50" applyBorder="1"/>
    <xf numFmtId="177" fontId="0" fillId="0" borderId="5" xfId="49" applyNumberFormat="1" applyFont="1" applyBorder="1"/>
    <xf numFmtId="3" fontId="1" fillId="0" borderId="5" xfId="50" applyNumberFormat="1" applyBorder="1"/>
    <xf numFmtId="0" fontId="1" fillId="0" borderId="4" xfId="50" applyFont="1" applyBorder="1"/>
    <xf numFmtId="9" fontId="0" fillId="0" borderId="5" xfId="51" applyFont="1" applyBorder="1"/>
    <xf numFmtId="178" fontId="1" fillId="0" borderId="5" xfId="50" applyNumberFormat="1" applyBorder="1"/>
    <xf numFmtId="0" fontId="1" fillId="0" borderId="5" xfId="50" applyBorder="1"/>
    <xf numFmtId="179" fontId="0" fillId="0" borderId="5" xfId="51" applyNumberFormat="1" applyFont="1" applyBorder="1"/>
    <xf numFmtId="177" fontId="0" fillId="0" borderId="5" xfId="49" applyNumberFormat="1" applyFont="1" applyFill="1" applyBorder="1"/>
    <xf numFmtId="0" fontId="1" fillId="0" borderId="6" xfId="50" applyFont="1" applyBorder="1"/>
    <xf numFmtId="0" fontId="1" fillId="0" borderId="7" xfId="50" applyBorder="1"/>
    <xf numFmtId="9" fontId="0" fillId="0" borderId="8" xfId="51" applyFont="1" applyFill="1" applyBorder="1"/>
    <xf numFmtId="0" fontId="1" fillId="0" borderId="0" xfId="50" applyFont="1"/>
    <xf numFmtId="9" fontId="0" fillId="0" borderId="0" xfId="51" applyFont="1" applyFill="1" applyBorder="1"/>
    <xf numFmtId="177" fontId="0" fillId="0" borderId="8" xfId="49" applyNumberFormat="1" applyFont="1" applyFill="1" applyBorder="1"/>
    <xf numFmtId="0" fontId="4" fillId="0" borderId="7" xfId="50" applyFont="1" applyBorder="1"/>
    <xf numFmtId="0" fontId="5" fillId="0" borderId="0" xfId="50" applyFont="1"/>
    <xf numFmtId="177" fontId="1" fillId="0" borderId="0" xfId="50" applyNumberFormat="1"/>
    <xf numFmtId="180" fontId="1" fillId="0" borderId="0" xfId="50" applyNumberFormat="1"/>
    <xf numFmtId="0" fontId="6" fillId="0" borderId="0" xfId="50" applyFont="1"/>
    <xf numFmtId="177" fontId="1" fillId="0" borderId="0" xfId="50" applyNumberFormat="1" applyFont="1"/>
    <xf numFmtId="0" fontId="7" fillId="0" borderId="0" xfId="50" applyFont="1"/>
    <xf numFmtId="177" fontId="6" fillId="0" borderId="0" xfId="50" applyNumberFormat="1" applyFont="1"/>
    <xf numFmtId="0" fontId="1" fillId="3" borderId="0" xfId="50" applyFont="1" applyFill="1"/>
    <xf numFmtId="0" fontId="1" fillId="3" borderId="0" xfId="50" applyFill="1"/>
    <xf numFmtId="177" fontId="1" fillId="3" borderId="0" xfId="50" applyNumberFormat="1" applyFill="1"/>
    <xf numFmtId="177" fontId="0" fillId="0" borderId="0" xfId="49" applyNumberFormat="1" applyFont="1" applyBorder="1" applyAlignment="1"/>
    <xf numFmtId="177" fontId="0" fillId="0" borderId="0" xfId="49" applyNumberFormat="1" applyFont="1" applyBorder="1"/>
    <xf numFmtId="177" fontId="1" fillId="0" borderId="0" xfId="49" applyNumberFormat="1" applyFont="1" applyBorder="1"/>
    <xf numFmtId="177" fontId="0" fillId="0" borderId="0" xfId="49" applyNumberFormat="1" applyFont="1"/>
    <xf numFmtId="176" fontId="1" fillId="0" borderId="0" xfId="50" applyNumberFormat="1"/>
    <xf numFmtId="0" fontId="1" fillId="4" borderId="9" xfId="50" applyFill="1" applyBorder="1"/>
    <xf numFmtId="0" fontId="1" fillId="4" borderId="10" xfId="50" applyFill="1" applyBorder="1"/>
    <xf numFmtId="177" fontId="0" fillId="4" borderId="11" xfId="49" applyNumberFormat="1" applyFont="1" applyFill="1" applyBorder="1"/>
    <xf numFmtId="0" fontId="1" fillId="4" borderId="12" xfId="50" applyFill="1" applyBorder="1"/>
    <xf numFmtId="0" fontId="1" fillId="4" borderId="0" xfId="50" applyFill="1"/>
    <xf numFmtId="10" fontId="1" fillId="4" borderId="13" xfId="50" applyNumberFormat="1" applyFill="1" applyBorder="1"/>
    <xf numFmtId="2" fontId="1" fillId="4" borderId="13" xfId="50" applyNumberFormat="1" applyFill="1" applyBorder="1"/>
    <xf numFmtId="2" fontId="1" fillId="4" borderId="13" xfId="50" applyNumberFormat="1" applyFill="1" applyBorder="1" applyAlignment="1">
      <alignment horizontal="right"/>
    </xf>
    <xf numFmtId="0" fontId="1" fillId="4" borderId="14" xfId="50" applyFill="1" applyBorder="1"/>
    <xf numFmtId="0" fontId="1" fillId="4" borderId="15" xfId="50" applyFill="1" applyBorder="1"/>
    <xf numFmtId="176" fontId="1" fillId="4" borderId="16" xfId="50" applyNumberFormat="1" applyFill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  <cellStyle name="Normal 2" xfId="50"/>
    <cellStyle name="Percent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zoomScale="130" zoomScaleNormal="130" workbookViewId="0">
      <selection activeCell="D66" sqref="D66"/>
    </sheetView>
  </sheetViews>
  <sheetFormatPr defaultColWidth="8.86111111111111" defaultRowHeight="13.2"/>
  <cols>
    <col min="1" max="1" width="41.1296296296296" style="1" customWidth="1"/>
    <col min="2" max="2" width="5.12962962962963" style="1" customWidth="1"/>
    <col min="3" max="3" width="19.462962962963" style="1" customWidth="1"/>
    <col min="4" max="4" width="14.7962962962963" style="1" customWidth="1"/>
    <col min="5" max="7" width="13.7962962962963" style="1" customWidth="1"/>
    <col min="8" max="8" width="15.6666666666667" style="1" customWidth="1"/>
    <col min="9" max="9" width="2.2037037037037" style="1" customWidth="1"/>
    <col min="10" max="10" width="8.86111111111111" style="1" customWidth="1"/>
    <col min="11" max="16384" width="8.86111111111111" style="1"/>
  </cols>
  <sheetData>
    <row r="1" ht="15.6" spans="1:2">
      <c r="A1" s="2" t="s">
        <v>0</v>
      </c>
      <c r="B1" s="2"/>
    </row>
    <row r="2" ht="15" spans="1:2">
      <c r="A2" s="3"/>
      <c r="B2" s="3"/>
    </row>
    <row r="3" ht="15.6" spans="1:2">
      <c r="A3" s="2" t="s">
        <v>1</v>
      </c>
      <c r="B3" s="2"/>
    </row>
    <row r="4" ht="13.95"/>
    <row r="5" ht="14.4" spans="1:8">
      <c r="A5" s="4" t="s">
        <v>2</v>
      </c>
      <c r="B5" s="5"/>
      <c r="C5" s="6">
        <v>600000</v>
      </c>
      <c r="E5" s="4" t="s">
        <v>3</v>
      </c>
      <c r="F5" s="5"/>
      <c r="G5" s="5"/>
      <c r="H5" s="7">
        <v>50000000</v>
      </c>
    </row>
    <row r="6" ht="14.4" spans="1:8">
      <c r="A6" s="8" t="s">
        <v>4</v>
      </c>
      <c r="B6" s="9"/>
      <c r="C6" s="10">
        <v>0</v>
      </c>
      <c r="E6" s="11" t="s">
        <v>5</v>
      </c>
      <c r="H6" s="12">
        <v>4000000</v>
      </c>
    </row>
    <row r="7" ht="14.4" spans="1:8">
      <c r="A7" s="11" t="s">
        <v>6</v>
      </c>
      <c r="C7" s="13">
        <v>5</v>
      </c>
      <c r="E7" s="14" t="s">
        <v>7</v>
      </c>
      <c r="H7" s="15">
        <v>0.01</v>
      </c>
    </row>
    <row r="8" ht="14.4" spans="1:8">
      <c r="A8" s="8" t="s">
        <v>8</v>
      </c>
      <c r="B8" s="9"/>
      <c r="C8" s="10">
        <v>0</v>
      </c>
      <c r="E8" s="11" t="s">
        <v>9</v>
      </c>
      <c r="H8" s="12">
        <v>60000</v>
      </c>
    </row>
    <row r="9" spans="1:8">
      <c r="A9" s="11" t="s">
        <v>10</v>
      </c>
      <c r="C9" s="16">
        <v>1.8</v>
      </c>
      <c r="E9" s="11" t="s">
        <v>11</v>
      </c>
      <c r="H9" s="17">
        <v>45</v>
      </c>
    </row>
    <row r="10" ht="14.4" spans="1:8">
      <c r="A10" s="8" t="s">
        <v>12</v>
      </c>
      <c r="B10" s="9"/>
      <c r="C10" s="10">
        <v>0</v>
      </c>
      <c r="E10" s="11" t="s">
        <v>13</v>
      </c>
      <c r="H10" s="17">
        <v>36</v>
      </c>
    </row>
    <row r="11" spans="1:8">
      <c r="A11" s="11" t="s">
        <v>14</v>
      </c>
      <c r="C11" s="13">
        <v>180000</v>
      </c>
      <c r="E11" s="11" t="s">
        <v>15</v>
      </c>
      <c r="H11" s="17">
        <v>5</v>
      </c>
    </row>
    <row r="12" ht="14.4" spans="1:8">
      <c r="A12" s="8" t="s">
        <v>16</v>
      </c>
      <c r="B12" s="9"/>
      <c r="C12" s="10">
        <v>0</v>
      </c>
      <c r="E12" s="11" t="s">
        <v>17</v>
      </c>
      <c r="H12" s="18">
        <v>0.182</v>
      </c>
    </row>
    <row r="13" ht="14.4" spans="1:8">
      <c r="A13" s="11" t="s">
        <v>18</v>
      </c>
      <c r="C13" s="13">
        <v>50000</v>
      </c>
      <c r="E13" s="11" t="s">
        <v>19</v>
      </c>
      <c r="H13" s="15">
        <v>0.3</v>
      </c>
    </row>
    <row r="14" ht="14.4" spans="1:8">
      <c r="A14" s="8" t="s">
        <v>20</v>
      </c>
      <c r="B14" s="9"/>
      <c r="C14" s="10">
        <v>0</v>
      </c>
      <c r="E14" s="11" t="s">
        <v>21</v>
      </c>
      <c r="H14" s="19">
        <v>800000</v>
      </c>
    </row>
    <row r="15" ht="15.15" spans="1:8">
      <c r="A15" s="20" t="s">
        <v>22</v>
      </c>
      <c r="B15" s="21"/>
      <c r="C15" s="22"/>
      <c r="E15" s="14" t="s">
        <v>23</v>
      </c>
      <c r="H15" s="15">
        <v>0.16</v>
      </c>
    </row>
    <row r="16" ht="15.15" spans="1:8">
      <c r="A16" s="23"/>
      <c r="C16" s="24"/>
      <c r="E16" s="20" t="s">
        <v>24</v>
      </c>
      <c r="F16" s="21"/>
      <c r="G16" s="21"/>
      <c r="H16" s="25">
        <v>5000000</v>
      </c>
    </row>
    <row r="18" ht="13.95" spans="1:8">
      <c r="A18" s="26" t="s">
        <v>25</v>
      </c>
      <c r="B18" s="26"/>
      <c r="C18" s="26">
        <v>0</v>
      </c>
      <c r="D18" s="26">
        <v>1</v>
      </c>
      <c r="E18" s="26">
        <v>2</v>
      </c>
      <c r="F18" s="26">
        <v>3</v>
      </c>
      <c r="G18" s="26">
        <v>4</v>
      </c>
      <c r="H18" s="26">
        <v>5</v>
      </c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1" t="s">
        <v>3</v>
      </c>
      <c r="C20" s="28">
        <f>H5</f>
        <v>50000000</v>
      </c>
      <c r="D20" s="28"/>
      <c r="E20" s="28"/>
      <c r="F20" s="28"/>
      <c r="G20" s="28"/>
      <c r="H20" s="29"/>
    </row>
    <row r="21" spans="1:8">
      <c r="A21" s="1" t="s">
        <v>5</v>
      </c>
      <c r="D21" s="27"/>
      <c r="E21" s="27"/>
      <c r="F21" s="27"/>
      <c r="G21" s="27"/>
      <c r="H21" s="28">
        <f>H6</f>
        <v>4000000</v>
      </c>
    </row>
    <row r="22" spans="1:8">
      <c r="A22" s="1" t="s">
        <v>26</v>
      </c>
      <c r="D22" s="27"/>
      <c r="E22" s="27"/>
      <c r="F22" s="27"/>
      <c r="G22" s="27"/>
      <c r="H22" s="28">
        <f>H21*H13</f>
        <v>1200000</v>
      </c>
    </row>
    <row r="23" spans="1:8">
      <c r="A23" s="23" t="s">
        <v>27</v>
      </c>
      <c r="D23" s="27"/>
      <c r="E23" s="27"/>
      <c r="F23" s="27"/>
      <c r="G23" s="27"/>
      <c r="H23" s="28">
        <f>H21-H22</f>
        <v>2800000</v>
      </c>
    </row>
    <row r="24" spans="1:8">
      <c r="A24" s="30" t="s">
        <v>28</v>
      </c>
      <c r="B24" s="30"/>
      <c r="C24" s="31"/>
      <c r="D24" s="32"/>
      <c r="E24" s="32"/>
      <c r="F24" s="32"/>
      <c r="G24" s="32"/>
      <c r="H24" s="33"/>
    </row>
    <row r="25" spans="4:8">
      <c r="D25" s="27"/>
      <c r="E25" s="27"/>
      <c r="F25" s="27"/>
      <c r="G25" s="27"/>
      <c r="H25" s="28"/>
    </row>
    <row r="26" spans="1:8">
      <c r="A26" s="34" t="s">
        <v>29</v>
      </c>
      <c r="B26" s="35"/>
      <c r="C26" s="36">
        <f>-C20</f>
        <v>-50000000</v>
      </c>
      <c r="D26" s="36"/>
      <c r="E26" s="36"/>
      <c r="F26" s="36"/>
      <c r="G26" s="36"/>
      <c r="H26" s="36">
        <f>H23</f>
        <v>2800000</v>
      </c>
    </row>
    <row r="27" spans="4:8">
      <c r="D27" s="27"/>
      <c r="E27" s="27"/>
      <c r="F27" s="27"/>
      <c r="G27" s="27"/>
      <c r="H27" s="28"/>
    </row>
    <row r="28" spans="1:8">
      <c r="A28" s="1" t="s">
        <v>30</v>
      </c>
      <c r="C28" s="28">
        <f>C29+C30-C31</f>
        <v>4240109.5890411</v>
      </c>
      <c r="D28" s="28">
        <f t="shared" ref="D28:H28" si="0">D29+D30-D31</f>
        <v>4240109.5890411</v>
      </c>
      <c r="E28" s="28">
        <f t="shared" si="0"/>
        <v>4240109.5890411</v>
      </c>
      <c r="F28" s="28">
        <f t="shared" si="0"/>
        <v>4240109.5890411</v>
      </c>
      <c r="G28" s="28">
        <f t="shared" si="0"/>
        <v>4240109.5890411</v>
      </c>
      <c r="H28" s="28">
        <f t="shared" si="0"/>
        <v>0</v>
      </c>
    </row>
    <row r="29" ht="14.4" spans="1:8">
      <c r="A29" s="23" t="s">
        <v>31</v>
      </c>
      <c r="C29" s="37">
        <f>(C5*(1+C6)^C18*C7*(1+C8)^C18*12/365)*H9</f>
        <v>4438356.16438356</v>
      </c>
      <c r="D29" s="37">
        <f>(C5*(1+C6)^D18*C7*(1+C8)^D18*12/365)*H9</f>
        <v>4438356.16438356</v>
      </c>
      <c r="E29" s="37">
        <f>(C5*(1+C6)^E18*C7*(1+C8)^E18*12/365)*H9</f>
        <v>4438356.16438356</v>
      </c>
      <c r="F29" s="37">
        <f>(C5*(1+C6)^F18*C7*(1+C8)^F18*12/365)*H9</f>
        <v>4438356.16438356</v>
      </c>
      <c r="G29" s="37">
        <f>(C5*(1+C6)^G18*C7*(1+C8)^G18*12/365)*H9</f>
        <v>4438356.16438356</v>
      </c>
      <c r="H29" s="37"/>
    </row>
    <row r="30" ht="14.4" spans="1:8">
      <c r="A30" s="23" t="s">
        <v>32</v>
      </c>
      <c r="C30" s="37">
        <f>C5*(1+C6)^C18*C9*(1+C10)^C18</f>
        <v>1080000</v>
      </c>
      <c r="D30" s="37">
        <f>C5*(1+C6)^D18*C9*(1+C10)^D18</f>
        <v>1080000</v>
      </c>
      <c r="E30" s="37">
        <f>C5*(1+C6)^E18*C9*(1+C10)^E18</f>
        <v>1080000</v>
      </c>
      <c r="F30" s="37">
        <f>C5*(1+C6)^F18*C9*(1+C10)^F18</f>
        <v>1080000</v>
      </c>
      <c r="G30" s="37">
        <f>C5*(1+C6)^G18*C9*(1+C10)^G18</f>
        <v>1080000</v>
      </c>
      <c r="H30" s="37"/>
    </row>
    <row r="31" ht="14.4" spans="1:8">
      <c r="A31" s="1" t="s">
        <v>33</v>
      </c>
      <c r="C31" s="37">
        <f>(C5*(1+C6)^C18*C9*(1+C10)^C18*12/365)*H10</f>
        <v>1278246.57534247</v>
      </c>
      <c r="D31" s="37">
        <f>(C5*(1+C6)^D18*C9*(1+C10)^D18*12/365)*H10</f>
        <v>1278246.57534247</v>
      </c>
      <c r="E31" s="37">
        <f>(C5*(1+C6)^E18*C9*(1+C10)^E18*12/365)*H10</f>
        <v>1278246.57534247</v>
      </c>
      <c r="F31" s="37">
        <f>(C5*(1+C6)^F18*C9*(1+C10)^F18*12/365)*H10</f>
        <v>1278246.57534247</v>
      </c>
      <c r="G31" s="37">
        <f>(C5*(1+C6)^G18*C9*(1+C10)^G18*12/365)*H10</f>
        <v>1278246.57534247</v>
      </c>
      <c r="H31" s="37"/>
    </row>
    <row r="32" spans="3:8">
      <c r="C32" s="28"/>
      <c r="D32" s="28"/>
      <c r="E32" s="28"/>
      <c r="F32" s="28"/>
      <c r="G32" s="28"/>
      <c r="H32" s="28"/>
    </row>
    <row r="33" spans="3:8">
      <c r="C33" s="28"/>
      <c r="D33" s="28"/>
      <c r="E33" s="28"/>
      <c r="F33" s="28"/>
      <c r="G33" s="28"/>
      <c r="H33" s="28"/>
    </row>
    <row r="34" spans="1:8">
      <c r="A34" s="35" t="s">
        <v>34</v>
      </c>
      <c r="B34" s="35"/>
      <c r="C34" s="36">
        <f>B28-C28</f>
        <v>-4240109.5890411</v>
      </c>
      <c r="D34" s="36">
        <f t="shared" ref="D34:H34" si="1">C28-D28</f>
        <v>0</v>
      </c>
      <c r="E34" s="36">
        <f t="shared" si="1"/>
        <v>0</v>
      </c>
      <c r="F34" s="36">
        <f t="shared" si="1"/>
        <v>0</v>
      </c>
      <c r="G34" s="36">
        <f t="shared" si="1"/>
        <v>0</v>
      </c>
      <c r="H34" s="36">
        <f t="shared" si="1"/>
        <v>4240109.5890411</v>
      </c>
    </row>
    <row r="36" ht="14.4" spans="1:8">
      <c r="A36" s="1" t="s">
        <v>35</v>
      </c>
      <c r="D36" s="38">
        <f>C5*(1+C6)^C18*12</f>
        <v>7200000</v>
      </c>
      <c r="E36" s="38">
        <f>C5*(1+C6)^D18*12</f>
        <v>7200000</v>
      </c>
      <c r="F36" s="38">
        <f>C5*(1+C6)^E18*12</f>
        <v>7200000</v>
      </c>
      <c r="G36" s="38">
        <f>C5*(1+C6)^F18*12</f>
        <v>7200000</v>
      </c>
      <c r="H36" s="38">
        <f>C5*(1+C6)^G18*12</f>
        <v>7200000</v>
      </c>
    </row>
    <row r="37" ht="14.4" spans="1:9">
      <c r="A37" s="1" t="s">
        <v>36</v>
      </c>
      <c r="D37" s="38">
        <f>D36*C7*(1+C8)^C18</f>
        <v>36000000</v>
      </c>
      <c r="E37" s="38">
        <f>E36*C7*(1+C8)^D18</f>
        <v>36000000</v>
      </c>
      <c r="F37" s="38">
        <f>F36*C7*(1+C8)^E18</f>
        <v>36000000</v>
      </c>
      <c r="G37" s="38">
        <f>G36*C7*(1+C8)^F18</f>
        <v>36000000</v>
      </c>
      <c r="H37" s="38">
        <f>H36*C7*(1+C8)^G18</f>
        <v>36000000</v>
      </c>
      <c r="I37" s="41"/>
    </row>
    <row r="39" spans="1:1">
      <c r="A39" s="1" t="s">
        <v>37</v>
      </c>
    </row>
    <row r="40" ht="14.4" spans="1:8">
      <c r="A40" s="1" t="s">
        <v>38</v>
      </c>
      <c r="D40" s="38">
        <f>-(C5*(1+C6)^C18*C9*(1+C10)^C18)*12</f>
        <v>-12960000</v>
      </c>
      <c r="E40" s="38">
        <f>-(C5*(1+C6)^D18*C9*(1+C10)^D18)*12</f>
        <v>-12960000</v>
      </c>
      <c r="F40" s="38">
        <f>-(C5*(1+C6)^E18*C9*(1+C10)^E18)*12</f>
        <v>-12960000</v>
      </c>
      <c r="G40" s="38">
        <f>-(C5*(1+C6)^F18*C9*(1+C10)^F18)*12</f>
        <v>-12960000</v>
      </c>
      <c r="H40" s="38">
        <f>-(C5*(1+C6)^G18*C9*(1+C10)^G18)*12</f>
        <v>-12960000</v>
      </c>
    </row>
    <row r="41" ht="14.4" spans="1:8">
      <c r="A41" s="1" t="s">
        <v>39</v>
      </c>
      <c r="D41" s="38">
        <f>-(C11*(1+C12)^C18)*12</f>
        <v>-2160000</v>
      </c>
      <c r="E41" s="38">
        <f>-(C11*(1+C12)^D18)*12</f>
        <v>-2160000</v>
      </c>
      <c r="F41" s="38">
        <f>-(C11*(1+C12)^E18)*12</f>
        <v>-2160000</v>
      </c>
      <c r="G41" s="38">
        <f>-(C11*(1+C12)^F18)*12</f>
        <v>-2160000</v>
      </c>
      <c r="H41" s="38">
        <f>-(C11*(1+C12)^G18)*12</f>
        <v>-2160000</v>
      </c>
    </row>
    <row r="42" ht="14.4" spans="1:8">
      <c r="A42" s="1" t="s">
        <v>40</v>
      </c>
      <c r="D42" s="38">
        <f>-(C13*(1+C14)^C18)*12</f>
        <v>-600000</v>
      </c>
      <c r="E42" s="38">
        <f>-(C13*(1+C14)^D18)*12</f>
        <v>-600000</v>
      </c>
      <c r="F42" s="38">
        <f>-(C13*(1+C14)^E18)*12</f>
        <v>-600000</v>
      </c>
      <c r="G42" s="38">
        <f>-(C13*(1+C14)^F18)*12</f>
        <v>-600000</v>
      </c>
      <c r="H42" s="38">
        <f>-(C13*(1+C14)^G18)*12</f>
        <v>-600000</v>
      </c>
    </row>
    <row r="43" spans="1:8">
      <c r="A43" s="30" t="s">
        <v>41</v>
      </c>
      <c r="D43" s="39">
        <f>-H8</f>
        <v>-60000</v>
      </c>
      <c r="E43" s="39">
        <f>-H8</f>
        <v>-60000</v>
      </c>
      <c r="F43" s="39">
        <f>-H8</f>
        <v>-60000</v>
      </c>
      <c r="G43" s="39">
        <f>-H8</f>
        <v>-60000</v>
      </c>
      <c r="H43" s="39">
        <f>-H8</f>
        <v>-60000</v>
      </c>
    </row>
    <row r="44" spans="1:8">
      <c r="A44" s="1" t="s">
        <v>42</v>
      </c>
      <c r="D44" s="28">
        <f>-H5/H11</f>
        <v>-10000000</v>
      </c>
      <c r="E44" s="28">
        <f>-H5/H11</f>
        <v>-10000000</v>
      </c>
      <c r="F44" s="28">
        <f>-H5/H11</f>
        <v>-10000000</v>
      </c>
      <c r="G44" s="28">
        <f>-H5/H11</f>
        <v>-10000000</v>
      </c>
      <c r="H44" s="28">
        <f>-H5/H11</f>
        <v>-10000000</v>
      </c>
    </row>
    <row r="45" spans="1:8">
      <c r="A45" s="1" t="s">
        <v>43</v>
      </c>
      <c r="D45" s="28">
        <v>-300000</v>
      </c>
      <c r="E45" s="28">
        <v>-300000</v>
      </c>
      <c r="F45" s="28">
        <v>-300000</v>
      </c>
      <c r="G45" s="28">
        <v>-300000</v>
      </c>
      <c r="H45" s="28">
        <v>-300000</v>
      </c>
    </row>
    <row r="46" spans="1:8">
      <c r="A46" s="23" t="s">
        <v>44</v>
      </c>
      <c r="D46" s="28">
        <f>-0.01*D37</f>
        <v>-360000</v>
      </c>
      <c r="E46" s="28">
        <f t="shared" ref="E46:H46" si="2">-0.01*E37</f>
        <v>-360000</v>
      </c>
      <c r="F46" s="28">
        <f t="shared" si="2"/>
        <v>-360000</v>
      </c>
      <c r="G46" s="28">
        <f t="shared" si="2"/>
        <v>-360000</v>
      </c>
      <c r="H46" s="28">
        <f t="shared" si="2"/>
        <v>-360000</v>
      </c>
    </row>
    <row r="47" spans="1:8">
      <c r="A47" s="1" t="s">
        <v>45</v>
      </c>
      <c r="D47" s="28">
        <f>SUM(D40:D46)</f>
        <v>-26440000</v>
      </c>
      <c r="E47" s="28">
        <f t="shared" ref="E47:H47" si="3">SUM(E40:E46)</f>
        <v>-26440000</v>
      </c>
      <c r="F47" s="28">
        <f t="shared" si="3"/>
        <v>-26440000</v>
      </c>
      <c r="G47" s="28">
        <f t="shared" si="3"/>
        <v>-26440000</v>
      </c>
      <c r="H47" s="28">
        <f t="shared" si="3"/>
        <v>-26440000</v>
      </c>
    </row>
    <row r="48" spans="4:8">
      <c r="D48" s="28"/>
      <c r="E48" s="28"/>
      <c r="F48" s="28"/>
      <c r="G48" s="28"/>
      <c r="H48" s="28"/>
    </row>
    <row r="49" spans="1:8">
      <c r="A49" s="1" t="s">
        <v>46</v>
      </c>
      <c r="D49" s="28"/>
      <c r="E49" s="28"/>
      <c r="F49" s="28"/>
      <c r="G49" s="28"/>
      <c r="H49" s="28"/>
    </row>
    <row r="50" spans="1:8">
      <c r="A50" s="30" t="s">
        <v>47</v>
      </c>
      <c r="D50" s="28"/>
      <c r="E50" s="28"/>
      <c r="F50" s="28"/>
      <c r="G50" s="28"/>
      <c r="H50" s="28"/>
    </row>
    <row r="51" spans="1:8">
      <c r="A51" s="1" t="s">
        <v>48</v>
      </c>
      <c r="D51" s="28">
        <f>-(D37+D47)*H13</f>
        <v>-2868000</v>
      </c>
      <c r="E51" s="28">
        <f>-(E37+E47)*H13</f>
        <v>-2868000</v>
      </c>
      <c r="F51" s="28">
        <f>-(F37+F47)*H13</f>
        <v>-2868000</v>
      </c>
      <c r="G51" s="28">
        <f>-(G37+G47)*H13</f>
        <v>-2868000</v>
      </c>
      <c r="H51" s="28">
        <f>-(H37+H47)*H13</f>
        <v>-2868000</v>
      </c>
    </row>
    <row r="52" spans="4:4">
      <c r="D52" s="28"/>
    </row>
    <row r="53" spans="1:9">
      <c r="A53" s="1" t="s">
        <v>49</v>
      </c>
      <c r="D53" s="28">
        <f>D37+D47+D51</f>
        <v>6692000</v>
      </c>
      <c r="E53" s="28">
        <f t="shared" ref="E53:H53" si="4">E37+E47+E51</f>
        <v>6692000</v>
      </c>
      <c r="F53" s="28">
        <f t="shared" si="4"/>
        <v>6692000</v>
      </c>
      <c r="G53" s="28">
        <f t="shared" si="4"/>
        <v>6692000</v>
      </c>
      <c r="H53" s="28">
        <f t="shared" si="4"/>
        <v>6692000</v>
      </c>
      <c r="I53" s="28">
        <f t="shared" ref="I53" si="5">I37-I47-I51</f>
        <v>0</v>
      </c>
    </row>
    <row r="54" spans="4:8">
      <c r="D54" s="28"/>
      <c r="E54" s="28"/>
      <c r="F54" s="28"/>
      <c r="G54" s="28"/>
      <c r="H54" s="28"/>
    </row>
    <row r="55" spans="1:8">
      <c r="A55" s="1" t="s">
        <v>50</v>
      </c>
      <c r="D55" s="28"/>
      <c r="E55" s="28"/>
      <c r="F55" s="28"/>
      <c r="G55" s="28"/>
      <c r="H55" s="28"/>
    </row>
    <row r="56" spans="1:8">
      <c r="A56" s="1" t="s">
        <v>51</v>
      </c>
      <c r="D56" s="28">
        <f>-D44</f>
        <v>10000000</v>
      </c>
      <c r="E56" s="28">
        <f t="shared" ref="E56:H56" si="6">-E44</f>
        <v>10000000</v>
      </c>
      <c r="F56" s="28">
        <f t="shared" si="6"/>
        <v>10000000</v>
      </c>
      <c r="G56" s="28">
        <f t="shared" si="6"/>
        <v>10000000</v>
      </c>
      <c r="H56" s="28">
        <f t="shared" si="6"/>
        <v>10000000</v>
      </c>
    </row>
    <row r="57" spans="1:8">
      <c r="A57" s="30" t="s">
        <v>52</v>
      </c>
      <c r="D57" s="39">
        <f>-H14</f>
        <v>-800000</v>
      </c>
      <c r="E57" s="39">
        <f>-H14</f>
        <v>-800000</v>
      </c>
      <c r="F57" s="39">
        <f>-H14</f>
        <v>-800000</v>
      </c>
      <c r="G57" s="39">
        <f>-H14</f>
        <v>-800000</v>
      </c>
      <c r="H57" s="39">
        <f>-H14</f>
        <v>-800000</v>
      </c>
    </row>
    <row r="58" spans="1:8">
      <c r="A58" s="35" t="s">
        <v>53</v>
      </c>
      <c r="B58" s="35"/>
      <c r="C58" s="35"/>
      <c r="D58" s="36">
        <f>D53+D56+D57</f>
        <v>15892000</v>
      </c>
      <c r="E58" s="36">
        <f>E53+E56+E57</f>
        <v>15892000</v>
      </c>
      <c r="F58" s="36">
        <f t="shared" ref="E58:H58" si="7">F53+F56+F57</f>
        <v>15892000</v>
      </c>
      <c r="G58" s="36">
        <f t="shared" si="7"/>
        <v>15892000</v>
      </c>
      <c r="H58" s="36">
        <f t="shared" si="7"/>
        <v>15892000</v>
      </c>
    </row>
    <row r="60" spans="1:8">
      <c r="A60" s="35" t="s">
        <v>54</v>
      </c>
      <c r="B60" s="35"/>
      <c r="C60" s="36">
        <f>C26+C34+C58</f>
        <v>-54240109.5890411</v>
      </c>
      <c r="D60" s="36">
        <f>D26+D34+D58</f>
        <v>15892000</v>
      </c>
      <c r="E60" s="36">
        <f t="shared" ref="E60:H60" si="8">E26+E34+E58</f>
        <v>15892000</v>
      </c>
      <c r="F60" s="36">
        <f t="shared" si="8"/>
        <v>15892000</v>
      </c>
      <c r="G60" s="36">
        <f t="shared" si="8"/>
        <v>15892000</v>
      </c>
      <c r="H60" s="36">
        <f t="shared" si="8"/>
        <v>22932109.5890411</v>
      </c>
    </row>
    <row r="61" ht="14.4" spans="1:8">
      <c r="A61" s="1" t="s">
        <v>55</v>
      </c>
      <c r="C61" s="40">
        <f>C60</f>
        <v>-54240109.5890411</v>
      </c>
      <c r="D61" s="40">
        <f>C61+D60</f>
        <v>-38348109.5890411</v>
      </c>
      <c r="E61" s="40">
        <f>D61+E60</f>
        <v>-22456109.5890411</v>
      </c>
      <c r="F61" s="40">
        <f>E61+F60</f>
        <v>-6564109.5890411</v>
      </c>
      <c r="G61" s="40">
        <f>F61+G60</f>
        <v>9327890.4109589</v>
      </c>
      <c r="H61" s="40">
        <f>G61+H60</f>
        <v>32260000</v>
      </c>
    </row>
    <row r="63" ht="14.4" spans="1:8">
      <c r="A63" s="1" t="s">
        <v>56</v>
      </c>
      <c r="C63" s="40">
        <f t="shared" ref="C63:H63" si="9">C60/(1+$H$12)^C18</f>
        <v>-54240109.5890411</v>
      </c>
      <c r="D63" s="40">
        <f t="shared" si="9"/>
        <v>13445008.4602369</v>
      </c>
      <c r="E63" s="40">
        <f t="shared" si="9"/>
        <v>11374795.6516387</v>
      </c>
      <c r="F63" s="40">
        <f t="shared" si="9"/>
        <v>9623346.5749904</v>
      </c>
      <c r="G63" s="40">
        <f t="shared" si="9"/>
        <v>8141579.16665855</v>
      </c>
      <c r="H63" s="40">
        <f t="shared" si="9"/>
        <v>9939318.91780025</v>
      </c>
    </row>
    <row r="64" ht="14.4" spans="1:8">
      <c r="A64" s="23" t="s">
        <v>57</v>
      </c>
      <c r="C64" s="40">
        <f>C63</f>
        <v>-54240109.5890411</v>
      </c>
      <c r="D64" s="40">
        <f>C64+D63</f>
        <v>-40795101.1288042</v>
      </c>
      <c r="E64" s="40">
        <f t="shared" ref="E64:H64" si="10">D64+E63</f>
        <v>-29420305.4771656</v>
      </c>
      <c r="F64" s="40">
        <f t="shared" si="10"/>
        <v>-19796958.9021752</v>
      </c>
      <c r="G64" s="40">
        <f t="shared" si="10"/>
        <v>-11655379.7355166</v>
      </c>
      <c r="H64" s="40">
        <f t="shared" si="10"/>
        <v>-1716060.81771636</v>
      </c>
    </row>
    <row r="66" ht="14.4" spans="1:4">
      <c r="A66" s="42" t="s">
        <v>58</v>
      </c>
      <c r="B66" s="43"/>
      <c r="C66" s="44">
        <f>NPV(H12,D60:H60)+C60</f>
        <v>-1716060.81771637</v>
      </c>
      <c r="D66" s="28"/>
    </row>
    <row r="67" spans="1:3">
      <c r="A67" s="45" t="s">
        <v>59</v>
      </c>
      <c r="B67" s="46"/>
      <c r="C67" s="47">
        <f>IRR(C60:H60)</f>
        <v>0.168587051033778</v>
      </c>
    </row>
    <row r="68" spans="1:3">
      <c r="A68" s="45" t="s">
        <v>60</v>
      </c>
      <c r="B68" s="46"/>
      <c r="C68" s="48" cm="1">
        <f ca="1" t="array" ref="C68">IFERROR(COUNTIF(D61:H61,"&lt; "&amp;0&amp;" ")+(-INDIRECT(ADDRESS(61,MATCH(TRUE,D61:H61&gt;0,0)+2))/INDIRECT(ADDRESS(60,MATCH(TRUE,D61:H61&gt;0,0)+3))),FALSE)</f>
        <v>3.41304490240631</v>
      </c>
    </row>
    <row r="69" spans="1:3">
      <c r="A69" s="45" t="s">
        <v>61</v>
      </c>
      <c r="B69" s="46"/>
      <c r="C69" s="49" t="b" cm="1">
        <f ca="1" t="array" ref="C69">IFERROR(COUNTIF(D64:H64,"&lt; "&amp;0&amp;" ")+(-INDIRECT(ADDRESS(64,MATCH(TRUE,D64:H64&gt;0,0)+2))/INDIRECT(ADDRESS(63,MATCH(TRUE,D64:H64&gt;0,0)+3))),FALSE)</f>
        <v>0</v>
      </c>
    </row>
    <row r="70" spans="1:3">
      <c r="A70" s="50" t="s">
        <v>62</v>
      </c>
      <c r="B70" s="51"/>
      <c r="C70" s="52">
        <f>(-C64+C66)/(-C64)</f>
        <v>0.96836177451118</v>
      </c>
    </row>
    <row r="71" ht="14.4" spans="3:3">
      <c r="C71"/>
    </row>
    <row r="72" spans="3:7">
      <c r="C72" s="28"/>
      <c r="D72" s="28"/>
      <c r="E72" s="28"/>
      <c r="F72" s="28"/>
      <c r="G72" s="28"/>
    </row>
  </sheetData>
  <mergeCells count="2">
    <mergeCell ref="E5:F5"/>
    <mergeCell ref="E6:F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咕咕咕</cp:lastModifiedBy>
  <dcterms:created xsi:type="dcterms:W3CDTF">2006-09-16T00:00:00Z</dcterms:created>
  <dcterms:modified xsi:type="dcterms:W3CDTF">2024-12-09T02:36:09Z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16892266-A6FF-42BA-9846-B4078C35D0CE</vt:lpwstr>
  </property>
  <property fmtid="{D5CDD505-2E9C-101B-9397-08002B2CF9AE}" pid="3" name="ICV">
    <vt:lpwstr>DEB050CE81D344D1AEF9A05AA4D3F952_13</vt:lpwstr>
  </property>
  <property fmtid="{D5CDD505-2E9C-101B-9397-08002B2CF9AE}" pid="4" name="KSOProductBuildVer">
    <vt:lpwstr>2052-12.1.0.19302</vt:lpwstr>
  </property>
</Properties>
</file>