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filterPrivacy="1" defaultThemeVersion="124226"/>
  <xr:revisionPtr revIDLastSave="0" documentId="13_ncr:1_{EEBAB70F-4081-2F4F-9BD9-B78BA5F97509}" xr6:coauthVersionLast="47" xr6:coauthVersionMax="47" xr10:uidLastSave="{00000000-0000-0000-0000-000000000000}"/>
  <bookViews>
    <workbookView xWindow="0" yWindow="740" windowWidth="29400" windowHeight="16900" xr2:uid="{00000000-000D-0000-FFFF-FFFF00000000}"/>
  </bookViews>
  <sheets>
    <sheet name="baseline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" i="2" l="1"/>
  <c r="C67" i="2"/>
  <c r="C66" i="2"/>
  <c r="C68" i="2"/>
  <c r="H63" i="2"/>
  <c r="D26" i="2"/>
  <c r="E26" i="2"/>
  <c r="F26" i="2"/>
  <c r="G26" i="2"/>
  <c r="H26" i="2"/>
  <c r="H22" i="2"/>
  <c r="H23" i="2"/>
  <c r="H21" i="2"/>
  <c r="E58" i="2"/>
  <c r="F58" i="2"/>
  <c r="G58" i="2"/>
  <c r="H58" i="2"/>
  <c r="D58" i="2"/>
  <c r="E57" i="2"/>
  <c r="F57" i="2"/>
  <c r="G57" i="2"/>
  <c r="H57" i="2"/>
  <c r="D57" i="2"/>
  <c r="D60" i="2"/>
  <c r="E56" i="2"/>
  <c r="F56" i="2"/>
  <c r="G56" i="2"/>
  <c r="H56" i="2"/>
  <c r="D56" i="2"/>
  <c r="E53" i="2"/>
  <c r="F53" i="2"/>
  <c r="G53" i="2"/>
  <c r="H53" i="2"/>
  <c r="D53" i="2"/>
  <c r="E51" i="2"/>
  <c r="F51" i="2"/>
  <c r="G51" i="2"/>
  <c r="H51" i="2"/>
  <c r="D51" i="2"/>
  <c r="E49" i="2"/>
  <c r="F49" i="2"/>
  <c r="G49" i="2"/>
  <c r="H49" i="2"/>
  <c r="D49" i="2"/>
  <c r="E47" i="2"/>
  <c r="F47" i="2"/>
  <c r="G47" i="2"/>
  <c r="H47" i="2"/>
  <c r="D47" i="2"/>
  <c r="H46" i="2"/>
  <c r="E46" i="2"/>
  <c r="F46" i="2"/>
  <c r="G46" i="2"/>
  <c r="D46" i="2"/>
  <c r="E44" i="2"/>
  <c r="F44" i="2"/>
  <c r="G44" i="2"/>
  <c r="H44" i="2"/>
  <c r="D44" i="2"/>
  <c r="E43" i="2"/>
  <c r="F43" i="2"/>
  <c r="G43" i="2"/>
  <c r="H43" i="2"/>
  <c r="D43" i="2"/>
  <c r="E42" i="2"/>
  <c r="F42" i="2"/>
  <c r="G42" i="2"/>
  <c r="H42" i="2"/>
  <c r="D42" i="2"/>
  <c r="D41" i="2"/>
  <c r="E41" i="2"/>
  <c r="F41" i="2"/>
  <c r="G41" i="2"/>
  <c r="H41" i="2"/>
  <c r="E40" i="2"/>
  <c r="F40" i="2"/>
  <c r="G40" i="2"/>
  <c r="H40" i="2"/>
  <c r="D40" i="2"/>
  <c r="C31" i="2"/>
  <c r="E37" i="2"/>
  <c r="F37" i="2"/>
  <c r="G37" i="2"/>
  <c r="H37" i="2"/>
  <c r="E36" i="2"/>
  <c r="F36" i="2"/>
  <c r="G36" i="2"/>
  <c r="H36" i="2"/>
  <c r="D37" i="2"/>
  <c r="D36" i="2"/>
  <c r="C29" i="2"/>
  <c r="H32" i="2"/>
  <c r="C32" i="2"/>
  <c r="D34" i="2"/>
  <c r="E34" i="2"/>
  <c r="F34" i="2"/>
  <c r="G34" i="2"/>
  <c r="H34" i="2"/>
  <c r="D32" i="2"/>
  <c r="E32" i="2"/>
  <c r="F32" i="2"/>
  <c r="G32" i="2"/>
  <c r="D31" i="2"/>
  <c r="E31" i="2"/>
  <c r="F31" i="2"/>
  <c r="G31" i="2"/>
  <c r="D30" i="2"/>
  <c r="E30" i="2"/>
  <c r="F30" i="2"/>
  <c r="G30" i="2"/>
  <c r="D29" i="2"/>
  <c r="E29" i="2"/>
  <c r="F29" i="2"/>
  <c r="G29" i="2"/>
  <c r="C34" i="2"/>
  <c r="C60" i="2"/>
  <c r="C30" i="2"/>
  <c r="C20" i="2"/>
  <c r="C26" i="2"/>
  <c r="E60" i="2"/>
  <c r="F60" i="2"/>
  <c r="G60" i="2"/>
  <c r="H60" i="2"/>
  <c r="C63" i="2"/>
  <c r="C64" i="2"/>
  <c r="D63" i="2"/>
  <c r="D64" i="2"/>
  <c r="E63" i="2"/>
  <c r="E64" i="2"/>
  <c r="F63" i="2"/>
  <c r="F64" i="2"/>
  <c r="G63" i="2"/>
  <c r="G64" i="2"/>
  <c r="H64" i="2"/>
  <c r="C61" i="2"/>
  <c r="D61" i="2"/>
  <c r="E61" i="2"/>
  <c r="F61" i="2"/>
  <c r="G61" i="2"/>
  <c r="H61" i="2"/>
</calcChain>
</file>

<file path=xl/sharedStrings.xml><?xml version="1.0" encoding="utf-8"?>
<sst xmlns="http://schemas.openxmlformats.org/spreadsheetml/2006/main" count="71" uniqueCount="65">
  <si>
    <t>Monthly Sales (units)</t>
  </si>
  <si>
    <t>Cost of New Equipment (pesos)</t>
  </si>
  <si>
    <t>Resale Value of Equipment (pesos)</t>
  </si>
  <si>
    <t>Unit Sale Price (pesos)</t>
  </si>
  <si>
    <t>% Overhead to Sales</t>
  </si>
  <si>
    <t>Building Rental (pesos)</t>
  </si>
  <si>
    <t>Unit Raw Material Cost (pesos)</t>
  </si>
  <si>
    <t>Average Collection Period (Days)</t>
  </si>
  <si>
    <t>Average Payment Period (Days)</t>
  </si>
  <si>
    <t>Monthly Labor Costs (pesos)</t>
  </si>
  <si>
    <t>Years of Straight-line Depreciation</t>
  </si>
  <si>
    <t>Cost of Capital</t>
  </si>
  <si>
    <t>Monthly Energy Costs (pesos)</t>
  </si>
  <si>
    <t>Tax Rate</t>
  </si>
  <si>
    <t>Erosion (pesos)</t>
  </si>
  <si>
    <t>Year</t>
  </si>
  <si>
    <t xml:space="preserve">       Less Taxes</t>
  </si>
  <si>
    <t>Net Resale Value of Equipment (pesos)</t>
  </si>
  <si>
    <t>Working Capital Requirements (pesos)</t>
  </si>
  <si>
    <t xml:space="preserve">       Payables ((Material Costs/365)*Avg Pmt Period)</t>
  </si>
  <si>
    <t>Change in Working Capital Requirements (pesos)</t>
  </si>
  <si>
    <t>Annual Sales (Units)</t>
  </si>
  <si>
    <t>Annual Sales Revenue (pesos)</t>
  </si>
  <si>
    <t>Operating Expenses (pesos)</t>
  </si>
  <si>
    <t xml:space="preserve">       Raw Material Costs</t>
  </si>
  <si>
    <t xml:space="preserve">       Direct Labor Costs</t>
  </si>
  <si>
    <t xml:space="preserve">       Energy Costs</t>
  </si>
  <si>
    <t xml:space="preserve">       Depreciation</t>
  </si>
  <si>
    <t xml:space="preserve">       General Administrative and Selling Expenses</t>
  </si>
  <si>
    <t xml:space="preserve">       Overhead Expenses</t>
  </si>
  <si>
    <t>Total Operating Expenses (pesos)</t>
  </si>
  <si>
    <t xml:space="preserve">     Taxes (pesos)</t>
  </si>
  <si>
    <t>Operating Profit After Tax (pesos)</t>
  </si>
  <si>
    <t>Project's Operating Cash Flow (pesos)</t>
  </si>
  <si>
    <t xml:space="preserve">     Depreciation (pesos)</t>
  </si>
  <si>
    <t>Total Operating Cash Flow (pesos)</t>
  </si>
  <si>
    <t>Project's Free Cash Flow (pesos)</t>
  </si>
  <si>
    <t>Present Value of Cash Flow (pesos)</t>
  </si>
  <si>
    <t>NPV (pesos)</t>
  </si>
  <si>
    <t>IRR</t>
  </si>
  <si>
    <t>Payback Period (Years)</t>
  </si>
  <si>
    <t>Discounted Payback Period (Years)</t>
  </si>
  <si>
    <t>Profitability Index</t>
  </si>
  <si>
    <t>Net Capital Expenditure</t>
  </si>
  <si>
    <t xml:space="preserve">       Receivables (=(Sales/365)*Avg Collection Period)</t>
  </si>
  <si>
    <t xml:space="preserve">       Inventories (=One month materials costs)</t>
  </si>
  <si>
    <t>Consultant's market study cost</t>
  </si>
  <si>
    <t>*the shaded rows are reserved for sensitivity analysis</t>
  </si>
  <si>
    <t xml:space="preserve">   Increase (Decrease) in Sales Volume*</t>
  </si>
  <si>
    <t xml:space="preserve">   Increase (Decrease) in Sales Price*</t>
  </si>
  <si>
    <t xml:space="preserve">   Increase (Decrease) in Raw Material Costs*</t>
  </si>
  <si>
    <t xml:space="preserve">   Increase (Decrease) in Direct Labor Costs*</t>
  </si>
  <si>
    <t xml:space="preserve">   Increase (Decrease) in Energy Costs*</t>
  </si>
  <si>
    <t>Project Information</t>
  </si>
  <si>
    <t>Intrest rate of loan</t>
  </si>
  <si>
    <t>Consultant's market study cost ?</t>
  </si>
  <si>
    <t xml:space="preserve">       Building Rental (Opportunity Costs) ?</t>
  </si>
  <si>
    <t xml:space="preserve">     Intrest Expenses ?</t>
  </si>
  <si>
    <t>Operating Profit Before Interest and Tax (pesos)</t>
  </si>
  <si>
    <t xml:space="preserve">     Erosion of Existing Sales (pesos) ?</t>
  </si>
  <si>
    <t xml:space="preserve">Hola Kola - The Valuation of the Zero-Calorie Soda Project </t>
    <phoneticPr fontId="2" type="noConversion"/>
  </si>
  <si>
    <t>Sunk Cost!</t>
  </si>
  <si>
    <t>WACC Already</t>
  </si>
  <si>
    <t xml:space="preserve">    Cumulative Cash Flow (pesos)</t>
  </si>
  <si>
    <t xml:space="preserve">    Cumulative PV of Cash flow (pesos)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</si>
</sst>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color rgb="FFC00000"/>
      <name val="Times New Roman"/>
      <family val="1"/>
    </font>
    <font>
      <b/>
      <u/>
      <sz val="10"/>
      <color rgb="FFC00000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1" applyFont="1"/>
    <xf numFmtId="0" fontId="3" fillId="0" borderId="1" xfId="1" applyFont="1" applyBorder="1"/>
    <xf numFmtId="0" fontId="3" fillId="0" borderId="2" xfId="1" applyFont="1" applyBorder="1"/>
    <xf numFmtId="3" fontId="3" fillId="0" borderId="3" xfId="1" applyNumberFormat="1" applyFont="1" applyBorder="1"/>
    <xf numFmtId="0" fontId="3" fillId="4" borderId="4" xfId="1" applyFont="1" applyFill="1" applyBorder="1"/>
    <xf numFmtId="0" fontId="3" fillId="4" borderId="0" xfId="1" applyFont="1" applyFill="1"/>
    <xf numFmtId="0" fontId="3" fillId="0" borderId="4" xfId="1" applyFont="1" applyBorder="1"/>
    <xf numFmtId="3" fontId="3" fillId="0" borderId="5" xfId="1" applyNumberFormat="1" applyFont="1" applyBorder="1"/>
    <xf numFmtId="165" fontId="3" fillId="0" borderId="5" xfId="1" applyNumberFormat="1" applyFont="1" applyBorder="1"/>
    <xf numFmtId="0" fontId="3" fillId="0" borderId="5" xfId="1" applyFont="1" applyBorder="1"/>
    <xf numFmtId="0" fontId="3" fillId="0" borderId="6" xfId="1" applyFont="1" applyBorder="1"/>
    <xf numFmtId="0" fontId="3" fillId="0" borderId="7" xfId="1" applyFont="1" applyBorder="1"/>
    <xf numFmtId="0" fontId="4" fillId="0" borderId="7" xfId="1" applyFont="1" applyBorder="1"/>
    <xf numFmtId="0" fontId="5" fillId="0" borderId="0" xfId="1" applyFont="1"/>
    <xf numFmtId="164" fontId="3" fillId="0" borderId="0" xfId="1" applyNumberFormat="1" applyFont="1"/>
    <xf numFmtId="0" fontId="6" fillId="0" borderId="0" xfId="1" applyFont="1"/>
    <xf numFmtId="0" fontId="7" fillId="0" borderId="0" xfId="1" applyFont="1"/>
    <xf numFmtId="164" fontId="6" fillId="0" borderId="0" xfId="1" applyNumberFormat="1" applyFont="1"/>
    <xf numFmtId="0" fontId="3" fillId="3" borderId="0" xfId="1" applyFont="1" applyFill="1"/>
    <xf numFmtId="164" fontId="3" fillId="3" borderId="0" xfId="1" applyNumberFormat="1" applyFont="1" applyFill="1"/>
    <xf numFmtId="43" fontId="3" fillId="0" borderId="0" xfId="1" applyNumberFormat="1" applyFont="1"/>
    <xf numFmtId="164" fontId="3" fillId="0" borderId="0" xfId="2" applyNumberFormat="1" applyFont="1" applyBorder="1"/>
    <xf numFmtId="0" fontId="3" fillId="2" borderId="10" xfId="1" applyFont="1" applyFill="1" applyBorder="1"/>
    <xf numFmtId="0" fontId="3" fillId="2" borderId="11" xfId="1" applyFont="1" applyFill="1" applyBorder="1"/>
    <xf numFmtId="0" fontId="3" fillId="2" borderId="13" xfId="1" applyFont="1" applyFill="1" applyBorder="1"/>
    <xf numFmtId="0" fontId="3" fillId="2" borderId="0" xfId="1" applyFont="1" applyFill="1"/>
    <xf numFmtId="10" fontId="3" fillId="2" borderId="14" xfId="1" applyNumberFormat="1" applyFont="1" applyFill="1" applyBorder="1"/>
    <xf numFmtId="2" fontId="3" fillId="2" borderId="14" xfId="1" applyNumberFormat="1" applyFont="1" applyFill="1" applyBorder="1"/>
    <xf numFmtId="2" fontId="3" fillId="2" borderId="14" xfId="1" applyNumberFormat="1" applyFont="1" applyFill="1" applyBorder="1" applyAlignment="1">
      <alignment horizontal="right"/>
    </xf>
    <xf numFmtId="0" fontId="3" fillId="2" borderId="15" xfId="1" applyFont="1" applyFill="1" applyBorder="1"/>
    <xf numFmtId="0" fontId="3" fillId="2" borderId="9" xfId="1" applyFont="1" applyFill="1" applyBorder="1"/>
    <xf numFmtId="43" fontId="3" fillId="2" borderId="16" xfId="1" applyNumberFormat="1" applyFont="1" applyFill="1" applyBorder="1"/>
    <xf numFmtId="164" fontId="6" fillId="0" borderId="0" xfId="1" applyNumberFormat="1" applyFont="1" applyAlignment="1">
      <alignment horizontal="right"/>
    </xf>
    <xf numFmtId="37" fontId="3" fillId="3" borderId="0" xfId="1" applyNumberFormat="1" applyFont="1" applyFill="1"/>
    <xf numFmtId="37" fontId="3" fillId="0" borderId="0" xfId="1" applyNumberFormat="1" applyFont="1"/>
    <xf numFmtId="164" fontId="8" fillId="0" borderId="3" xfId="2" applyNumberFormat="1" applyFont="1" applyBorder="1"/>
    <xf numFmtId="9" fontId="8" fillId="4" borderId="5" xfId="3" applyFont="1" applyFill="1" applyBorder="1"/>
    <xf numFmtId="164" fontId="8" fillId="0" borderId="5" xfId="2" applyNumberFormat="1" applyFont="1" applyBorder="1"/>
    <xf numFmtId="9" fontId="8" fillId="0" borderId="5" xfId="3" applyFont="1" applyBorder="1"/>
    <xf numFmtId="166" fontId="8" fillId="0" borderId="5" xfId="3" applyNumberFormat="1" applyFont="1" applyBorder="1"/>
    <xf numFmtId="164" fontId="8" fillId="0" borderId="5" xfId="2" applyNumberFormat="1" applyFont="1" applyFill="1" applyBorder="1"/>
    <xf numFmtId="9" fontId="8" fillId="0" borderId="8" xfId="3" applyFont="1" applyFill="1" applyBorder="1"/>
    <xf numFmtId="9" fontId="8" fillId="0" borderId="0" xfId="3" applyFont="1" applyFill="1" applyBorder="1"/>
    <xf numFmtId="164" fontId="8" fillId="0" borderId="8" xfId="2" applyNumberFormat="1" applyFont="1" applyFill="1" applyBorder="1"/>
    <xf numFmtId="1" fontId="4" fillId="0" borderId="7" xfId="1" applyNumberFormat="1" applyFont="1" applyBorder="1"/>
    <xf numFmtId="0" fontId="4" fillId="0" borderId="0" xfId="1" applyFont="1"/>
    <xf numFmtId="164" fontId="8" fillId="0" borderId="0" xfId="2" applyNumberFormat="1" applyFont="1" applyBorder="1" applyAlignment="1"/>
    <xf numFmtId="164" fontId="8" fillId="0" borderId="0" xfId="2" applyNumberFormat="1" applyFont="1" applyBorder="1"/>
    <xf numFmtId="164" fontId="8" fillId="0" borderId="0" xfId="2" applyNumberFormat="1" applyFont="1"/>
    <xf numFmtId="164" fontId="8" fillId="2" borderId="12" xfId="2" applyNumberFormat="1" applyFont="1" applyFill="1" applyBorder="1"/>
    <xf numFmtId="164" fontId="8" fillId="0" borderId="9" xfId="2" applyNumberFormat="1" applyFont="1" applyBorder="1" applyAlignment="1"/>
    <xf numFmtId="164" fontId="3" fillId="0" borderId="9" xfId="1" applyNumberFormat="1" applyFont="1" applyBorder="1"/>
    <xf numFmtId="164" fontId="3" fillId="0" borderId="9" xfId="2" applyNumberFormat="1" applyFont="1" applyBorder="1"/>
    <xf numFmtId="0" fontId="3" fillId="0" borderId="1" xfId="1" applyFont="1" applyBorder="1"/>
    <xf numFmtId="0" fontId="3" fillId="0" borderId="2" xfId="1" applyFont="1" applyBorder="1"/>
    <xf numFmtId="0" fontId="3" fillId="0" borderId="4" xfId="1" applyFont="1" applyBorder="1"/>
    <xf numFmtId="0" fontId="3" fillId="0" borderId="0" xfId="1" applyFont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1244390</xdr:colOff>
      <xdr:row>17</xdr:row>
      <xdr:rowOff>167644</xdr:rowOff>
    </xdr:from>
    <xdr:to>
      <xdr:col>5</xdr:col>
      <xdr:colOff>521292</xdr:colOff>
      <xdr:row>49</xdr:row>
      <xdr:rowOff>65865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18DEDE-0166-584D-B6F9-D88B729F3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4390" y="3145575"/>
          <a:ext cx="5955350" cy="5503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zoomScale="58" zoomScaleNormal="145" workbookViewId="0">
      <selection activeCell="K30" sqref="K30"/>
    </sheetView>
  </sheetViews>
  <sheetFormatPr baseColWidth="10" defaultColWidth="8.83203125" defaultRowHeight="13" x14ac:dyDescent="0.15"/>
  <cols>
    <col min="1" max="1" width="41.1640625" style="1" customWidth="1"/>
    <col min="2" max="2" width="5.1640625" style="1" customWidth="1"/>
    <col min="3" max="8" width="13.6640625" style="1" customWidth="1"/>
    <col min="9" max="9" width="2.1640625" style="1" customWidth="1"/>
    <col min="10" max="10" width="8.83203125" style="1" customWidth="1"/>
    <col min="11" max="16384" width="8.83203125" style="1"/>
  </cols>
  <sheetData>
    <row r="1" spans="1:8" x14ac:dyDescent="0.15">
      <c r="A1" s="46" t="s">
        <v>60</v>
      </c>
      <c r="B1" s="46"/>
    </row>
    <row r="3" spans="1:8" x14ac:dyDescent="0.15">
      <c r="A3" s="46" t="s">
        <v>53</v>
      </c>
      <c r="B3" s="46"/>
    </row>
    <row r="4" spans="1:8" ht="14" thickBot="1" x14ac:dyDescent="0.2"/>
    <row r="5" spans="1:8" x14ac:dyDescent="0.15">
      <c r="A5" s="2" t="s">
        <v>0</v>
      </c>
      <c r="B5" s="3"/>
      <c r="C5" s="4">
        <v>600000</v>
      </c>
      <c r="E5" s="54" t="s">
        <v>1</v>
      </c>
      <c r="F5" s="55"/>
      <c r="G5" s="3"/>
      <c r="H5" s="36">
        <v>50000000</v>
      </c>
    </row>
    <row r="6" spans="1:8" x14ac:dyDescent="0.15">
      <c r="A6" s="5" t="s">
        <v>48</v>
      </c>
      <c r="B6" s="6"/>
      <c r="C6" s="37">
        <v>0</v>
      </c>
      <c r="E6" s="56" t="s">
        <v>2</v>
      </c>
      <c r="F6" s="57"/>
      <c r="H6" s="38">
        <v>4000000</v>
      </c>
    </row>
    <row r="7" spans="1:8" x14ac:dyDescent="0.15">
      <c r="A7" s="7" t="s">
        <v>3</v>
      </c>
      <c r="C7" s="8">
        <v>5</v>
      </c>
      <c r="E7" s="7" t="s">
        <v>4</v>
      </c>
      <c r="H7" s="39">
        <v>0.01</v>
      </c>
    </row>
    <row r="8" spans="1:8" x14ac:dyDescent="0.15">
      <c r="A8" s="5" t="s">
        <v>49</v>
      </c>
      <c r="B8" s="6"/>
      <c r="C8" s="37">
        <v>0</v>
      </c>
      <c r="E8" s="7" t="s">
        <v>5</v>
      </c>
      <c r="H8" s="38">
        <v>60000</v>
      </c>
    </row>
    <row r="9" spans="1:8" x14ac:dyDescent="0.15">
      <c r="A9" s="7" t="s">
        <v>6</v>
      </c>
      <c r="C9" s="9">
        <v>1.8</v>
      </c>
      <c r="E9" s="7" t="s">
        <v>7</v>
      </c>
      <c r="H9" s="10">
        <v>45</v>
      </c>
    </row>
    <row r="10" spans="1:8" x14ac:dyDescent="0.15">
      <c r="A10" s="5" t="s">
        <v>50</v>
      </c>
      <c r="B10" s="6"/>
      <c r="C10" s="37">
        <v>0</v>
      </c>
      <c r="E10" s="7" t="s">
        <v>8</v>
      </c>
      <c r="H10" s="10">
        <v>36</v>
      </c>
    </row>
    <row r="11" spans="1:8" x14ac:dyDescent="0.15">
      <c r="A11" s="7" t="s">
        <v>9</v>
      </c>
      <c r="C11" s="8">
        <v>180000</v>
      </c>
      <c r="E11" s="7" t="s">
        <v>10</v>
      </c>
      <c r="H11" s="10">
        <v>5</v>
      </c>
    </row>
    <row r="12" spans="1:8" x14ac:dyDescent="0.15">
      <c r="A12" s="5" t="s">
        <v>51</v>
      </c>
      <c r="B12" s="6"/>
      <c r="C12" s="37">
        <v>0</v>
      </c>
      <c r="E12" s="7" t="s">
        <v>11</v>
      </c>
      <c r="H12" s="40">
        <v>0.182</v>
      </c>
    </row>
    <row r="13" spans="1:8" x14ac:dyDescent="0.15">
      <c r="A13" s="7" t="s">
        <v>12</v>
      </c>
      <c r="C13" s="8">
        <v>50000</v>
      </c>
      <c r="E13" s="7" t="s">
        <v>13</v>
      </c>
      <c r="H13" s="39">
        <v>0.3</v>
      </c>
    </row>
    <row r="14" spans="1:8" x14ac:dyDescent="0.15">
      <c r="A14" s="5" t="s">
        <v>52</v>
      </c>
      <c r="B14" s="6"/>
      <c r="C14" s="37">
        <v>0</v>
      </c>
      <c r="E14" s="7" t="s">
        <v>14</v>
      </c>
      <c r="H14" s="41">
        <v>800000</v>
      </c>
    </row>
    <row r="15" spans="1:8" ht="14" thickBot="1" x14ac:dyDescent="0.2">
      <c r="A15" s="11" t="s">
        <v>47</v>
      </c>
      <c r="B15" s="12"/>
      <c r="C15" s="42"/>
      <c r="E15" s="7" t="s">
        <v>54</v>
      </c>
      <c r="H15" s="39">
        <v>0.16</v>
      </c>
    </row>
    <row r="16" spans="1:8" ht="14" thickBot="1" x14ac:dyDescent="0.2">
      <c r="C16" s="43"/>
      <c r="E16" s="11" t="s">
        <v>46</v>
      </c>
      <c r="F16" s="12"/>
      <c r="G16" s="12"/>
      <c r="H16" s="44">
        <v>5000000</v>
      </c>
    </row>
    <row r="18" spans="1:8" ht="14" thickBot="1" x14ac:dyDescent="0.2">
      <c r="A18" s="13" t="s">
        <v>15</v>
      </c>
      <c r="B18" s="13"/>
      <c r="C18" s="45">
        <v>0</v>
      </c>
      <c r="D18" s="45">
        <v>1</v>
      </c>
      <c r="E18" s="45">
        <v>2</v>
      </c>
      <c r="F18" s="45">
        <v>3</v>
      </c>
      <c r="G18" s="45">
        <v>4</v>
      </c>
      <c r="H18" s="45">
        <v>5</v>
      </c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  <row r="20" spans="1:8" x14ac:dyDescent="0.15">
      <c r="A20" s="1" t="s">
        <v>1</v>
      </c>
      <c r="C20" s="35">
        <f>-$H$5</f>
        <v>-50000000</v>
      </c>
      <c r="D20" s="14"/>
      <c r="E20" s="14"/>
      <c r="F20" s="14"/>
      <c r="G20" s="14"/>
      <c r="H20" s="14"/>
    </row>
    <row r="21" spans="1:8" x14ac:dyDescent="0.15">
      <c r="A21" s="1" t="s">
        <v>2</v>
      </c>
      <c r="D21" s="14"/>
      <c r="E21" s="14"/>
      <c r="F21" s="14"/>
      <c r="G21" s="14"/>
      <c r="H21" s="15">
        <f>$H$6</f>
        <v>4000000</v>
      </c>
    </row>
    <row r="22" spans="1:8" x14ac:dyDescent="0.15">
      <c r="A22" s="1" t="s">
        <v>16</v>
      </c>
      <c r="D22" s="14"/>
      <c r="E22" s="14"/>
      <c r="F22" s="14"/>
      <c r="G22" s="14"/>
      <c r="H22" s="15">
        <f>-H21*$H$13</f>
        <v>-1200000</v>
      </c>
    </row>
    <row r="23" spans="1:8" x14ac:dyDescent="0.15">
      <c r="A23" s="1" t="s">
        <v>17</v>
      </c>
      <c r="D23" s="14"/>
      <c r="E23" s="14"/>
      <c r="F23" s="14"/>
      <c r="G23" s="14"/>
      <c r="H23" s="15">
        <f>H21+H22</f>
        <v>2800000</v>
      </c>
    </row>
    <row r="24" spans="1:8" x14ac:dyDescent="0.15">
      <c r="A24" s="16" t="s">
        <v>55</v>
      </c>
      <c r="B24" s="16"/>
      <c r="C24" s="33" t="s">
        <v>61</v>
      </c>
      <c r="D24" s="17"/>
      <c r="E24" s="17"/>
      <c r="F24" s="17"/>
      <c r="G24" s="17"/>
      <c r="H24" s="18"/>
    </row>
    <row r="25" spans="1:8" x14ac:dyDescent="0.15">
      <c r="D25" s="14"/>
      <c r="E25" s="14"/>
      <c r="F25" s="14"/>
      <c r="G25" s="14"/>
      <c r="H25" s="15"/>
    </row>
    <row r="26" spans="1:8" x14ac:dyDescent="0.15">
      <c r="A26" s="19" t="s">
        <v>43</v>
      </c>
      <c r="B26" s="19"/>
      <c r="C26" s="34">
        <f>C20+C23</f>
        <v>-50000000</v>
      </c>
      <c r="D26" s="20">
        <f t="shared" ref="D26:H26" si="0">D20+D23</f>
        <v>0</v>
      </c>
      <c r="E26" s="20">
        <f t="shared" si="0"/>
        <v>0</v>
      </c>
      <c r="F26" s="20">
        <f t="shared" si="0"/>
        <v>0</v>
      </c>
      <c r="G26" s="20">
        <f t="shared" si="0"/>
        <v>0</v>
      </c>
      <c r="H26" s="34">
        <f t="shared" si="0"/>
        <v>2800000</v>
      </c>
    </row>
    <row r="27" spans="1:8" x14ac:dyDescent="0.15">
      <c r="D27" s="14"/>
      <c r="E27" s="14"/>
      <c r="F27" s="14"/>
      <c r="G27" s="14"/>
      <c r="H27" s="15"/>
    </row>
    <row r="28" spans="1:8" x14ac:dyDescent="0.15">
      <c r="A28" s="1" t="s">
        <v>18</v>
      </c>
      <c r="D28" s="14"/>
      <c r="E28" s="14"/>
      <c r="F28" s="14"/>
      <c r="G28" s="14"/>
      <c r="H28" s="15"/>
    </row>
    <row r="29" spans="1:8" x14ac:dyDescent="0.15">
      <c r="A29" s="1" t="s">
        <v>44</v>
      </c>
      <c r="C29" s="47">
        <f>(12 * $C$5 * (1+$C$6)^C18 * $C$7 * (1+$C$8)^C18) / 365 * $H$9</f>
        <v>4438356.1643835614</v>
      </c>
      <c r="D29" s="47">
        <f t="shared" ref="D29:G29" si="1">(12 * $C$5 * (1+$C$6)^D18 * $C$7 * (1+$C$8)^D18) / 365 * $H$9</f>
        <v>4438356.1643835614</v>
      </c>
      <c r="E29" s="47">
        <f t="shared" si="1"/>
        <v>4438356.1643835614</v>
      </c>
      <c r="F29" s="47">
        <f t="shared" si="1"/>
        <v>4438356.1643835614</v>
      </c>
      <c r="G29" s="47">
        <f t="shared" si="1"/>
        <v>4438356.1643835614</v>
      </c>
      <c r="H29" s="47">
        <v>0</v>
      </c>
    </row>
    <row r="30" spans="1:8" x14ac:dyDescent="0.15">
      <c r="A30" s="1" t="s">
        <v>45</v>
      </c>
      <c r="C30" s="47">
        <f>$C$5 * (1+$C$6)^C18 * $C$9 * (1+$C$10)^C18</f>
        <v>1080000</v>
      </c>
      <c r="D30" s="47">
        <f t="shared" ref="D30:G30" si="2">$C$5 * (1+$C$6)^D18 * $C$9 * (1+$C$10)^D18</f>
        <v>1080000</v>
      </c>
      <c r="E30" s="47">
        <f t="shared" si="2"/>
        <v>1080000</v>
      </c>
      <c r="F30" s="47">
        <f t="shared" si="2"/>
        <v>1080000</v>
      </c>
      <c r="G30" s="47">
        <f t="shared" si="2"/>
        <v>1080000</v>
      </c>
      <c r="H30" s="47">
        <v>0</v>
      </c>
    </row>
    <row r="31" spans="1:8" x14ac:dyDescent="0.15">
      <c r="A31" s="1" t="s">
        <v>19</v>
      </c>
      <c r="C31" s="51">
        <f>-(12 * $C$5 * (1+$C$6)^C18 * $C$9 * (1+$C$10)^C18) / 365 * $H$10</f>
        <v>-1278246.5753424659</v>
      </c>
      <c r="D31" s="51">
        <f t="shared" ref="D31:G31" si="3">-(12 * $C$5 * (1+$C$6)^D18 * $C$9 * (1+$C$10)^D18) / 365 * $H$10</f>
        <v>-1278246.5753424659</v>
      </c>
      <c r="E31" s="51">
        <f t="shared" si="3"/>
        <v>-1278246.5753424659</v>
      </c>
      <c r="F31" s="51">
        <f t="shared" si="3"/>
        <v>-1278246.5753424659</v>
      </c>
      <c r="G31" s="51">
        <f t="shared" si="3"/>
        <v>-1278246.5753424659</v>
      </c>
      <c r="H31" s="51">
        <v>0</v>
      </c>
    </row>
    <row r="32" spans="1:8" x14ac:dyDescent="0.15">
      <c r="C32" s="15">
        <f>SUM(C29:C31)</f>
        <v>4240109.5890410952</v>
      </c>
      <c r="D32" s="15">
        <f t="shared" ref="D32:H32" si="4">SUM(D29:D31)</f>
        <v>4240109.5890410952</v>
      </c>
      <c r="E32" s="15">
        <f t="shared" si="4"/>
        <v>4240109.5890410952</v>
      </c>
      <c r="F32" s="15">
        <f t="shared" si="4"/>
        <v>4240109.5890410952</v>
      </c>
      <c r="G32" s="15">
        <f t="shared" si="4"/>
        <v>4240109.5890410952</v>
      </c>
      <c r="H32" s="15">
        <f t="shared" si="4"/>
        <v>0</v>
      </c>
    </row>
    <row r="33" spans="1:9" x14ac:dyDescent="0.15">
      <c r="C33" s="15"/>
      <c r="D33" s="15"/>
      <c r="E33" s="15"/>
      <c r="F33" s="15"/>
      <c r="G33" s="15"/>
      <c r="H33" s="15"/>
    </row>
    <row r="34" spans="1:9" x14ac:dyDescent="0.15">
      <c r="A34" s="19" t="s">
        <v>20</v>
      </c>
      <c r="B34" s="19"/>
      <c r="C34" s="20">
        <f>-(C32-B32)</f>
        <v>-4240109.5890410952</v>
      </c>
      <c r="D34" s="20">
        <f t="shared" ref="D34:H34" si="5">-(D32-C32)</f>
        <v>0</v>
      </c>
      <c r="E34" s="20">
        <f t="shared" si="5"/>
        <v>0</v>
      </c>
      <c r="F34" s="20">
        <f t="shared" si="5"/>
        <v>0</v>
      </c>
      <c r="G34" s="20">
        <f t="shared" si="5"/>
        <v>0</v>
      </c>
      <c r="H34" s="20">
        <f t="shared" si="5"/>
        <v>4240109.5890410952</v>
      </c>
    </row>
    <row r="36" spans="1:9" x14ac:dyDescent="0.15">
      <c r="A36" s="1" t="s">
        <v>21</v>
      </c>
      <c r="D36" s="48">
        <f>12 * $C$5 * (1+$C$6)^C18</f>
        <v>7200000</v>
      </c>
      <c r="E36" s="48">
        <f t="shared" ref="E36:H36" si="6">12 * $C$5 * (1+$C$6)^D18</f>
        <v>7200000</v>
      </c>
      <c r="F36" s="48">
        <f t="shared" si="6"/>
        <v>7200000</v>
      </c>
      <c r="G36" s="48">
        <f t="shared" si="6"/>
        <v>7200000</v>
      </c>
      <c r="H36" s="48">
        <f t="shared" si="6"/>
        <v>7200000</v>
      </c>
    </row>
    <row r="37" spans="1:9" x14ac:dyDescent="0.15">
      <c r="A37" s="1" t="s">
        <v>22</v>
      </c>
      <c r="D37" s="15">
        <f>D36 * $C$7 * (1+$C$8)^D18</f>
        <v>36000000</v>
      </c>
      <c r="E37" s="15">
        <f t="shared" ref="E37:H37" si="7">E36 * $C$7 * (1+$C$8)^E18</f>
        <v>36000000</v>
      </c>
      <c r="F37" s="15">
        <f t="shared" si="7"/>
        <v>36000000</v>
      </c>
      <c r="G37" s="15">
        <f t="shared" si="7"/>
        <v>36000000</v>
      </c>
      <c r="H37" s="15">
        <f t="shared" si="7"/>
        <v>36000000</v>
      </c>
      <c r="I37" s="21"/>
    </row>
    <row r="39" spans="1:9" x14ac:dyDescent="0.15">
      <c r="A39" s="1" t="s">
        <v>23</v>
      </c>
    </row>
    <row r="40" spans="1:9" x14ac:dyDescent="0.15">
      <c r="A40" s="1" t="s">
        <v>24</v>
      </c>
      <c r="D40" s="48">
        <f>-(12 * $C$5 * (1+$C$6)^C18 * $C$9 * (1+$C$10)^C18)</f>
        <v>-12960000</v>
      </c>
      <c r="E40" s="48">
        <f t="shared" ref="E40:H40" si="8">-(12 * $C$5 * (1+$C$6)^D18 * $C$9 * (1+$C$10)^D18)</f>
        <v>-12960000</v>
      </c>
      <c r="F40" s="48">
        <f t="shared" si="8"/>
        <v>-12960000</v>
      </c>
      <c r="G40" s="48">
        <f t="shared" si="8"/>
        <v>-12960000</v>
      </c>
      <c r="H40" s="48">
        <f t="shared" si="8"/>
        <v>-12960000</v>
      </c>
    </row>
    <row r="41" spans="1:9" x14ac:dyDescent="0.15">
      <c r="A41" s="1" t="s">
        <v>25</v>
      </c>
      <c r="D41" s="48">
        <f>-($C$11 * (1+$C$12)^D18 * 12)</f>
        <v>-2160000</v>
      </c>
      <c r="E41" s="48">
        <f t="shared" ref="E41:H41" si="9">-($C$11 * (1+$C$12)^E18 * 12)</f>
        <v>-2160000</v>
      </c>
      <c r="F41" s="48">
        <f t="shared" si="9"/>
        <v>-2160000</v>
      </c>
      <c r="G41" s="48">
        <f t="shared" si="9"/>
        <v>-2160000</v>
      </c>
      <c r="H41" s="48">
        <f t="shared" si="9"/>
        <v>-2160000</v>
      </c>
    </row>
    <row r="42" spans="1:9" x14ac:dyDescent="0.15">
      <c r="A42" s="1" t="s">
        <v>26</v>
      </c>
      <c r="D42" s="48">
        <f>-($C$13 * (1+$C$14)^D18 * 12)</f>
        <v>-600000</v>
      </c>
      <c r="E42" s="48">
        <f t="shared" ref="E42:H42" si="10">-($C$13 * (1+$C$14)^E18 * 12)</f>
        <v>-600000</v>
      </c>
      <c r="F42" s="48">
        <f t="shared" si="10"/>
        <v>-600000</v>
      </c>
      <c r="G42" s="48">
        <f t="shared" si="10"/>
        <v>-600000</v>
      </c>
      <c r="H42" s="48">
        <f t="shared" si="10"/>
        <v>-600000</v>
      </c>
    </row>
    <row r="43" spans="1:9" x14ac:dyDescent="0.15">
      <c r="A43" s="16" t="s">
        <v>56</v>
      </c>
      <c r="D43" s="22">
        <f>-$H$8</f>
        <v>-60000</v>
      </c>
      <c r="E43" s="22">
        <f t="shared" ref="E43:H43" si="11">-$H$8</f>
        <v>-60000</v>
      </c>
      <c r="F43" s="22">
        <f t="shared" si="11"/>
        <v>-60000</v>
      </c>
      <c r="G43" s="22">
        <f t="shared" si="11"/>
        <v>-60000</v>
      </c>
      <c r="H43" s="22">
        <f t="shared" si="11"/>
        <v>-60000</v>
      </c>
    </row>
    <row r="44" spans="1:9" x14ac:dyDescent="0.15">
      <c r="A44" s="1" t="s">
        <v>27</v>
      </c>
      <c r="D44" s="15">
        <f>-$H$5/$H$11</f>
        <v>-10000000</v>
      </c>
      <c r="E44" s="15">
        <f t="shared" ref="E44:H44" si="12">-$H$5/$H$11</f>
        <v>-10000000</v>
      </c>
      <c r="F44" s="15">
        <f t="shared" si="12"/>
        <v>-10000000</v>
      </c>
      <c r="G44" s="15">
        <f t="shared" si="12"/>
        <v>-10000000</v>
      </c>
      <c r="H44" s="15">
        <f t="shared" si="12"/>
        <v>-10000000</v>
      </c>
    </row>
    <row r="45" spans="1:9" x14ac:dyDescent="0.15">
      <c r="A45" s="1" t="s">
        <v>28</v>
      </c>
      <c r="D45" s="15">
        <v>-300000</v>
      </c>
      <c r="E45" s="15">
        <v>-300000</v>
      </c>
      <c r="F45" s="15">
        <v>-300000</v>
      </c>
      <c r="G45" s="15">
        <v>-300000</v>
      </c>
      <c r="H45" s="15">
        <v>-300000</v>
      </c>
    </row>
    <row r="46" spans="1:9" x14ac:dyDescent="0.15">
      <c r="A46" s="1" t="s">
        <v>29</v>
      </c>
      <c r="D46" s="52">
        <f>-D37*$H$7</f>
        <v>-360000</v>
      </c>
      <c r="E46" s="52">
        <f t="shared" ref="E46:G46" si="13">-E37*$H$7</f>
        <v>-360000</v>
      </c>
      <c r="F46" s="52">
        <f t="shared" si="13"/>
        <v>-360000</v>
      </c>
      <c r="G46" s="52">
        <f t="shared" si="13"/>
        <v>-360000</v>
      </c>
      <c r="H46" s="52">
        <f>-H37*$H$7</f>
        <v>-360000</v>
      </c>
    </row>
    <row r="47" spans="1:9" x14ac:dyDescent="0.15">
      <c r="A47" s="1" t="s">
        <v>30</v>
      </c>
      <c r="D47" s="15">
        <f>SUM(D40:D46)</f>
        <v>-26440000</v>
      </c>
      <c r="E47" s="15">
        <f t="shared" ref="E47:H47" si="14">SUM(E40:E46)</f>
        <v>-26440000</v>
      </c>
      <c r="F47" s="15">
        <f t="shared" si="14"/>
        <v>-26440000</v>
      </c>
      <c r="G47" s="15">
        <f t="shared" si="14"/>
        <v>-26440000</v>
      </c>
      <c r="H47" s="15">
        <f t="shared" si="14"/>
        <v>-26440000</v>
      </c>
    </row>
    <row r="48" spans="1:9" x14ac:dyDescent="0.15">
      <c r="D48" s="15"/>
      <c r="E48" s="15"/>
      <c r="F48" s="15"/>
      <c r="G48" s="15"/>
      <c r="H48" s="15"/>
    </row>
    <row r="49" spans="1:8" x14ac:dyDescent="0.15">
      <c r="A49" s="1" t="s">
        <v>58</v>
      </c>
      <c r="D49" s="15">
        <f>D37+D47</f>
        <v>9560000</v>
      </c>
      <c r="E49" s="15">
        <f t="shared" ref="E49:H49" si="15">E37+E47</f>
        <v>9560000</v>
      </c>
      <c r="F49" s="15">
        <f t="shared" si="15"/>
        <v>9560000</v>
      </c>
      <c r="G49" s="15">
        <f t="shared" si="15"/>
        <v>9560000</v>
      </c>
      <c r="H49" s="15">
        <f t="shared" si="15"/>
        <v>9560000</v>
      </c>
    </row>
    <row r="50" spans="1:8" x14ac:dyDescent="0.15">
      <c r="A50" s="16" t="s">
        <v>57</v>
      </c>
      <c r="D50" s="33" t="s">
        <v>62</v>
      </c>
      <c r="E50" s="33" t="s">
        <v>62</v>
      </c>
      <c r="F50" s="33" t="s">
        <v>62</v>
      </c>
      <c r="G50" s="33" t="s">
        <v>62</v>
      </c>
      <c r="H50" s="33" t="s">
        <v>62</v>
      </c>
    </row>
    <row r="51" spans="1:8" x14ac:dyDescent="0.15">
      <c r="A51" s="1" t="s">
        <v>31</v>
      </c>
      <c r="D51" s="15">
        <f>-D49*$H$13</f>
        <v>-2868000</v>
      </c>
      <c r="E51" s="15">
        <f t="shared" ref="E51:H51" si="16">-E49*$H$13</f>
        <v>-2868000</v>
      </c>
      <c r="F51" s="15">
        <f t="shared" si="16"/>
        <v>-2868000</v>
      </c>
      <c r="G51" s="15">
        <f t="shared" si="16"/>
        <v>-2868000</v>
      </c>
      <c r="H51" s="15">
        <f t="shared" si="16"/>
        <v>-2868000</v>
      </c>
    </row>
    <row r="53" spans="1:8" x14ac:dyDescent="0.15">
      <c r="A53" s="1" t="s">
        <v>32</v>
      </c>
      <c r="D53" s="15">
        <f>D49+D51</f>
        <v>6692000</v>
      </c>
      <c r="E53" s="15">
        <f t="shared" ref="E53:H53" si="17">E49+E51</f>
        <v>6692000</v>
      </c>
      <c r="F53" s="15">
        <f t="shared" si="17"/>
        <v>6692000</v>
      </c>
      <c r="G53" s="15">
        <f t="shared" si="17"/>
        <v>6692000</v>
      </c>
      <c r="H53" s="15">
        <f t="shared" si="17"/>
        <v>6692000</v>
      </c>
    </row>
    <row r="54" spans="1:8" x14ac:dyDescent="0.15">
      <c r="D54" s="15"/>
      <c r="E54" s="15"/>
      <c r="F54" s="15"/>
      <c r="G54" s="15"/>
      <c r="H54" s="15"/>
    </row>
    <row r="55" spans="1:8" x14ac:dyDescent="0.15">
      <c r="A55" s="1" t="s">
        <v>33</v>
      </c>
    </row>
    <row r="56" spans="1:8" x14ac:dyDescent="0.15">
      <c r="A56" s="1" t="s">
        <v>34</v>
      </c>
      <c r="D56" s="15">
        <f>-D44</f>
        <v>10000000</v>
      </c>
      <c r="E56" s="15">
        <f t="shared" ref="E56:H56" si="18">-E44</f>
        <v>10000000</v>
      </c>
      <c r="F56" s="15">
        <f t="shared" si="18"/>
        <v>10000000</v>
      </c>
      <c r="G56" s="15">
        <f t="shared" si="18"/>
        <v>10000000</v>
      </c>
      <c r="H56" s="15">
        <f t="shared" si="18"/>
        <v>10000000</v>
      </c>
    </row>
    <row r="57" spans="1:8" x14ac:dyDescent="0.15">
      <c r="A57" s="16" t="s">
        <v>59</v>
      </c>
      <c r="D57" s="53">
        <f>-$H$14</f>
        <v>-800000</v>
      </c>
      <c r="E57" s="53">
        <f t="shared" ref="E57:H57" si="19">-$H$14</f>
        <v>-800000</v>
      </c>
      <c r="F57" s="53">
        <f t="shared" si="19"/>
        <v>-800000</v>
      </c>
      <c r="G57" s="53">
        <f t="shared" si="19"/>
        <v>-800000</v>
      </c>
      <c r="H57" s="53">
        <f t="shared" si="19"/>
        <v>-800000</v>
      </c>
    </row>
    <row r="58" spans="1:8" x14ac:dyDescent="0.15">
      <c r="A58" s="19" t="s">
        <v>35</v>
      </c>
      <c r="B58" s="19"/>
      <c r="C58" s="19"/>
      <c r="D58" s="20">
        <f>D53+D56+D57</f>
        <v>15892000</v>
      </c>
      <c r="E58" s="20">
        <f t="shared" ref="E58:H58" si="20">E53+E56+E57</f>
        <v>15892000</v>
      </c>
      <c r="F58" s="20">
        <f t="shared" si="20"/>
        <v>15892000</v>
      </c>
      <c r="G58" s="20">
        <f t="shared" si="20"/>
        <v>15892000</v>
      </c>
      <c r="H58" s="20">
        <f t="shared" si="20"/>
        <v>15892000</v>
      </c>
    </row>
    <row r="60" spans="1:8" x14ac:dyDescent="0.15">
      <c r="A60" s="19" t="s">
        <v>36</v>
      </c>
      <c r="B60" s="19"/>
      <c r="C60" s="20">
        <f>C26+C34+C58</f>
        <v>-54240109.589041099</v>
      </c>
      <c r="D60" s="20">
        <f>D26+D34+D58</f>
        <v>15892000</v>
      </c>
      <c r="E60" s="20">
        <f t="shared" ref="E60:H60" si="21">E26+E34+E58</f>
        <v>15892000</v>
      </c>
      <c r="F60" s="20">
        <f t="shared" si="21"/>
        <v>15892000</v>
      </c>
      <c r="G60" s="20">
        <f t="shared" si="21"/>
        <v>15892000</v>
      </c>
      <c r="H60" s="20">
        <f t="shared" si="21"/>
        <v>22932109.589041095</v>
      </c>
    </row>
    <row r="61" spans="1:8" x14ac:dyDescent="0.15">
      <c r="A61" s="1" t="s">
        <v>63</v>
      </c>
      <c r="C61" s="49">
        <f>C60</f>
        <v>-54240109.589041099</v>
      </c>
      <c r="D61" s="49">
        <f>C61+D60</f>
        <v>-38348109.589041099</v>
      </c>
      <c r="E61" s="49">
        <f>D61+E60</f>
        <v>-22456109.589041099</v>
      </c>
      <c r="F61" s="49">
        <f>E61+F60</f>
        <v>-6564109.589041099</v>
      </c>
      <c r="G61" s="49">
        <f>F61+G60</f>
        <v>9327890.410958901</v>
      </c>
      <c r="H61" s="49">
        <f>G61+H60</f>
        <v>32259999.999999996</v>
      </c>
    </row>
    <row r="63" spans="1:8" x14ac:dyDescent="0.15">
      <c r="A63" s="1" t="s">
        <v>37</v>
      </c>
      <c r="C63" s="49">
        <f t="shared" ref="C63:G63" si="22">C60/(1+$H$12)^C18</f>
        <v>-54240109.589041099</v>
      </c>
      <c r="D63" s="49">
        <f t="shared" si="22"/>
        <v>13445008.460236887</v>
      </c>
      <c r="E63" s="49">
        <f t="shared" si="22"/>
        <v>11374795.651638653</v>
      </c>
      <c r="F63" s="49">
        <f t="shared" si="22"/>
        <v>9623346.574990401</v>
      </c>
      <c r="G63" s="49">
        <f t="shared" si="22"/>
        <v>8141579.1666585468</v>
      </c>
      <c r="H63" s="49">
        <f>H60/(1+$H$12)^H18</f>
        <v>9939318.9178002533</v>
      </c>
    </row>
    <row r="64" spans="1:8" x14ac:dyDescent="0.15">
      <c r="A64" s="1" t="s">
        <v>64</v>
      </c>
      <c r="C64" s="49">
        <f>C63</f>
        <v>-54240109.589041099</v>
      </c>
      <c r="D64" s="49">
        <f>C64+D63</f>
        <v>-40795101.128804214</v>
      </c>
      <c r="E64" s="49">
        <f t="shared" ref="E64:H64" si="23">D64+E63</f>
        <v>-29420305.477165561</v>
      </c>
      <c r="F64" s="49">
        <f t="shared" si="23"/>
        <v>-19796958.902175158</v>
      </c>
      <c r="G64" s="49">
        <f t="shared" si="23"/>
        <v>-11655379.735516611</v>
      </c>
      <c r="H64" s="49">
        <f t="shared" si="23"/>
        <v>-1716060.8177163582</v>
      </c>
    </row>
    <row r="66" spans="1:7" x14ac:dyDescent="0.15">
      <c r="A66" s="23" t="s">
        <v>38</v>
      </c>
      <c r="B66" s="24"/>
      <c r="C66" s="50">
        <f>C60+NPV($H$12,D60:H60)</f>
        <v>-1716060.8177163675</v>
      </c>
      <c r="D66" s="15"/>
    </row>
    <row r="67" spans="1:7" x14ac:dyDescent="0.15">
      <c r="A67" s="25" t="s">
        <v>39</v>
      </c>
      <c r="B67" s="26"/>
      <c r="C67" s="27">
        <f>IRR(C60:H60)</f>
        <v>0.16858705103377836</v>
      </c>
    </row>
    <row r="68" spans="1:7" x14ac:dyDescent="0.15">
      <c r="A68" s="25" t="s">
        <v>40</v>
      </c>
      <c r="B68" s="26"/>
      <c r="C68" s="28">
        <f>F18 - F61/G60</f>
        <v>3.4130449024063112</v>
      </c>
    </row>
    <row r="69" spans="1:7" x14ac:dyDescent="0.15">
      <c r="A69" s="25" t="s">
        <v>41</v>
      </c>
      <c r="B69" s="26"/>
      <c r="C69" s="29" t="b">
        <v>0</v>
      </c>
    </row>
    <row r="70" spans="1:7" x14ac:dyDescent="0.15">
      <c r="A70" s="30" t="s">
        <v>42</v>
      </c>
      <c r="B70" s="31"/>
      <c r="C70" s="32">
        <f>-NPV($H$12,D60:H60)/C60</f>
        <v>0.96836177451118044</v>
      </c>
    </row>
    <row r="72" spans="1:7" x14ac:dyDescent="0.15">
      <c r="C72" s="15"/>
      <c r="D72" s="15"/>
      <c r="E72" s="15"/>
      <c r="F72" s="15"/>
      <c r="G72" s="15"/>
    </row>
  </sheetData>
  <mergeCells count="2">
    <mergeCell ref="E5:F5"/>
    <mergeCell ref="E6:F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2025-03-16T12:09:10Z</dcterms:modified>
</cp:coreProperties>
</file>