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karry/KarryRen/Fintech/Karry-PHBS/FintechClass/Class/M3/Corporate-Finance/GroupCase/Refs./"/>
    </mc:Choice>
  </mc:AlternateContent>
  <xr:revisionPtr revIDLastSave="0" documentId="13_ncr:1_{E9267D73-812F-5946-AD57-E3D547CF788B}" xr6:coauthVersionLast="47" xr6:coauthVersionMax="47" xr10:uidLastSave="{00000000-0000-0000-0000-000000000000}"/>
  <bookViews>
    <workbookView xWindow="0" yWindow="720" windowWidth="29400" windowHeight="18400" activeTab="3" xr2:uid="{00000000-000D-0000-FFFF-FFFF00000000}"/>
  </bookViews>
  <sheets>
    <sheet name="Exhibit2" sheetId="22" r:id="rId1"/>
    <sheet name="Appendix 1" sheetId="19" r:id="rId2"/>
    <sheet name="Appendix 2" sheetId="20" r:id="rId3"/>
    <sheet name="TN1-a" sheetId="24" r:id="rId4"/>
    <sheet name="TN1-b" sheetId="23" r:id="rId5"/>
    <sheet name="TN1-c" sheetId="2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24" l="1"/>
  <c r="C61" i="24"/>
  <c r="C59" i="24"/>
  <c r="D53" i="24"/>
  <c r="D51" i="24"/>
  <c r="D44" i="24"/>
  <c r="D39" i="24"/>
  <c r="D32" i="24"/>
  <c r="C26" i="24"/>
  <c r="C24" i="24"/>
  <c r="D29" i="24"/>
  <c r="C55" i="24"/>
  <c r="C29" i="24"/>
  <c r="C25" i="24"/>
  <c r="C18" i="24"/>
  <c r="E57" i="24"/>
  <c r="C63" i="25"/>
  <c r="C62" i="25"/>
  <c r="C61" i="25"/>
  <c r="C60" i="25"/>
  <c r="C59" i="25"/>
  <c r="H57" i="25"/>
  <c r="G57" i="25"/>
  <c r="F57" i="25"/>
  <c r="E57" i="25"/>
  <c r="D57" i="25"/>
  <c r="C57" i="25"/>
  <c r="H55" i="25"/>
  <c r="G55" i="25"/>
  <c r="F55" i="25"/>
  <c r="E55" i="25"/>
  <c r="D55" i="25"/>
  <c r="C55" i="25"/>
  <c r="H53" i="25"/>
  <c r="G53" i="25"/>
  <c r="F53" i="25"/>
  <c r="E53" i="25"/>
  <c r="D53" i="25"/>
  <c r="H52" i="25"/>
  <c r="G52" i="25"/>
  <c r="F52" i="25"/>
  <c r="E52" i="25"/>
  <c r="D52" i="25"/>
  <c r="H51" i="25"/>
  <c r="G51" i="25"/>
  <c r="F51" i="25"/>
  <c r="E51" i="25"/>
  <c r="D51" i="25"/>
  <c r="H48" i="25"/>
  <c r="G48" i="25"/>
  <c r="F48" i="25"/>
  <c r="E48" i="25"/>
  <c r="D48" i="25"/>
  <c r="H46" i="25"/>
  <c r="G46" i="25"/>
  <c r="F46" i="25"/>
  <c r="E46" i="25"/>
  <c r="D46" i="25"/>
  <c r="H44" i="25"/>
  <c r="G44" i="25"/>
  <c r="F44" i="25"/>
  <c r="E44" i="25"/>
  <c r="D44" i="25"/>
  <c r="H42" i="25"/>
  <c r="G42" i="25"/>
  <c r="F42" i="25"/>
  <c r="E42" i="25"/>
  <c r="D42" i="25"/>
  <c r="H41" i="25"/>
  <c r="G41" i="25"/>
  <c r="F41" i="25"/>
  <c r="E41" i="25"/>
  <c r="D41" i="25"/>
  <c r="H39" i="25"/>
  <c r="G39" i="25"/>
  <c r="F39" i="25"/>
  <c r="E39" i="25"/>
  <c r="D39" i="25"/>
  <c r="H38" i="25"/>
  <c r="G38" i="25"/>
  <c r="F38" i="25"/>
  <c r="E38" i="25"/>
  <c r="D38" i="25"/>
  <c r="H37" i="25"/>
  <c r="G37" i="25"/>
  <c r="F37" i="25"/>
  <c r="E37" i="25"/>
  <c r="D37" i="25"/>
  <c r="H36" i="25"/>
  <c r="G36" i="25"/>
  <c r="F36" i="25"/>
  <c r="E36" i="25"/>
  <c r="D36" i="25"/>
  <c r="H35" i="25"/>
  <c r="G35" i="25"/>
  <c r="F35" i="25"/>
  <c r="E35" i="25"/>
  <c r="D35" i="25"/>
  <c r="H32" i="25"/>
  <c r="G32" i="25"/>
  <c r="F32" i="25"/>
  <c r="E32" i="25"/>
  <c r="D32" i="25"/>
  <c r="H31" i="25"/>
  <c r="G31" i="25"/>
  <c r="F31" i="25"/>
  <c r="E31" i="25"/>
  <c r="D31" i="25"/>
  <c r="H29" i="25"/>
  <c r="G29" i="25"/>
  <c r="F29" i="25"/>
  <c r="E29" i="25"/>
  <c r="D29" i="25"/>
  <c r="C29" i="25"/>
  <c r="H27" i="25"/>
  <c r="G27" i="25"/>
  <c r="F27" i="25"/>
  <c r="E27" i="25"/>
  <c r="D27" i="25"/>
  <c r="C27" i="25"/>
  <c r="G26" i="25"/>
  <c r="F26" i="25"/>
  <c r="E26" i="25"/>
  <c r="D26" i="25"/>
  <c r="C26" i="25"/>
  <c r="G25" i="25"/>
  <c r="F25" i="25"/>
  <c r="E25" i="25"/>
  <c r="D25" i="25"/>
  <c r="C25" i="25"/>
  <c r="G24" i="25"/>
  <c r="F24" i="25"/>
  <c r="E24" i="25"/>
  <c r="D24" i="25"/>
  <c r="C24" i="25"/>
  <c r="H21" i="25"/>
  <c r="H20" i="25"/>
  <c r="H19" i="25"/>
  <c r="C18" i="25"/>
  <c r="C63" i="23"/>
  <c r="C62" i="23"/>
  <c r="C61" i="23"/>
  <c r="C60" i="23"/>
  <c r="C59" i="23"/>
  <c r="H57" i="23"/>
  <c r="G57" i="23"/>
  <c r="F57" i="23"/>
  <c r="E57" i="23"/>
  <c r="D57" i="23"/>
  <c r="C57" i="23"/>
  <c r="H55" i="23"/>
  <c r="G55" i="23"/>
  <c r="F55" i="23"/>
  <c r="E55" i="23"/>
  <c r="D55" i="23"/>
  <c r="C55" i="23"/>
  <c r="H53" i="23"/>
  <c r="G53" i="23"/>
  <c r="F53" i="23"/>
  <c r="E53" i="23"/>
  <c r="D53" i="23"/>
  <c r="H52" i="23"/>
  <c r="G52" i="23"/>
  <c r="F52" i="23"/>
  <c r="E52" i="23"/>
  <c r="D52" i="23"/>
  <c r="H51" i="23"/>
  <c r="G51" i="23"/>
  <c r="F51" i="23"/>
  <c r="E51" i="23"/>
  <c r="D51" i="23"/>
  <c r="H48" i="23"/>
  <c r="G48" i="23"/>
  <c r="F48" i="23"/>
  <c r="E48" i="23"/>
  <c r="D48" i="23"/>
  <c r="H46" i="23"/>
  <c r="G46" i="23"/>
  <c r="F46" i="23"/>
  <c r="E46" i="23"/>
  <c r="D46" i="23"/>
  <c r="H44" i="23"/>
  <c r="G44" i="23"/>
  <c r="F44" i="23"/>
  <c r="E44" i="23"/>
  <c r="D44" i="23"/>
  <c r="H42" i="23"/>
  <c r="G42" i="23"/>
  <c r="F42" i="23"/>
  <c r="E42" i="23"/>
  <c r="D42" i="23"/>
  <c r="H41" i="23"/>
  <c r="G41" i="23"/>
  <c r="F41" i="23"/>
  <c r="E41" i="23"/>
  <c r="D41" i="23"/>
  <c r="H39" i="23"/>
  <c r="G39" i="23"/>
  <c r="F39" i="23"/>
  <c r="E39" i="23"/>
  <c r="D39" i="23"/>
  <c r="H38" i="23"/>
  <c r="G38" i="23"/>
  <c r="F38" i="23"/>
  <c r="E38" i="23"/>
  <c r="D38" i="23"/>
  <c r="H37" i="23"/>
  <c r="G37" i="23"/>
  <c r="F37" i="23"/>
  <c r="E37" i="23"/>
  <c r="D37" i="23"/>
  <c r="H36" i="23"/>
  <c r="G36" i="23"/>
  <c r="F36" i="23"/>
  <c r="E36" i="23"/>
  <c r="D36" i="23"/>
  <c r="H35" i="23"/>
  <c r="G35" i="23"/>
  <c r="F35" i="23"/>
  <c r="E35" i="23"/>
  <c r="D35" i="23"/>
  <c r="H32" i="23"/>
  <c r="G32" i="23"/>
  <c r="F32" i="23"/>
  <c r="E32" i="23"/>
  <c r="D32" i="23"/>
  <c r="H31" i="23"/>
  <c r="G31" i="23"/>
  <c r="F31" i="23"/>
  <c r="E31" i="23"/>
  <c r="D31" i="23"/>
  <c r="H29" i="23"/>
  <c r="G29" i="23"/>
  <c r="F29" i="23"/>
  <c r="E29" i="23"/>
  <c r="D29" i="23"/>
  <c r="C29" i="23"/>
  <c r="H27" i="23"/>
  <c r="G27" i="23"/>
  <c r="F27" i="23"/>
  <c r="E27" i="23"/>
  <c r="D27" i="23"/>
  <c r="C27" i="23"/>
  <c r="G26" i="23"/>
  <c r="F26" i="23"/>
  <c r="E26" i="23"/>
  <c r="D26" i="23"/>
  <c r="C26" i="23"/>
  <c r="G25" i="23"/>
  <c r="F25" i="23"/>
  <c r="E25" i="23"/>
  <c r="D25" i="23"/>
  <c r="C25" i="23"/>
  <c r="G24" i="23"/>
  <c r="F24" i="23"/>
  <c r="E24" i="23"/>
  <c r="D24" i="23"/>
  <c r="C24" i="23"/>
  <c r="H21" i="23"/>
  <c r="H20" i="23"/>
  <c r="H19" i="23"/>
  <c r="C18" i="23"/>
  <c r="C63" i="24"/>
  <c r="C60" i="24"/>
  <c r="H57" i="24"/>
  <c r="G57" i="24"/>
  <c r="F57" i="24"/>
  <c r="D57" i="24"/>
  <c r="C57" i="24"/>
  <c r="H55" i="24"/>
  <c r="G55" i="24"/>
  <c r="F55" i="24"/>
  <c r="E55" i="24"/>
  <c r="D55" i="24"/>
  <c r="H53" i="24"/>
  <c r="G53" i="24"/>
  <c r="F53" i="24"/>
  <c r="E53" i="24"/>
  <c r="H52" i="24"/>
  <c r="G52" i="24"/>
  <c r="F52" i="24"/>
  <c r="E52" i="24"/>
  <c r="D52" i="24"/>
  <c r="H51" i="24"/>
  <c r="G51" i="24"/>
  <c r="F51" i="24"/>
  <c r="E51" i="24"/>
  <c r="H48" i="24"/>
  <c r="G48" i="24"/>
  <c r="F48" i="24"/>
  <c r="E48" i="24"/>
  <c r="D48" i="24"/>
  <c r="H46" i="24"/>
  <c r="G46" i="24"/>
  <c r="F46" i="24"/>
  <c r="E46" i="24"/>
  <c r="D46" i="24"/>
  <c r="H44" i="24"/>
  <c r="G44" i="24"/>
  <c r="F44" i="24"/>
  <c r="E44" i="24"/>
  <c r="H42" i="24"/>
  <c r="G42" i="24"/>
  <c r="F42" i="24"/>
  <c r="E42" i="24"/>
  <c r="D42" i="24"/>
  <c r="H41" i="24"/>
  <c r="G41" i="24"/>
  <c r="F41" i="24"/>
  <c r="E41" i="24"/>
  <c r="D41" i="24"/>
  <c r="H39" i="24"/>
  <c r="G39" i="24"/>
  <c r="F39" i="24"/>
  <c r="E39" i="24"/>
  <c r="H38" i="24"/>
  <c r="G38" i="24"/>
  <c r="F38" i="24"/>
  <c r="E38" i="24"/>
  <c r="D38" i="24"/>
  <c r="H37" i="24"/>
  <c r="G37" i="24"/>
  <c r="F37" i="24"/>
  <c r="E37" i="24"/>
  <c r="D37" i="24"/>
  <c r="H36" i="24"/>
  <c r="G36" i="24"/>
  <c r="F36" i="24"/>
  <c r="E36" i="24"/>
  <c r="D36" i="24"/>
  <c r="H35" i="24"/>
  <c r="G35" i="24"/>
  <c r="F35" i="24"/>
  <c r="E35" i="24"/>
  <c r="D35" i="24"/>
  <c r="H32" i="24"/>
  <c r="G32" i="24"/>
  <c r="F32" i="24"/>
  <c r="E32" i="24"/>
  <c r="H31" i="24"/>
  <c r="G31" i="24"/>
  <c r="F31" i="24"/>
  <c r="E31" i="24"/>
  <c r="D31" i="24"/>
  <c r="H29" i="24"/>
  <c r="G29" i="24"/>
  <c r="F29" i="24"/>
  <c r="E29" i="24"/>
  <c r="H27" i="24"/>
  <c r="G27" i="24"/>
  <c r="F27" i="24"/>
  <c r="E27" i="24"/>
  <c r="D27" i="24"/>
  <c r="C27" i="24"/>
  <c r="G26" i="24"/>
  <c r="F26" i="24"/>
  <c r="E26" i="24"/>
  <c r="D26" i="24"/>
  <c r="G25" i="24"/>
  <c r="F25" i="24"/>
  <c r="E25" i="24"/>
  <c r="D25" i="24"/>
  <c r="G24" i="24"/>
  <c r="F24" i="24"/>
  <c r="E24" i="24"/>
  <c r="D24" i="24"/>
  <c r="H21" i="24"/>
  <c r="H20" i="24"/>
  <c r="H19" i="24"/>
  <c r="L32" i="20"/>
  <c r="K32" i="20"/>
  <c r="I32" i="20"/>
  <c r="H32" i="20"/>
  <c r="F32" i="20"/>
  <c r="E32" i="20"/>
  <c r="L30" i="20"/>
  <c r="I30" i="20"/>
  <c r="F30" i="20"/>
  <c r="L29" i="20"/>
  <c r="I29" i="20"/>
  <c r="F29" i="20"/>
  <c r="L27" i="20"/>
  <c r="K27" i="20"/>
  <c r="I27" i="20"/>
  <c r="H27" i="20"/>
  <c r="F27" i="20"/>
  <c r="E27" i="20"/>
  <c r="L26" i="20"/>
  <c r="I26" i="20"/>
  <c r="F26" i="20"/>
  <c r="L25" i="20"/>
  <c r="I25" i="20"/>
  <c r="F25" i="20"/>
  <c r="L24" i="20"/>
  <c r="I24" i="20"/>
  <c r="F24" i="20"/>
  <c r="L20" i="20"/>
  <c r="K20" i="20"/>
  <c r="I20" i="20"/>
  <c r="H20" i="20"/>
  <c r="F20" i="20"/>
  <c r="E20" i="20"/>
  <c r="L18" i="20"/>
  <c r="K18" i="20"/>
  <c r="I18" i="20"/>
  <c r="H18" i="20"/>
  <c r="F18" i="20"/>
  <c r="E18" i="20"/>
  <c r="L17" i="20"/>
  <c r="I17" i="20"/>
  <c r="F17" i="20"/>
  <c r="L16" i="20"/>
  <c r="I16" i="20"/>
  <c r="F16" i="20"/>
  <c r="L14" i="20"/>
  <c r="K14" i="20"/>
  <c r="I14" i="20"/>
  <c r="H14" i="20"/>
  <c r="F14" i="20"/>
  <c r="E14" i="20"/>
  <c r="L13" i="20"/>
  <c r="I13" i="20"/>
  <c r="F13" i="20"/>
  <c r="L12" i="20"/>
  <c r="I12" i="20"/>
  <c r="F12" i="20"/>
  <c r="L11" i="20"/>
  <c r="I11" i="20"/>
  <c r="F11" i="20"/>
  <c r="L10" i="20"/>
  <c r="I10" i="20"/>
  <c r="F10" i="20"/>
  <c r="K27" i="19"/>
  <c r="H27" i="19"/>
  <c r="E27" i="19"/>
  <c r="L24" i="19"/>
  <c r="K24" i="19"/>
  <c r="I24" i="19"/>
  <c r="H24" i="19"/>
  <c r="F24" i="19"/>
  <c r="E24" i="19"/>
  <c r="L23" i="19"/>
  <c r="K23" i="19"/>
  <c r="I23" i="19"/>
  <c r="H23" i="19"/>
  <c r="F23" i="19"/>
  <c r="E23" i="19"/>
  <c r="L21" i="19"/>
  <c r="K21" i="19"/>
  <c r="I21" i="19"/>
  <c r="H21" i="19"/>
  <c r="F21" i="19"/>
  <c r="E21" i="19"/>
  <c r="L20" i="19"/>
  <c r="I20" i="19"/>
  <c r="F20" i="19"/>
  <c r="L18" i="19"/>
  <c r="K18" i="19"/>
  <c r="I18" i="19"/>
  <c r="H18" i="19"/>
  <c r="F18" i="19"/>
  <c r="E18" i="19"/>
  <c r="L17" i="19"/>
  <c r="I17" i="19"/>
  <c r="F17" i="19"/>
  <c r="L15" i="19"/>
  <c r="K15" i="19"/>
  <c r="I15" i="19"/>
  <c r="H15" i="19"/>
  <c r="F15" i="19"/>
  <c r="E15" i="19"/>
  <c r="L14" i="19"/>
  <c r="I14" i="19"/>
  <c r="F14" i="19"/>
  <c r="L13" i="19"/>
  <c r="I13" i="19"/>
  <c r="F13" i="19"/>
  <c r="L11" i="19"/>
  <c r="K11" i="19"/>
  <c r="I11" i="19"/>
  <c r="H11" i="19"/>
  <c r="F11" i="19"/>
  <c r="E11" i="19"/>
  <c r="L10" i="19"/>
  <c r="I10" i="19"/>
  <c r="F10" i="19"/>
  <c r="L9" i="19"/>
  <c r="I9" i="19"/>
  <c r="F9" i="19"/>
  <c r="C5" i="22"/>
  <c r="C4" i="22"/>
  <c r="C3" i="22"/>
</calcChain>
</file>

<file path=xl/sharedStrings.xml><?xml version="1.0" encoding="utf-8"?>
<sst xmlns="http://schemas.openxmlformats.org/spreadsheetml/2006/main" count="215" uniqueCount="96">
  <si>
    <t>Sales</t>
  </si>
  <si>
    <t>Return on Sales</t>
  </si>
  <si>
    <t>Net Income</t>
  </si>
  <si>
    <t>Appendix 1</t>
  </si>
  <si>
    <t>Bebida Sol</t>
  </si>
  <si>
    <t>Income Statements for the year ending December 31</t>
  </si>
  <si>
    <t>(thousands of pesos)</t>
  </si>
  <si>
    <t>Income Item</t>
  </si>
  <si>
    <t>COGS</t>
  </si>
  <si>
    <t>Gross margin</t>
  </si>
  <si>
    <t>Marketing &amp; Selling Expenses</t>
  </si>
  <si>
    <t>General Administrative expenses</t>
  </si>
  <si>
    <t>EBITDA</t>
  </si>
  <si>
    <t>Depreciation</t>
  </si>
  <si>
    <t>EBIT</t>
  </si>
  <si>
    <t>Interest</t>
  </si>
  <si>
    <t>EBT</t>
  </si>
  <si>
    <t>Taxes @ 30%</t>
  </si>
  <si>
    <t xml:space="preserve">   Dividends</t>
  </si>
  <si>
    <t xml:space="preserve">   Retained earnings</t>
  </si>
  <si>
    <t>Appendix 2</t>
  </si>
  <si>
    <t>Balance Sheet as of December 31</t>
  </si>
  <si>
    <t>Assets</t>
  </si>
  <si>
    <t>Cash</t>
  </si>
  <si>
    <t>Accounts Receivable</t>
  </si>
  <si>
    <t>Inventory</t>
  </si>
  <si>
    <t>Prepaid Expenses</t>
  </si>
  <si>
    <t xml:space="preserve">     Current Assets</t>
  </si>
  <si>
    <t>Gross fixed assets</t>
  </si>
  <si>
    <t>Accum depreciation</t>
  </si>
  <si>
    <t xml:space="preserve">    Net fixed assets</t>
  </si>
  <si>
    <t>Total Assets</t>
  </si>
  <si>
    <t>Liabilities &amp; Net Worth</t>
  </si>
  <si>
    <t>Accounts Payable</t>
  </si>
  <si>
    <t>Accrued expenses</t>
  </si>
  <si>
    <t>Short-term debt</t>
  </si>
  <si>
    <t xml:space="preserve">     Current Liabilities</t>
  </si>
  <si>
    <t>Long-term debt</t>
  </si>
  <si>
    <t>Equity</t>
  </si>
  <si>
    <r>
      <rPr>
        <b/>
        <sz val="12"/>
        <rFont val="Arial"/>
        <family val="2"/>
      </rPr>
      <t xml:space="preserve">Hola Kola - The Valuation of the Zero-Calorie Soda Project </t>
    </r>
    <r>
      <rPr>
        <b/>
        <sz val="12"/>
        <rFont val="Arial"/>
        <family val="2"/>
      </rPr>
      <t>(Prepared by Professor Lena Booth)</t>
    </r>
  </si>
  <si>
    <t>Scenario 1</t>
  </si>
  <si>
    <t>Monthly Sales (units)</t>
  </si>
  <si>
    <t>Cost of New Equipment (pesos)</t>
  </si>
  <si>
    <t xml:space="preserve">   Increase (Decrease) in Sales Volume</t>
  </si>
  <si>
    <t>Resale Value of Equipment (pesos)</t>
  </si>
  <si>
    <t>Unit Sale Price (pesos)</t>
  </si>
  <si>
    <t>% Overhead to Sales</t>
  </si>
  <si>
    <t xml:space="preserve">   Increase (Decrease) in Sales Price</t>
  </si>
  <si>
    <t>Building Rental (pesos)</t>
  </si>
  <si>
    <t>Unit Raw Material Cost (pesos)</t>
  </si>
  <si>
    <t>Average Collection Period (Days)</t>
  </si>
  <si>
    <t xml:space="preserve">   Increase (Decrease) in Raw Material Costs</t>
  </si>
  <si>
    <t>Average Payment Period (Days)</t>
  </si>
  <si>
    <t>Monthly Labor Costs (pesos)</t>
  </si>
  <si>
    <t>Years of Straight-line Depreciation</t>
  </si>
  <si>
    <t xml:space="preserve">   Increase (Decrease) in Direct Labor Costs</t>
  </si>
  <si>
    <t>Cost of Capital</t>
  </si>
  <si>
    <t>Monthly Energy Costs (pesos)</t>
  </si>
  <si>
    <t>Tax Rate</t>
  </si>
  <si>
    <t xml:space="preserve">   Increase (Decrease) in Energy Costs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</si>
  <si>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</si>
  <si>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</si>
  <si>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</si>
  <si>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</si>
  <si>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</si>
  <si>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Receivables ((Sales/365)*Avg Collection Period)</t>
  </si>
  <si>
    <t xml:space="preserve">       Inventories (One month materials costs)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</si>
  <si>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</si>
  <si>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</si>
  <si>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</si>
  <si>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</si>
  <si>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</si>
  <si>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</si>
  <si>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</si>
  <si>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</si>
  <si>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Building Rental (Opportunity Costs)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</si>
  <si>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</si>
  <si>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</si>
  <si>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</si>
  <si>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</si>
  <si>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>Operating Profit Before Tax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</si>
  <si>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</si>
  <si>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</si>
  <si>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</si>
  <si>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</si>
  <si>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 xml:space="preserve">     Erosion of Existing Sales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</si>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</sst>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67" formatCode="_(* #,##0.0_);_(* \(#,##0.0\);_(* &quot;-&quot;??_);_(@_)"/>
    <numFmt numFmtId="168" formatCode="&quot;$&quot;#,##0"/>
  </numFmts>
  <fonts count="15" x14ac:knownFonts="1"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4"/>
    <xf numFmtId="0" fontId="2" fillId="0" borderId="0" xfId="4" applyFont="1"/>
    <xf numFmtId="0" fontId="3" fillId="0" borderId="0" xfId="4" applyFont="1"/>
    <xf numFmtId="0" fontId="1" fillId="0" borderId="1" xfId="4" applyBorder="1"/>
    <xf numFmtId="0" fontId="1" fillId="0" borderId="2" xfId="4" applyBorder="1"/>
    <xf numFmtId="3" fontId="1" fillId="0" borderId="3" xfId="4" applyNumberFormat="1" applyBorder="1"/>
    <xf numFmtId="164" fontId="0" fillId="0" borderId="3" xfId="3" applyNumberFormat="1" applyFont="1" applyBorder="1"/>
    <xf numFmtId="0" fontId="1" fillId="0" borderId="4" xfId="4" applyBorder="1"/>
    <xf numFmtId="9" fontId="0" fillId="0" borderId="5" xfId="5" applyFont="1" applyBorder="1"/>
    <xf numFmtId="164" fontId="0" fillId="0" borderId="5" xfId="3" applyNumberFormat="1" applyFont="1" applyBorder="1"/>
    <xf numFmtId="3" fontId="1" fillId="0" borderId="5" xfId="4" applyNumberFormat="1" applyBorder="1"/>
    <xf numFmtId="165" fontId="1" fillId="0" borderId="5" xfId="4" applyNumberFormat="1" applyBorder="1"/>
    <xf numFmtId="0" fontId="1" fillId="0" borderId="5" xfId="4" applyBorder="1"/>
    <xf numFmtId="9" fontId="0" fillId="0" borderId="5" xfId="5" applyFont="1" applyFill="1" applyBorder="1"/>
    <xf numFmtId="166" fontId="0" fillId="0" borderId="5" xfId="5" applyNumberFormat="1" applyFont="1" applyBorder="1"/>
    <xf numFmtId="0" fontId="1" fillId="0" borderId="6" xfId="4" applyBorder="1"/>
    <xf numFmtId="0" fontId="1" fillId="0" borderId="7" xfId="4" applyBorder="1"/>
    <xf numFmtId="9" fontId="0" fillId="0" borderId="8" xfId="5" applyFont="1" applyFill="1" applyBorder="1"/>
    <xf numFmtId="164" fontId="0" fillId="0" borderId="8" xfId="3" applyNumberFormat="1" applyFont="1" applyFill="1" applyBorder="1"/>
    <xf numFmtId="0" fontId="4" fillId="0" borderId="7" xfId="4" applyFont="1" applyBorder="1"/>
    <xf numFmtId="0" fontId="5" fillId="0" borderId="0" xfId="4" applyFont="1"/>
    <xf numFmtId="164" fontId="1" fillId="0" borderId="0" xfId="4" applyNumberFormat="1"/>
    <xf numFmtId="164" fontId="1" fillId="0" borderId="9" xfId="4" applyNumberFormat="1" applyBorder="1"/>
    <xf numFmtId="164" fontId="0" fillId="0" borderId="0" xfId="3" applyNumberFormat="1" applyFont="1" applyBorder="1" applyAlignment="1"/>
    <xf numFmtId="164" fontId="0" fillId="0" borderId="9" xfId="3" applyNumberFormat="1" applyFont="1" applyBorder="1" applyAlignment="1"/>
    <xf numFmtId="164" fontId="0" fillId="0" borderId="0" xfId="3" applyNumberFormat="1" applyFont="1"/>
    <xf numFmtId="164" fontId="1" fillId="0" borderId="0" xfId="3" applyNumberFormat="1" applyFont="1" applyBorder="1"/>
    <xf numFmtId="164" fontId="1" fillId="0" borderId="9" xfId="3" applyNumberFormat="1" applyFont="1" applyBorder="1"/>
    <xf numFmtId="0" fontId="1" fillId="2" borderId="0" xfId="4" applyFill="1"/>
    <xf numFmtId="164" fontId="1" fillId="2" borderId="0" xfId="4" applyNumberFormat="1" applyFill="1"/>
    <xf numFmtId="0" fontId="1" fillId="3" borderId="1" xfId="4" applyFill="1" applyBorder="1"/>
    <xf numFmtId="0" fontId="1" fillId="3" borderId="2" xfId="4" applyFill="1" applyBorder="1"/>
    <xf numFmtId="164" fontId="1" fillId="3" borderId="3" xfId="4" applyNumberFormat="1" applyFill="1" applyBorder="1"/>
    <xf numFmtId="0" fontId="1" fillId="3" borderId="4" xfId="4" applyFill="1" applyBorder="1"/>
    <xf numFmtId="0" fontId="1" fillId="3" borderId="0" xfId="4" applyFill="1"/>
    <xf numFmtId="10" fontId="1" fillId="3" borderId="5" xfId="4" applyNumberFormat="1" applyFill="1" applyBorder="1"/>
    <xf numFmtId="2" fontId="1" fillId="3" borderId="5" xfId="4" applyNumberFormat="1" applyFill="1" applyBorder="1"/>
    <xf numFmtId="2" fontId="1" fillId="3" borderId="5" xfId="4" applyNumberFormat="1" applyFill="1" applyBorder="1" applyAlignment="1">
      <alignment horizontal="right"/>
    </xf>
    <xf numFmtId="0" fontId="1" fillId="3" borderId="6" xfId="4" applyFill="1" applyBorder="1"/>
    <xf numFmtId="0" fontId="1" fillId="3" borderId="7" xfId="4" applyFill="1" applyBorder="1"/>
    <xf numFmtId="43" fontId="1" fillId="3" borderId="8" xfId="4" applyNumberFormat="1" applyFill="1" applyBorder="1"/>
    <xf numFmtId="43" fontId="1" fillId="0" borderId="0" xfId="4" applyNumberFormat="1"/>
    <xf numFmtId="0" fontId="6" fillId="4" borderId="1" xfId="0" applyFont="1" applyFill="1" applyBorder="1"/>
    <xf numFmtId="0" fontId="6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6" fillId="4" borderId="4" xfId="0" applyFont="1" applyFill="1" applyBorder="1"/>
    <xf numFmtId="0" fontId="7" fillId="4" borderId="0" xfId="0" applyFont="1" applyFill="1" applyAlignment="1">
      <alignment horizontal="center" wrapText="1"/>
    </xf>
    <xf numFmtId="0" fontId="7" fillId="4" borderId="9" xfId="0" applyFont="1" applyFill="1" applyBorder="1" applyAlignment="1">
      <alignment horizontal="left" wrapText="1"/>
    </xf>
    <xf numFmtId="0" fontId="7" fillId="4" borderId="9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0" fontId="6" fillId="4" borderId="0" xfId="0" applyFont="1" applyFill="1"/>
    <xf numFmtId="0" fontId="7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164" fontId="10" fillId="6" borderId="0" xfId="0" applyNumberFormat="1" applyFont="1" applyFill="1" applyAlignment="1">
      <alignment horizontal="right"/>
    </xf>
    <xf numFmtId="166" fontId="6" fillId="7" borderId="0" xfId="2" applyNumberFormat="1" applyFont="1" applyFill="1" applyBorder="1"/>
    <xf numFmtId="164" fontId="6" fillId="4" borderId="0" xfId="1" applyNumberFormat="1" applyFont="1" applyFill="1" applyBorder="1"/>
    <xf numFmtId="164" fontId="10" fillId="6" borderId="0" xfId="0" applyNumberFormat="1" applyFont="1" applyFill="1"/>
    <xf numFmtId="167" fontId="6" fillId="8" borderId="0" xfId="1" applyNumberFormat="1" applyFont="1" applyFill="1"/>
    <xf numFmtId="164" fontId="6" fillId="8" borderId="0" xfId="1" applyNumberFormat="1" applyFont="1" applyFill="1"/>
    <xf numFmtId="0" fontId="6" fillId="4" borderId="9" xfId="0" applyFont="1" applyFill="1" applyBorder="1"/>
    <xf numFmtId="164" fontId="11" fillId="6" borderId="9" xfId="0" applyNumberFormat="1" applyFont="1" applyFill="1" applyBorder="1"/>
    <xf numFmtId="166" fontId="6" fillId="7" borderId="9" xfId="2" applyNumberFormat="1" applyFont="1" applyFill="1" applyBorder="1"/>
    <xf numFmtId="0" fontId="6" fillId="8" borderId="0" xfId="0" applyFont="1" applyFill="1"/>
    <xf numFmtId="167" fontId="6" fillId="4" borderId="0" xfId="1" applyNumberFormat="1" applyFont="1" applyFill="1" applyBorder="1"/>
    <xf numFmtId="164" fontId="10" fillId="6" borderId="10" xfId="0" applyNumberFormat="1" applyFont="1" applyFill="1" applyBorder="1"/>
    <xf numFmtId="164" fontId="6" fillId="4" borderId="0" xfId="0" applyNumberFormat="1" applyFont="1" applyFill="1"/>
    <xf numFmtId="164" fontId="10" fillId="6" borderId="9" xfId="0" applyNumberFormat="1" applyFont="1" applyFill="1" applyBorder="1"/>
    <xf numFmtId="164" fontId="6" fillId="4" borderId="9" xfId="1" applyNumberFormat="1" applyFont="1" applyFill="1" applyBorder="1"/>
    <xf numFmtId="166" fontId="6" fillId="7" borderId="11" xfId="2" applyNumberFormat="1" applyFont="1" applyFill="1" applyBorder="1"/>
    <xf numFmtId="0" fontId="12" fillId="4" borderId="0" xfId="0" applyFont="1" applyFill="1"/>
    <xf numFmtId="164" fontId="10" fillId="6" borderId="12" xfId="0" applyNumberFormat="1" applyFont="1" applyFill="1" applyBorder="1"/>
    <xf numFmtId="167" fontId="6" fillId="7" borderId="0" xfId="0" applyNumberFormat="1" applyFont="1" applyFill="1"/>
    <xf numFmtId="0" fontId="7" fillId="4" borderId="9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right"/>
    </xf>
    <xf numFmtId="164" fontId="10" fillId="9" borderId="0" xfId="0" applyNumberFormat="1" applyFont="1" applyFill="1"/>
    <xf numFmtId="167" fontId="6" fillId="4" borderId="12" xfId="1" applyNumberFormat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3" xfId="0" applyFont="1" applyFill="1" applyBorder="1"/>
    <xf numFmtId="0" fontId="6" fillId="4" borderId="5" xfId="0" applyFont="1" applyFill="1" applyBorder="1"/>
    <xf numFmtId="164" fontId="6" fillId="4" borderId="0" xfId="1" applyNumberFormat="1" applyFont="1" applyFill="1" applyBorder="1" applyAlignment="1">
      <alignment horizontal="right"/>
    </xf>
    <xf numFmtId="166" fontId="6" fillId="7" borderId="0" xfId="2" applyNumberFormat="1" applyFont="1" applyFill="1" applyBorder="1" applyAlignment="1">
      <alignment horizontal="right"/>
    </xf>
    <xf numFmtId="164" fontId="6" fillId="8" borderId="0" xfId="1" applyNumberFormat="1" applyFont="1" applyFill="1" applyAlignment="1">
      <alignment horizontal="right"/>
    </xf>
    <xf numFmtId="164" fontId="11" fillId="4" borderId="9" xfId="1" applyNumberFormat="1" applyFont="1" applyFill="1" applyBorder="1" applyAlignment="1">
      <alignment horizontal="right"/>
    </xf>
    <xf numFmtId="166" fontId="6" fillId="7" borderId="9" xfId="2" applyNumberFormat="1" applyFont="1" applyFill="1" applyBorder="1" applyAlignment="1">
      <alignment horizontal="right"/>
    </xf>
    <xf numFmtId="164" fontId="10" fillId="6" borderId="11" xfId="0" applyNumberFormat="1" applyFont="1" applyFill="1" applyBorder="1"/>
    <xf numFmtId="166" fontId="6" fillId="7" borderId="11" xfId="2" applyNumberFormat="1" applyFont="1" applyFill="1" applyBorder="1" applyAlignment="1">
      <alignment horizontal="right"/>
    </xf>
    <xf numFmtId="0" fontId="11" fillId="4" borderId="0" xfId="0" applyFont="1" applyFill="1"/>
    <xf numFmtId="0" fontId="6" fillId="4" borderId="8" xfId="0" applyFont="1" applyFill="1" applyBorder="1"/>
    <xf numFmtId="164" fontId="6" fillId="4" borderId="10" xfId="1" applyNumberFormat="1" applyFont="1" applyFill="1" applyBorder="1"/>
    <xf numFmtId="0" fontId="13" fillId="4" borderId="0" xfId="0" applyFont="1" applyFill="1"/>
    <xf numFmtId="164" fontId="13" fillId="4" borderId="0" xfId="0" applyNumberFormat="1" applyFont="1" applyFill="1"/>
    <xf numFmtId="166" fontId="13" fillId="7" borderId="0" xfId="0" applyNumberFormat="1" applyFont="1" applyFill="1"/>
    <xf numFmtId="166" fontId="6" fillId="7" borderId="10" xfId="2" applyNumberFormat="1" applyFont="1" applyFill="1" applyBorder="1"/>
    <xf numFmtId="164" fontId="6" fillId="4" borderId="13" xfId="1" applyNumberFormat="1" applyFont="1" applyFill="1" applyBorder="1"/>
    <xf numFmtId="166" fontId="6" fillId="7" borderId="13" xfId="2" applyNumberFormat="1" applyFont="1" applyFill="1" applyBorder="1"/>
    <xf numFmtId="164" fontId="6" fillId="4" borderId="7" xfId="1" applyNumberFormat="1" applyFont="1" applyFill="1" applyBorder="1"/>
    <xf numFmtId="167" fontId="6" fillId="4" borderId="7" xfId="1" applyNumberFormat="1" applyFont="1" applyFill="1" applyBorder="1"/>
    <xf numFmtId="0" fontId="0" fillId="0" borderId="0" xfId="0" applyAlignment="1">
      <alignment horizontal="right"/>
    </xf>
    <xf numFmtId="168" fontId="6" fillId="4" borderId="0" xfId="1" applyNumberFormat="1" applyFont="1" applyFill="1" applyBorder="1"/>
    <xf numFmtId="10" fontId="0" fillId="0" borderId="0" xfId="2" applyNumberFormat="1" applyFont="1"/>
    <xf numFmtId="164" fontId="0" fillId="0" borderId="0" xfId="1" applyNumberFormat="1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5" borderId="4" xfId="0" applyFont="1" applyFill="1" applyBorder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 wrapText="1"/>
    </xf>
    <xf numFmtId="0" fontId="9" fillId="5" borderId="8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/>
    </xf>
    <xf numFmtId="0" fontId="1" fillId="0" borderId="1" xfId="4" applyBorder="1"/>
    <xf numFmtId="0" fontId="1" fillId="0" borderId="2" xfId="4" applyBorder="1"/>
    <xf numFmtId="0" fontId="1" fillId="0" borderId="4" xfId="4" applyBorder="1"/>
    <xf numFmtId="0" fontId="1" fillId="0" borderId="0" xfId="4"/>
  </cellXfs>
  <cellStyles count="6">
    <cellStyle name="Comma" xfId="1" builtinId="3"/>
    <cellStyle name="Comma 2" xfId="3" xr:uid="{00000000-0005-0000-0000-00002F000000}"/>
    <cellStyle name="Normal" xfId="0" builtinId="0"/>
    <cellStyle name="Normal 2" xfId="4" xr:uid="{00000000-0005-0000-0000-000030000000}"/>
    <cellStyle name="Percent" xfId="2" builtinId="5"/>
    <cellStyle name="Percent 2" xfId="5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2"/>
                <a:cs typeface="Times New Roman" panose="02020603050405020304" pitchFamily="12"/>
              </a:rPr>
              <a:t>Exhibit 2. Bebida Sol's Sales and Return on Sales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Exhibit2!$B$2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Exhibit2!$A$3:$A$5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Exhibit2!$B$3:$B$5</c:f>
              <c:numCache>
                <c:formatCode>"$"#,##0</c:formatCode>
                <c:ptCount val="3"/>
                <c:pt idx="0">
                  <c:v>642400</c:v>
                </c:pt>
                <c:pt idx="1">
                  <c:v>832341</c:v>
                </c:pt>
                <c:pt idx="2">
                  <c:v>900101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D-0247-826B-3899F94346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015616"/>
        <c:axId val="92018560"/>
      </c:barChart>
      <c:lineChart>
        <c:grouping val="standard"/>
        <c:varyColors val="0"/>
        <c:ser>
          <c:idx val="1"/>
          <c:order val="1"/>
          <c:tx>
            <c:strRef>
              <c:f>Exhibit2!$C$2</c:f>
              <c:strCache>
                <c:ptCount val="1"/>
                <c:pt idx="0">
                  <c:v>Return on Sales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Exhibit2!$A$3:$A$5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Exhibit2!$C$3:$C$5</c:f>
              <c:numCache>
                <c:formatCode>0.00%</c:formatCode>
                <c:ptCount val="3"/>
                <c:pt idx="0">
                  <c:v>4.2116594022415903E-2</c:v>
                </c:pt>
                <c:pt idx="1">
                  <c:v>5.3366588934102697E-2</c:v>
                </c:pt>
                <c:pt idx="2">
                  <c:v>5.5709859226908999E-2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D-0247-826B-3899F94346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030848"/>
        <c:axId val="92028928"/>
      </c:lineChart>
      <c:catAx>
        <c:axId val="920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018560"/>
        <c:crosses val="autoZero"/>
        <c:auto val="1"/>
        <c:lblAlgn val="ctr"/>
        <c:lblOffset val="100"/>
        <c:noMultiLvlLbl val="0"/>
      </c:catAx>
      <c:valAx>
        <c:axId val="920185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2"/>
                    <a:cs typeface="Times New Roman" panose="02020603050405020304" pitchFamily="12"/>
                  </a:rPr>
                  <a:t>Sales (thounds of pesos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015616"/>
        <c:crosses val="autoZero"/>
        <c:crossBetween val="between"/>
      </c:valAx>
      <c:catAx>
        <c:axId val="920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028928"/>
        <c:crosses val="autoZero"/>
        <c:auto val="1"/>
        <c:lblAlgn val="ctr"/>
        <c:lblOffset val="100"/>
        <c:noMultiLvlLbl val="0"/>
      </c:catAx>
      <c:valAx>
        <c:axId val="92028928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2"/>
                    <a:ea typeface="+mn-ea"/>
                    <a:cs typeface="Times New Roman" panose="02020603050405020304" pitchFamily="12"/>
                  </a:defRPr>
                </a:pPr>
                <a:r>
                  <a:rPr lang="en-US">
                    <a:latin typeface="Times New Roman" panose="02020603050405020304" pitchFamily="12"/>
                    <a:cs typeface="Times New Roman" panose="02020603050405020304" pitchFamily="12"/>
                  </a:rPr>
                  <a:t>Return of slaes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030848"/>
        <c:crosses val="max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e94f32d-7ebb-4497-8b2a-b0a0e9e7b3b1}"/>
      </c:ext>
    </c:extLst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414867</xdr:colOff>
      <xdr:row>27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"/>
  <sheetViews>
    <sheetView zoomScale="150" zoomScaleNormal="150" zoomScalePageLayoutView="150" workbookViewId="0"/>
  </sheetViews>
  <sheetFormatPr baseColWidth="10" defaultColWidth="11.5" defaultRowHeight="15" x14ac:dyDescent="0.2"/>
  <cols>
    <col min="1" max="1" width="7.5" customWidth="1"/>
  </cols>
  <sheetData>
    <row r="2" spans="1:4" x14ac:dyDescent="0.2">
      <c r="B2" s="100" t="s">
        <v>0</v>
      </c>
      <c r="C2" t="s">
        <v>1</v>
      </c>
      <c r="D2" t="s">
        <v>2</v>
      </c>
    </row>
    <row r="3" spans="1:4" x14ac:dyDescent="0.2">
      <c r="A3">
        <v>2009</v>
      </c>
      <c r="B3" s="101">
        <v>642400</v>
      </c>
      <c r="C3" s="102">
        <f>D3/B3</f>
        <v>4.2116594022415903E-2</v>
      </c>
      <c r="D3" s="103">
        <v>27055.7</v>
      </c>
    </row>
    <row r="4" spans="1:4" x14ac:dyDescent="0.2">
      <c r="A4">
        <v>2010</v>
      </c>
      <c r="B4" s="101">
        <v>832341</v>
      </c>
      <c r="C4" s="102">
        <f t="shared" ref="C4:C5" si="0">D4/B4</f>
        <v>5.3366588934102697E-2</v>
      </c>
      <c r="D4" s="103">
        <v>44419.199999999997</v>
      </c>
    </row>
    <row r="5" spans="1:4" x14ac:dyDescent="0.2">
      <c r="A5">
        <v>2011</v>
      </c>
      <c r="B5" s="101">
        <v>900101</v>
      </c>
      <c r="C5" s="102">
        <f t="shared" si="0"/>
        <v>5.5709859226908999E-2</v>
      </c>
      <c r="D5" s="103">
        <v>50144.5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zoomScale="125" zoomScaleNormal="125" zoomScalePageLayoutView="125" workbookViewId="0"/>
  </sheetViews>
  <sheetFormatPr baseColWidth="10" defaultColWidth="11.5" defaultRowHeight="15" x14ac:dyDescent="0.2"/>
  <cols>
    <col min="1" max="2" width="3.33203125" customWidth="1"/>
    <col min="4" max="4" width="14.5" customWidth="1"/>
    <col min="7" max="7" width="3.5" customWidth="1"/>
    <col min="10" max="10" width="3.83203125" customWidth="1"/>
    <col min="13" max="13" width="3.33203125" customWidth="1"/>
    <col min="14" max="14" width="2.1640625" customWidth="1"/>
  </cols>
  <sheetData>
    <row r="2" spans="2:13" x14ac:dyDescent="0.2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80"/>
    </row>
    <row r="3" spans="2:13" ht="16" x14ac:dyDescent="0.2">
      <c r="B3" s="46"/>
      <c r="C3" s="104" t="s">
        <v>3</v>
      </c>
      <c r="D3" s="105"/>
      <c r="E3" s="105"/>
      <c r="F3" s="105"/>
      <c r="G3" s="105"/>
      <c r="H3" s="105"/>
      <c r="I3" s="105"/>
      <c r="J3" s="105"/>
      <c r="K3" s="105"/>
      <c r="L3" s="106"/>
      <c r="M3" s="81"/>
    </row>
    <row r="4" spans="2:13" ht="16" x14ac:dyDescent="0.2">
      <c r="B4" s="46"/>
      <c r="C4" s="107" t="s">
        <v>4</v>
      </c>
      <c r="D4" s="108"/>
      <c r="E4" s="108"/>
      <c r="F4" s="108"/>
      <c r="G4" s="108"/>
      <c r="H4" s="108"/>
      <c r="I4" s="108"/>
      <c r="J4" s="108"/>
      <c r="K4" s="108"/>
      <c r="L4" s="109"/>
      <c r="M4" s="81"/>
    </row>
    <row r="5" spans="2:13" ht="16" x14ac:dyDescent="0.2">
      <c r="B5" s="46"/>
      <c r="C5" s="107" t="s">
        <v>5</v>
      </c>
      <c r="D5" s="108"/>
      <c r="E5" s="108"/>
      <c r="F5" s="108"/>
      <c r="G5" s="108"/>
      <c r="H5" s="108"/>
      <c r="I5" s="108"/>
      <c r="J5" s="108"/>
      <c r="K5" s="108"/>
      <c r="L5" s="109"/>
      <c r="M5" s="81"/>
    </row>
    <row r="6" spans="2:13" ht="16" x14ac:dyDescent="0.2">
      <c r="B6" s="46"/>
      <c r="C6" s="110" t="s">
        <v>6</v>
      </c>
      <c r="D6" s="111"/>
      <c r="E6" s="111"/>
      <c r="F6" s="111"/>
      <c r="G6" s="111"/>
      <c r="H6" s="111"/>
      <c r="I6" s="111"/>
      <c r="J6" s="111"/>
      <c r="K6" s="111"/>
      <c r="L6" s="112"/>
      <c r="M6" s="81"/>
    </row>
    <row r="7" spans="2:13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81"/>
    </row>
    <row r="8" spans="2:13" x14ac:dyDescent="0.2">
      <c r="B8" s="46"/>
      <c r="C8" s="73" t="s">
        <v>7</v>
      </c>
      <c r="D8" s="51"/>
      <c r="E8" s="113">
        <v>2009</v>
      </c>
      <c r="F8" s="113"/>
      <c r="G8" s="51"/>
      <c r="H8" s="113">
        <v>2010</v>
      </c>
      <c r="I8" s="113"/>
      <c r="J8" s="51"/>
      <c r="K8" s="113">
        <v>2011</v>
      </c>
      <c r="L8" s="113"/>
      <c r="M8" s="81"/>
    </row>
    <row r="9" spans="2:13" x14ac:dyDescent="0.2">
      <c r="B9" s="46"/>
      <c r="C9" s="51" t="s">
        <v>0</v>
      </c>
      <c r="D9" s="51"/>
      <c r="E9" s="56">
        <v>642400</v>
      </c>
      <c r="F9" s="55">
        <f>E9/$E$9</f>
        <v>1</v>
      </c>
      <c r="G9" s="51"/>
      <c r="H9" s="56">
        <v>832341</v>
      </c>
      <c r="I9" s="55">
        <f>H9/$H$9</f>
        <v>1</v>
      </c>
      <c r="J9" s="56"/>
      <c r="K9" s="56">
        <v>900101</v>
      </c>
      <c r="L9" s="55">
        <f>K9/$K$9</f>
        <v>1</v>
      </c>
      <c r="M9" s="81"/>
    </row>
    <row r="10" spans="2:13" x14ac:dyDescent="0.2">
      <c r="B10" s="46"/>
      <c r="C10" s="51" t="s">
        <v>8</v>
      </c>
      <c r="D10" s="51"/>
      <c r="E10" s="56">
        <v>349884</v>
      </c>
      <c r="F10" s="62">
        <f>E10/$E$9</f>
        <v>0.54465130759651303</v>
      </c>
      <c r="G10" s="51"/>
      <c r="H10" s="56">
        <v>456409</v>
      </c>
      <c r="I10" s="62">
        <f t="shared" ref="I10:I24" si="0">H10/$H$9</f>
        <v>0.54834376775864702</v>
      </c>
      <c r="J10" s="56"/>
      <c r="K10" s="56">
        <v>487020</v>
      </c>
      <c r="L10" s="62">
        <f t="shared" ref="L10:L24" si="1">K10/$K$9</f>
        <v>0.54107261296232301</v>
      </c>
      <c r="M10" s="81"/>
    </row>
    <row r="11" spans="2:13" x14ac:dyDescent="0.2">
      <c r="B11" s="46"/>
      <c r="C11" s="51" t="s">
        <v>9</v>
      </c>
      <c r="D11" s="51"/>
      <c r="E11" s="91">
        <f>E9-E10</f>
        <v>292516</v>
      </c>
      <c r="F11" s="55">
        <f>E11/$E$9</f>
        <v>0.45534869240348702</v>
      </c>
      <c r="G11" s="51"/>
      <c r="H11" s="91">
        <f>H9-H10</f>
        <v>375932</v>
      </c>
      <c r="I11" s="55">
        <f t="shared" si="0"/>
        <v>0.45165623224135298</v>
      </c>
      <c r="J11" s="56"/>
      <c r="K11" s="91">
        <f>K9-K10</f>
        <v>413081</v>
      </c>
      <c r="L11" s="55">
        <f t="shared" si="1"/>
        <v>0.45892738703767699</v>
      </c>
      <c r="M11" s="81"/>
    </row>
    <row r="12" spans="2:13" x14ac:dyDescent="0.2">
      <c r="B12" s="46"/>
      <c r="C12" s="92"/>
      <c r="D12" s="92"/>
      <c r="E12" s="93"/>
      <c r="F12" s="94"/>
      <c r="G12" s="92"/>
      <c r="H12" s="93"/>
      <c r="I12" s="55"/>
      <c r="J12" s="92"/>
      <c r="K12" s="93"/>
      <c r="L12" s="55"/>
      <c r="M12" s="81"/>
    </row>
    <row r="13" spans="2:13" x14ac:dyDescent="0.2">
      <c r="B13" s="46"/>
      <c r="C13" s="51" t="s">
        <v>10</v>
      </c>
      <c r="D13" s="92"/>
      <c r="E13" s="56">
        <v>120359</v>
      </c>
      <c r="F13" s="55">
        <f>E13/$E$9</f>
        <v>0.18735834371108301</v>
      </c>
      <c r="G13" s="92"/>
      <c r="H13" s="56">
        <v>150322</v>
      </c>
      <c r="I13" s="55">
        <f t="shared" si="0"/>
        <v>0.180601460218829</v>
      </c>
      <c r="J13" s="64"/>
      <c r="K13" s="56">
        <v>168330</v>
      </c>
      <c r="L13" s="55">
        <f t="shared" si="1"/>
        <v>0.18701234639223799</v>
      </c>
      <c r="M13" s="81"/>
    </row>
    <row r="14" spans="2:13" x14ac:dyDescent="0.2">
      <c r="B14" s="46"/>
      <c r="C14" s="51" t="s">
        <v>11</v>
      </c>
      <c r="D14" s="51"/>
      <c r="E14" s="56">
        <v>65340</v>
      </c>
      <c r="F14" s="55">
        <f t="shared" ref="F14:F15" si="2">E14/$E$9</f>
        <v>0.10171232876712299</v>
      </c>
      <c r="G14" s="51"/>
      <c r="H14" s="56">
        <v>88622</v>
      </c>
      <c r="I14" s="62">
        <f t="shared" si="0"/>
        <v>0.106473188272595</v>
      </c>
      <c r="J14" s="56"/>
      <c r="K14" s="56">
        <v>97791</v>
      </c>
      <c r="L14" s="62">
        <f t="shared" si="1"/>
        <v>0.10864447434232399</v>
      </c>
      <c r="M14" s="81"/>
    </row>
    <row r="15" spans="2:13" x14ac:dyDescent="0.2">
      <c r="B15" s="46"/>
      <c r="C15" s="51" t="s">
        <v>12</v>
      </c>
      <c r="D15" s="51"/>
      <c r="E15" s="91">
        <f>E11-E13-E14</f>
        <v>106817</v>
      </c>
      <c r="F15" s="95">
        <f t="shared" si="2"/>
        <v>0.16627801992527999</v>
      </c>
      <c r="G15" s="51"/>
      <c r="H15" s="91">
        <f>H11-H13-H14</f>
        <v>136988</v>
      </c>
      <c r="I15" s="55">
        <f t="shared" si="0"/>
        <v>0.16458158374992901</v>
      </c>
      <c r="J15" s="56"/>
      <c r="K15" s="91">
        <f>K11-K13-K14</f>
        <v>146960</v>
      </c>
      <c r="L15" s="55">
        <f t="shared" si="1"/>
        <v>0.16327056630311501</v>
      </c>
      <c r="M15" s="81"/>
    </row>
    <row r="16" spans="2:13" x14ac:dyDescent="0.2">
      <c r="B16" s="46"/>
      <c r="C16" s="92"/>
      <c r="D16" s="92"/>
      <c r="E16" s="93"/>
      <c r="F16" s="94"/>
      <c r="G16" s="92"/>
      <c r="H16" s="93"/>
      <c r="I16" s="55"/>
      <c r="J16" s="92"/>
      <c r="K16" s="93"/>
      <c r="L16" s="55"/>
      <c r="M16" s="81"/>
    </row>
    <row r="17" spans="2:13" x14ac:dyDescent="0.2">
      <c r="B17" s="46"/>
      <c r="C17" s="51" t="s">
        <v>13</v>
      </c>
      <c r="D17" s="51"/>
      <c r="E17" s="56">
        <v>45046</v>
      </c>
      <c r="F17" s="55">
        <f t="shared" ref="F17:F18" si="3">E17/$E$9</f>
        <v>7.01214196762142E-2</v>
      </c>
      <c r="G17" s="51"/>
      <c r="H17" s="56">
        <v>59444</v>
      </c>
      <c r="I17" s="62">
        <f t="shared" si="0"/>
        <v>7.1417844369074696E-2</v>
      </c>
      <c r="J17" s="56"/>
      <c r="K17" s="56">
        <v>65985</v>
      </c>
      <c r="L17" s="62">
        <f t="shared" si="1"/>
        <v>7.3308439830641198E-2</v>
      </c>
      <c r="M17" s="81"/>
    </row>
    <row r="18" spans="2:13" x14ac:dyDescent="0.2">
      <c r="B18" s="46"/>
      <c r="C18" s="51" t="s">
        <v>14</v>
      </c>
      <c r="D18" s="51"/>
      <c r="E18" s="91">
        <f>E15-E17</f>
        <v>61771</v>
      </c>
      <c r="F18" s="95">
        <f t="shared" si="3"/>
        <v>9.6156600249065999E-2</v>
      </c>
      <c r="G18" s="51"/>
      <c r="H18" s="91">
        <f>H15-H17</f>
        <v>77544</v>
      </c>
      <c r="I18" s="55">
        <f t="shared" si="0"/>
        <v>9.3163739380854704E-2</v>
      </c>
      <c r="J18" s="56"/>
      <c r="K18" s="91">
        <f>K15-K17</f>
        <v>80975</v>
      </c>
      <c r="L18" s="55">
        <f t="shared" si="1"/>
        <v>8.9962126472473605E-2</v>
      </c>
      <c r="M18" s="81"/>
    </row>
    <row r="19" spans="2:13" x14ac:dyDescent="0.2">
      <c r="B19" s="46"/>
      <c r="C19" s="92"/>
      <c r="D19" s="92"/>
      <c r="E19" s="93"/>
      <c r="F19" s="94"/>
      <c r="G19" s="92"/>
      <c r="H19" s="93"/>
      <c r="I19" s="55"/>
      <c r="J19" s="92"/>
      <c r="K19" s="93"/>
      <c r="L19" s="55"/>
      <c r="M19" s="81"/>
    </row>
    <row r="20" spans="2:13" x14ac:dyDescent="0.2">
      <c r="B20" s="46"/>
      <c r="C20" s="51" t="s">
        <v>15</v>
      </c>
      <c r="D20" s="51"/>
      <c r="E20" s="56">
        <v>23120</v>
      </c>
      <c r="F20" s="55">
        <f t="shared" ref="F20:F21" si="4">E20/$E$9</f>
        <v>3.5990037359900397E-2</v>
      </c>
      <c r="G20" s="51"/>
      <c r="H20" s="56">
        <v>14088</v>
      </c>
      <c r="I20" s="62">
        <f t="shared" si="0"/>
        <v>1.6925755189279398E-2</v>
      </c>
      <c r="J20" s="56"/>
      <c r="K20" s="56">
        <v>9340</v>
      </c>
      <c r="L20" s="62">
        <f t="shared" si="1"/>
        <v>1.0376613291175099E-2</v>
      </c>
      <c r="M20" s="81"/>
    </row>
    <row r="21" spans="2:13" x14ac:dyDescent="0.2">
      <c r="B21" s="46"/>
      <c r="C21" s="51" t="s">
        <v>16</v>
      </c>
      <c r="D21" s="51"/>
      <c r="E21" s="91">
        <f>E18-E20</f>
        <v>38651</v>
      </c>
      <c r="F21" s="95">
        <f t="shared" si="4"/>
        <v>6.0166562889165602E-2</v>
      </c>
      <c r="G21" s="51"/>
      <c r="H21" s="91">
        <f>H18-H20</f>
        <v>63456</v>
      </c>
      <c r="I21" s="55">
        <f t="shared" si="0"/>
        <v>7.6237984191575306E-2</v>
      </c>
      <c r="J21" s="56"/>
      <c r="K21" s="91">
        <f>K18-K20</f>
        <v>71635</v>
      </c>
      <c r="L21" s="55">
        <f t="shared" si="1"/>
        <v>7.9585513181298501E-2</v>
      </c>
      <c r="M21" s="81"/>
    </row>
    <row r="22" spans="2:13" x14ac:dyDescent="0.2">
      <c r="B22" s="46"/>
      <c r="C22" s="51"/>
      <c r="D22" s="51"/>
      <c r="E22" s="56"/>
      <c r="F22" s="55"/>
      <c r="G22" s="51"/>
      <c r="H22" s="56"/>
      <c r="I22" s="55"/>
      <c r="J22" s="56"/>
      <c r="K22" s="56"/>
      <c r="L22" s="55"/>
      <c r="M22" s="81"/>
    </row>
    <row r="23" spans="2:13" x14ac:dyDescent="0.2">
      <c r="B23" s="46"/>
      <c r="C23" s="51" t="s">
        <v>17</v>
      </c>
      <c r="D23" s="51"/>
      <c r="E23" s="56">
        <f>0.3*E21</f>
        <v>11595.3</v>
      </c>
      <c r="F23" s="55">
        <f t="shared" ref="F23:F24" si="5">E23/$E$9</f>
        <v>1.8049968866749699E-2</v>
      </c>
      <c r="G23" s="51"/>
      <c r="H23" s="56">
        <f>0.3*H21</f>
        <v>19036.8</v>
      </c>
      <c r="I23" s="55">
        <f t="shared" si="0"/>
        <v>2.2871395257472601E-2</v>
      </c>
      <c r="J23" s="56"/>
      <c r="K23" s="56">
        <f>0.3*K21</f>
        <v>21490.5</v>
      </c>
      <c r="L23" s="55">
        <f t="shared" si="1"/>
        <v>2.3875653954389599E-2</v>
      </c>
      <c r="M23" s="81"/>
    </row>
    <row r="24" spans="2:13" x14ac:dyDescent="0.2">
      <c r="B24" s="46"/>
      <c r="C24" s="51" t="s">
        <v>2</v>
      </c>
      <c r="D24" s="51"/>
      <c r="E24" s="96">
        <f>E21-E23</f>
        <v>27055.7</v>
      </c>
      <c r="F24" s="97">
        <f t="shared" si="5"/>
        <v>4.2116594022415903E-2</v>
      </c>
      <c r="G24" s="51"/>
      <c r="H24" s="96">
        <f>H21-H23</f>
        <v>44419.199999999997</v>
      </c>
      <c r="I24" s="97">
        <f t="shared" si="0"/>
        <v>5.3366588934102697E-2</v>
      </c>
      <c r="J24" s="56"/>
      <c r="K24" s="96">
        <f>K21-K23</f>
        <v>50144.5</v>
      </c>
      <c r="L24" s="97">
        <f t="shared" si="1"/>
        <v>5.5709859226908999E-2</v>
      </c>
      <c r="M24" s="81"/>
    </row>
    <row r="25" spans="2:13" x14ac:dyDescent="0.2">
      <c r="B25" s="46"/>
      <c r="C25" s="92"/>
      <c r="D25" s="92"/>
      <c r="E25" s="93"/>
      <c r="F25" s="92"/>
      <c r="G25" s="92"/>
      <c r="H25" s="93"/>
      <c r="I25" s="92"/>
      <c r="J25" s="92"/>
      <c r="K25" s="93"/>
      <c r="L25" s="92"/>
      <c r="M25" s="81"/>
    </row>
    <row r="26" spans="2:13" x14ac:dyDescent="0.2">
      <c r="B26" s="46"/>
      <c r="C26" s="51" t="s">
        <v>18</v>
      </c>
      <c r="D26" s="51"/>
      <c r="E26" s="56">
        <v>20000</v>
      </c>
      <c r="F26" s="64"/>
      <c r="G26" s="51"/>
      <c r="H26" s="56">
        <v>20000</v>
      </c>
      <c r="I26" s="64"/>
      <c r="J26" s="56"/>
      <c r="K26" s="56">
        <v>20000</v>
      </c>
      <c r="L26" s="64"/>
      <c r="M26" s="81"/>
    </row>
    <row r="27" spans="2:13" x14ac:dyDescent="0.2">
      <c r="B27" s="78"/>
      <c r="C27" s="79" t="s">
        <v>19</v>
      </c>
      <c r="D27" s="79"/>
      <c r="E27" s="98">
        <f>E24-E26</f>
        <v>7055.7</v>
      </c>
      <c r="F27" s="99"/>
      <c r="G27" s="79"/>
      <c r="H27" s="98">
        <f>H24-H26</f>
        <v>24419.200000000001</v>
      </c>
      <c r="I27" s="99"/>
      <c r="J27" s="98"/>
      <c r="K27" s="98">
        <f>K24-K26</f>
        <v>30144.5</v>
      </c>
      <c r="L27" s="99"/>
      <c r="M27" s="90"/>
    </row>
  </sheetData>
  <mergeCells count="7">
    <mergeCell ref="C3:L3"/>
    <mergeCell ref="C4:L4"/>
    <mergeCell ref="C5:L5"/>
    <mergeCell ref="C6:L6"/>
    <mergeCell ref="E8:F8"/>
    <mergeCell ref="H8:I8"/>
    <mergeCell ref="K8:L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3"/>
  <sheetViews>
    <sheetView topLeftCell="A3" zoomScale="125" zoomScaleNormal="125" zoomScalePageLayoutView="125" workbookViewId="0">
      <selection activeCell="H13" sqref="H13"/>
    </sheetView>
  </sheetViews>
  <sheetFormatPr baseColWidth="10" defaultColWidth="11.5" defaultRowHeight="15" x14ac:dyDescent="0.2"/>
  <cols>
    <col min="1" max="1" width="3.33203125" customWidth="1"/>
    <col min="2" max="2" width="4" customWidth="1"/>
    <col min="7" max="7" width="3" customWidth="1"/>
    <col min="10" max="10" width="3.5" customWidth="1"/>
    <col min="13" max="13" width="3.33203125" customWidth="1"/>
  </cols>
  <sheetData>
    <row r="2" spans="2:13" x14ac:dyDescent="0.2">
      <c r="B2" s="43"/>
      <c r="C2" s="44"/>
      <c r="D2" s="44"/>
      <c r="E2" s="45"/>
      <c r="F2" s="45"/>
      <c r="G2" s="44"/>
      <c r="H2" s="45"/>
      <c r="I2" s="45"/>
      <c r="J2" s="44"/>
      <c r="K2" s="45"/>
      <c r="L2" s="45"/>
      <c r="M2" s="80"/>
    </row>
    <row r="3" spans="2:13" ht="16" x14ac:dyDescent="0.2">
      <c r="B3" s="46"/>
      <c r="C3" s="104" t="s">
        <v>20</v>
      </c>
      <c r="D3" s="105"/>
      <c r="E3" s="105"/>
      <c r="F3" s="105"/>
      <c r="G3" s="105"/>
      <c r="H3" s="105"/>
      <c r="I3" s="105"/>
      <c r="J3" s="105"/>
      <c r="K3" s="105"/>
      <c r="L3" s="106"/>
      <c r="M3" s="81"/>
    </row>
    <row r="4" spans="2:13" ht="16" x14ac:dyDescent="0.2">
      <c r="B4" s="46"/>
      <c r="C4" s="107" t="s">
        <v>4</v>
      </c>
      <c r="D4" s="108"/>
      <c r="E4" s="108"/>
      <c r="F4" s="108"/>
      <c r="G4" s="108"/>
      <c r="H4" s="108"/>
      <c r="I4" s="108"/>
      <c r="J4" s="108"/>
      <c r="K4" s="108"/>
      <c r="L4" s="109"/>
      <c r="M4" s="81"/>
    </row>
    <row r="5" spans="2:13" ht="16" x14ac:dyDescent="0.2">
      <c r="B5" s="46"/>
      <c r="C5" s="107" t="s">
        <v>21</v>
      </c>
      <c r="D5" s="108"/>
      <c r="E5" s="108"/>
      <c r="F5" s="108"/>
      <c r="G5" s="108"/>
      <c r="H5" s="108"/>
      <c r="I5" s="108"/>
      <c r="J5" s="108"/>
      <c r="K5" s="108"/>
      <c r="L5" s="109"/>
      <c r="M5" s="81"/>
    </row>
    <row r="6" spans="2:13" ht="16" x14ac:dyDescent="0.2">
      <c r="B6" s="46"/>
      <c r="C6" s="110" t="s">
        <v>6</v>
      </c>
      <c r="D6" s="111"/>
      <c r="E6" s="111"/>
      <c r="F6" s="111"/>
      <c r="G6" s="111"/>
      <c r="H6" s="111"/>
      <c r="I6" s="111"/>
      <c r="J6" s="111"/>
      <c r="K6" s="111"/>
      <c r="L6" s="112"/>
      <c r="M6" s="81"/>
    </row>
    <row r="7" spans="2:13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81"/>
    </row>
    <row r="8" spans="2:13" ht="16" x14ac:dyDescent="0.2">
      <c r="B8" s="46"/>
      <c r="C8" s="48" t="s">
        <v>22</v>
      </c>
      <c r="D8" s="47"/>
      <c r="E8" s="49">
        <v>2009</v>
      </c>
      <c r="F8" s="50"/>
      <c r="G8" s="51"/>
      <c r="H8" s="49">
        <v>2010</v>
      </c>
      <c r="I8" s="50"/>
      <c r="J8" s="51"/>
      <c r="K8" s="49">
        <v>2011</v>
      </c>
      <c r="L8" s="50"/>
      <c r="M8" s="81"/>
    </row>
    <row r="9" spans="2:13" x14ac:dyDescent="0.2">
      <c r="B9" s="46"/>
      <c r="C9" s="52"/>
      <c r="D9" s="47"/>
      <c r="E9" s="50"/>
      <c r="F9" s="50"/>
      <c r="G9" s="51"/>
      <c r="H9" s="50"/>
      <c r="I9" s="50"/>
      <c r="J9" s="51"/>
      <c r="K9" s="50"/>
      <c r="L9" s="50"/>
      <c r="M9" s="81"/>
    </row>
    <row r="10" spans="2:13" ht="16" x14ac:dyDescent="0.2">
      <c r="B10" s="46"/>
      <c r="C10" s="53" t="s">
        <v>23</v>
      </c>
      <c r="D10" s="47"/>
      <c r="E10" s="54">
        <v>12023</v>
      </c>
      <c r="F10" s="55">
        <f>E10/$E$20</f>
        <v>3.0655989213416199E-2</v>
      </c>
      <c r="G10" s="51"/>
      <c r="H10" s="56">
        <v>36090</v>
      </c>
      <c r="I10" s="55">
        <f>H10/$H$20</f>
        <v>8.9210513644563602E-2</v>
      </c>
      <c r="J10" s="51"/>
      <c r="K10" s="82">
        <v>53020</v>
      </c>
      <c r="L10" s="83">
        <f>K10/$K$20</f>
        <v>0.13962173961812899</v>
      </c>
      <c r="M10" s="81"/>
    </row>
    <row r="11" spans="2:13" x14ac:dyDescent="0.2">
      <c r="B11" s="46"/>
      <c r="C11" s="51" t="s">
        <v>24</v>
      </c>
      <c r="D11" s="51"/>
      <c r="E11" s="57">
        <v>61600</v>
      </c>
      <c r="F11" s="55">
        <f t="shared" ref="F11:F20" si="0">E11/$E$20</f>
        <v>0.157066367424639</v>
      </c>
      <c r="G11" s="51"/>
      <c r="H11" s="56">
        <v>75252.747945205498</v>
      </c>
      <c r="I11" s="55">
        <f t="shared" ref="I11:I32" si="1">H11/$H$20</f>
        <v>0.18601652250919001</v>
      </c>
      <c r="J11" s="51"/>
      <c r="K11" s="82">
        <v>78912.964383561601</v>
      </c>
      <c r="L11" s="83">
        <f t="shared" ref="L11:L32" si="2">K11/$K$20</f>
        <v>0.207807720966736</v>
      </c>
      <c r="M11" s="81"/>
    </row>
    <row r="12" spans="2:13" x14ac:dyDescent="0.2">
      <c r="B12" s="46"/>
      <c r="C12" s="51" t="s">
        <v>25</v>
      </c>
      <c r="D12" s="51"/>
      <c r="E12" s="57">
        <v>32591.9</v>
      </c>
      <c r="F12" s="55">
        <f t="shared" si="0"/>
        <v>8.3102132150440003E-2</v>
      </c>
      <c r="G12" s="58"/>
      <c r="H12" s="59">
        <v>45015.682191780797</v>
      </c>
      <c r="I12" s="55">
        <f t="shared" si="1"/>
        <v>0.111273819074237</v>
      </c>
      <c r="J12" s="58"/>
      <c r="K12" s="84">
        <v>60043.561643835601</v>
      </c>
      <c r="L12" s="83">
        <f t="shared" si="2"/>
        <v>0.15811743737421199</v>
      </c>
      <c r="M12" s="81"/>
    </row>
    <row r="13" spans="2:13" x14ac:dyDescent="0.2">
      <c r="B13" s="46"/>
      <c r="C13" s="60" t="s">
        <v>26</v>
      </c>
      <c r="D13" s="51"/>
      <c r="E13" s="61">
        <v>11792</v>
      </c>
      <c r="F13" s="62">
        <f t="shared" si="0"/>
        <v>3.00669903355738E-2</v>
      </c>
      <c r="G13" s="63"/>
      <c r="H13" s="56">
        <v>20660.299890410999</v>
      </c>
      <c r="I13" s="62">
        <f t="shared" si="1"/>
        <v>5.10699907252503E-2</v>
      </c>
      <c r="J13" s="51"/>
      <c r="K13" s="85">
        <v>15116.764739726001</v>
      </c>
      <c r="L13" s="86">
        <f t="shared" si="2"/>
        <v>3.9808166547690399E-2</v>
      </c>
      <c r="M13" s="81"/>
    </row>
    <row r="14" spans="2:13" x14ac:dyDescent="0.2">
      <c r="B14" s="46"/>
      <c r="C14" s="51" t="s">
        <v>27</v>
      </c>
      <c r="D14" s="51"/>
      <c r="E14" s="57">
        <f>SUM(E10:E13)</f>
        <v>118006.9</v>
      </c>
      <c r="F14" s="55">
        <f t="shared" si="0"/>
        <v>0.30089147912406899</v>
      </c>
      <c r="G14" s="64"/>
      <c r="H14" s="65">
        <f>SUM(H10:H13)</f>
        <v>177018.73002739699</v>
      </c>
      <c r="I14" s="55">
        <f t="shared" si="1"/>
        <v>0.43757084595323997</v>
      </c>
      <c r="J14" s="64"/>
      <c r="K14" s="57">
        <f>SUM(K10:K13)</f>
        <v>207093.29076712299</v>
      </c>
      <c r="L14" s="83">
        <f t="shared" si="2"/>
        <v>0.54535506450676796</v>
      </c>
      <c r="M14" s="81"/>
    </row>
    <row r="15" spans="2:13" x14ac:dyDescent="0.2">
      <c r="B15" s="46"/>
      <c r="C15" s="51"/>
      <c r="D15" s="51"/>
      <c r="E15" s="57"/>
      <c r="F15" s="55"/>
      <c r="G15" s="51"/>
      <c r="H15" s="66"/>
      <c r="I15" s="55"/>
      <c r="J15" s="51"/>
      <c r="K15" s="66"/>
      <c r="L15" s="83"/>
      <c r="M15" s="81"/>
    </row>
    <row r="16" spans="2:13" x14ac:dyDescent="0.2">
      <c r="B16" s="46"/>
      <c r="C16" s="51" t="s">
        <v>28</v>
      </c>
      <c r="D16" s="51"/>
      <c r="E16" s="57">
        <v>439230</v>
      </c>
      <c r="F16" s="55">
        <f t="shared" si="0"/>
        <v>1.1199392948689</v>
      </c>
      <c r="G16" s="51"/>
      <c r="H16" s="56">
        <v>452020</v>
      </c>
      <c r="I16" s="55">
        <f t="shared" si="1"/>
        <v>1.11734376219495</v>
      </c>
      <c r="J16" s="51"/>
      <c r="K16" s="56">
        <v>463122</v>
      </c>
      <c r="L16" s="83">
        <f t="shared" si="2"/>
        <v>1.21957561854823</v>
      </c>
      <c r="M16" s="81"/>
    </row>
    <row r="17" spans="2:13" x14ac:dyDescent="0.2">
      <c r="B17" s="46"/>
      <c r="C17" s="60" t="s">
        <v>29</v>
      </c>
      <c r="D17" s="51"/>
      <c r="E17" s="67">
        <v>165046</v>
      </c>
      <c r="F17" s="55">
        <f t="shared" si="0"/>
        <v>0.42083077399297097</v>
      </c>
      <c r="G17" s="51"/>
      <c r="H17" s="68">
        <v>224490</v>
      </c>
      <c r="I17" s="55">
        <f t="shared" si="1"/>
        <v>0.55491460814818705</v>
      </c>
      <c r="J17" s="63"/>
      <c r="K17" s="56">
        <v>290475</v>
      </c>
      <c r="L17" s="83">
        <f t="shared" si="2"/>
        <v>0.764930683055</v>
      </c>
      <c r="M17" s="81"/>
    </row>
    <row r="18" spans="2:13" x14ac:dyDescent="0.2">
      <c r="B18" s="46"/>
      <c r="C18" s="51" t="s">
        <v>30</v>
      </c>
      <c r="D18" s="51"/>
      <c r="E18" s="67">
        <f>E16-E17</f>
        <v>274184</v>
      </c>
      <c r="F18" s="69">
        <f t="shared" si="0"/>
        <v>0.69910852087593101</v>
      </c>
      <c r="G18" s="51"/>
      <c r="H18" s="67">
        <f>H16-H17</f>
        <v>227530</v>
      </c>
      <c r="I18" s="69">
        <f t="shared" si="1"/>
        <v>0.56242915404675997</v>
      </c>
      <c r="J18" s="64"/>
      <c r="K18" s="87">
        <f>K16-K17</f>
        <v>172647</v>
      </c>
      <c r="L18" s="88">
        <f t="shared" si="2"/>
        <v>0.45464493549323198</v>
      </c>
      <c r="M18" s="81"/>
    </row>
    <row r="19" spans="2:13" x14ac:dyDescent="0.2">
      <c r="B19" s="46"/>
      <c r="C19" s="51"/>
      <c r="D19" s="51"/>
      <c r="E19" s="57"/>
      <c r="F19" s="55"/>
      <c r="G19" s="51"/>
      <c r="H19" s="66"/>
      <c r="I19" s="55"/>
      <c r="J19" s="51"/>
      <c r="K19" s="66"/>
      <c r="L19" s="83"/>
      <c r="M19" s="81"/>
    </row>
    <row r="20" spans="2:13" x14ac:dyDescent="0.2">
      <c r="B20" s="46"/>
      <c r="C20" s="70" t="s">
        <v>31</v>
      </c>
      <c r="D20" s="51"/>
      <c r="E20" s="71">
        <f>E14+E18</f>
        <v>392190.9</v>
      </c>
      <c r="F20" s="55">
        <f t="shared" si="0"/>
        <v>1</v>
      </c>
      <c r="G20" s="51"/>
      <c r="H20" s="71">
        <f>H14+H18</f>
        <v>404548.73002739699</v>
      </c>
      <c r="I20" s="55">
        <f t="shared" si="1"/>
        <v>1</v>
      </c>
      <c r="J20" s="51"/>
      <c r="K20" s="71">
        <f>K14+K18</f>
        <v>379740.29076712299</v>
      </c>
      <c r="L20" s="83">
        <f t="shared" si="2"/>
        <v>1</v>
      </c>
      <c r="M20" s="81"/>
    </row>
    <row r="21" spans="2:13" x14ac:dyDescent="0.2">
      <c r="B21" s="46"/>
      <c r="C21" s="51"/>
      <c r="D21" s="51"/>
      <c r="E21" s="57"/>
      <c r="F21" s="72"/>
      <c r="G21" s="51"/>
      <c r="H21" s="66"/>
      <c r="I21" s="55"/>
      <c r="J21" s="51"/>
      <c r="K21" s="66"/>
      <c r="L21" s="83"/>
      <c r="M21" s="81"/>
    </row>
    <row r="22" spans="2:13" x14ac:dyDescent="0.2">
      <c r="B22" s="46"/>
      <c r="C22" s="73" t="s">
        <v>32</v>
      </c>
      <c r="D22" s="74"/>
      <c r="E22" s="49">
        <v>2009</v>
      </c>
      <c r="F22" s="75"/>
      <c r="G22" s="51"/>
      <c r="H22" s="49">
        <v>2010</v>
      </c>
      <c r="I22" s="55"/>
      <c r="J22" s="51"/>
      <c r="K22" s="49">
        <v>2011</v>
      </c>
      <c r="L22" s="83"/>
      <c r="M22" s="81"/>
    </row>
    <row r="23" spans="2:13" x14ac:dyDescent="0.2">
      <c r="B23" s="46"/>
      <c r="C23" s="74"/>
      <c r="D23" s="74"/>
      <c r="E23" s="50"/>
      <c r="F23" s="75"/>
      <c r="G23" s="51"/>
      <c r="H23" s="50"/>
      <c r="I23" s="55"/>
      <c r="J23" s="51"/>
      <c r="K23" s="50"/>
      <c r="L23" s="83"/>
      <c r="M23" s="81"/>
    </row>
    <row r="24" spans="2:13" x14ac:dyDescent="0.2">
      <c r="B24" s="46"/>
      <c r="C24" s="51" t="s">
        <v>33</v>
      </c>
      <c r="D24" s="51"/>
      <c r="E24" s="57">
        <v>34509.1</v>
      </c>
      <c r="F24" s="55">
        <f t="shared" ref="F24:F32" si="3">E24/$E$20</f>
        <v>8.7990567858662702E-2</v>
      </c>
      <c r="G24" s="51"/>
      <c r="H24" s="56">
        <v>43765.246575342499</v>
      </c>
      <c r="I24" s="55">
        <f t="shared" si="1"/>
        <v>0.108182879655508</v>
      </c>
      <c r="J24" s="51"/>
      <c r="K24" s="56">
        <v>48034.849315068503</v>
      </c>
      <c r="L24" s="83">
        <f t="shared" si="2"/>
        <v>0.12649394989936899</v>
      </c>
      <c r="M24" s="81"/>
    </row>
    <row r="25" spans="2:13" x14ac:dyDescent="0.2">
      <c r="B25" s="46"/>
      <c r="C25" s="51" t="s">
        <v>34</v>
      </c>
      <c r="D25" s="51"/>
      <c r="E25" s="57">
        <v>15083.2</v>
      </c>
      <c r="F25" s="55">
        <f t="shared" si="3"/>
        <v>3.8458821966547402E-2</v>
      </c>
      <c r="G25" s="51"/>
      <c r="H25" s="56">
        <v>19086.833342465801</v>
      </c>
      <c r="I25" s="55">
        <f t="shared" si="1"/>
        <v>4.7180554345512701E-2</v>
      </c>
      <c r="J25" s="51"/>
      <c r="K25" s="56">
        <v>20492.7104383562</v>
      </c>
      <c r="L25" s="83">
        <f t="shared" si="2"/>
        <v>5.3965067538549301E-2</v>
      </c>
      <c r="M25" s="81"/>
    </row>
    <row r="26" spans="2:13" x14ac:dyDescent="0.2">
      <c r="B26" s="46"/>
      <c r="C26" s="51" t="s">
        <v>35</v>
      </c>
      <c r="D26" s="51"/>
      <c r="E26" s="68">
        <v>70519.927397260297</v>
      </c>
      <c r="F26" s="62">
        <f t="shared" si="3"/>
        <v>0.17981020823599</v>
      </c>
      <c r="G26" s="51"/>
      <c r="H26" s="68">
        <v>63428.750109588997</v>
      </c>
      <c r="I26" s="62">
        <f t="shared" si="1"/>
        <v>0.15678889933801901</v>
      </c>
      <c r="J26" s="89"/>
      <c r="K26" s="68">
        <v>22900.3310136986</v>
      </c>
      <c r="L26" s="86">
        <f t="shared" si="2"/>
        <v>6.0305244322210398E-2</v>
      </c>
      <c r="M26" s="81"/>
    </row>
    <row r="27" spans="2:13" x14ac:dyDescent="0.2">
      <c r="B27" s="46"/>
      <c r="C27" s="51" t="s">
        <v>36</v>
      </c>
      <c r="D27" s="51"/>
      <c r="E27" s="76">
        <f>SUM(E24:E26)</f>
        <v>120112.22739725999</v>
      </c>
      <c r="F27" s="55">
        <f t="shared" si="3"/>
        <v>0.30625959806120001</v>
      </c>
      <c r="G27" s="51"/>
      <c r="H27" s="76">
        <f>SUM(H24:H26)</f>
        <v>126280.83002739699</v>
      </c>
      <c r="I27" s="55">
        <f t="shared" si="1"/>
        <v>0.31215233333904002</v>
      </c>
      <c r="J27" s="51"/>
      <c r="K27" s="76">
        <f>SUM(K24:K26)</f>
        <v>91427.890767123303</v>
      </c>
      <c r="L27" s="83">
        <f t="shared" si="2"/>
        <v>0.24076426176012899</v>
      </c>
      <c r="M27" s="81"/>
    </row>
    <row r="28" spans="2:13" x14ac:dyDescent="0.2">
      <c r="B28" s="46"/>
      <c r="C28" s="51"/>
      <c r="D28" s="51"/>
      <c r="E28" s="76"/>
      <c r="F28" s="55"/>
      <c r="G28" s="51"/>
      <c r="H28" s="66"/>
      <c r="I28" s="55"/>
      <c r="J28" s="51"/>
      <c r="K28" s="66"/>
      <c r="L28" s="83"/>
      <c r="M28" s="81"/>
    </row>
    <row r="29" spans="2:13" x14ac:dyDescent="0.2">
      <c r="B29" s="46"/>
      <c r="C29" s="51" t="s">
        <v>37</v>
      </c>
      <c r="D29" s="51"/>
      <c r="E29" s="76">
        <v>45023</v>
      </c>
      <c r="F29" s="55">
        <f t="shared" si="3"/>
        <v>0.114798686048044</v>
      </c>
      <c r="G29" s="51"/>
      <c r="H29" s="56">
        <v>26793</v>
      </c>
      <c r="I29" s="55">
        <f t="shared" si="1"/>
        <v>6.6229351401462799E-2</v>
      </c>
      <c r="J29" s="51"/>
      <c r="K29" s="56">
        <v>6693</v>
      </c>
      <c r="L29" s="83">
        <f t="shared" si="2"/>
        <v>1.7625203758282498E-2</v>
      </c>
      <c r="M29" s="81"/>
    </row>
    <row r="30" spans="2:13" x14ac:dyDescent="0.2">
      <c r="B30" s="46"/>
      <c r="C30" s="51" t="s">
        <v>38</v>
      </c>
      <c r="D30" s="51"/>
      <c r="E30" s="68">
        <v>227055.7</v>
      </c>
      <c r="F30" s="62">
        <f t="shared" si="3"/>
        <v>0.57894178574770605</v>
      </c>
      <c r="G30" s="51"/>
      <c r="H30" s="68">
        <v>251474.9</v>
      </c>
      <c r="I30" s="62">
        <f t="shared" si="1"/>
        <v>0.62161831525949796</v>
      </c>
      <c r="J30" s="51"/>
      <c r="K30" s="68">
        <v>281619.40000000002</v>
      </c>
      <c r="L30" s="86">
        <f t="shared" si="2"/>
        <v>0.74161053448158798</v>
      </c>
      <c r="M30" s="81"/>
    </row>
    <row r="31" spans="2:13" x14ac:dyDescent="0.2">
      <c r="B31" s="46"/>
      <c r="C31" s="51"/>
      <c r="D31" s="51"/>
      <c r="E31" s="57"/>
      <c r="F31" s="55"/>
      <c r="G31" s="51"/>
      <c r="H31" s="66"/>
      <c r="I31" s="55"/>
      <c r="J31" s="51"/>
      <c r="K31" s="66"/>
      <c r="L31" s="83"/>
      <c r="M31" s="81"/>
    </row>
    <row r="32" spans="2:13" x14ac:dyDescent="0.2">
      <c r="B32" s="46"/>
      <c r="C32" s="70" t="s">
        <v>32</v>
      </c>
      <c r="D32" s="51"/>
      <c r="E32" s="71">
        <f>E27+E29+E30</f>
        <v>392190.92739725998</v>
      </c>
      <c r="F32" s="55">
        <f t="shared" si="3"/>
        <v>1.00000006985695</v>
      </c>
      <c r="G32" s="77"/>
      <c r="H32" s="71">
        <f>H27+H29+H30</f>
        <v>404548.73002739699</v>
      </c>
      <c r="I32" s="55">
        <f t="shared" si="1"/>
        <v>1</v>
      </c>
      <c r="J32" s="77"/>
      <c r="K32" s="71">
        <f>K27+K29+K30</f>
        <v>379740.29076712299</v>
      </c>
      <c r="L32" s="83">
        <f t="shared" si="2"/>
        <v>1</v>
      </c>
      <c r="M32" s="81"/>
    </row>
    <row r="33" spans="2:13" x14ac:dyDescent="0.2"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90"/>
    </row>
  </sheetData>
  <mergeCells count="4">
    <mergeCell ref="C3:L3"/>
    <mergeCell ref="C4:L4"/>
    <mergeCell ref="C5:L5"/>
    <mergeCell ref="C6:L6"/>
  </mergeCells>
  <pageMargins left="0.75" right="0.75" top="1" bottom="1" header="0.5" footer="0.5"/>
  <pageSetup orientation="portrait"/>
  <ignoredErrors>
    <ignoredError sqref="K27 H27 E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65"/>
  <sheetViews>
    <sheetView tabSelected="1" topLeftCell="A32" zoomScaleNormal="150" zoomScalePageLayoutView="150" workbookViewId="0">
      <selection activeCell="G44" sqref="G44"/>
    </sheetView>
  </sheetViews>
  <sheetFormatPr baseColWidth="10" defaultColWidth="8.83203125" defaultRowHeight="13" x14ac:dyDescent="0.15"/>
  <cols>
    <col min="1" max="1" width="41.1640625" style="1" customWidth="1"/>
    <col min="2" max="2" width="2.83203125" style="1" customWidth="1"/>
    <col min="3" max="8" width="13.6640625" style="1" customWidth="1"/>
    <col min="9" max="9" width="2.33203125" style="1" customWidth="1"/>
    <col min="10" max="10" width="8.83203125" style="1" customWidth="1"/>
    <col min="11" max="16384" width="8.83203125" style="1"/>
  </cols>
  <sheetData>
    <row r="1" spans="1:8" ht="16" x14ac:dyDescent="0.2">
      <c r="A1" s="2" t="s">
        <v>39</v>
      </c>
      <c r="B1" s="2"/>
    </row>
    <row r="2" spans="1:8" ht="16" x14ac:dyDescent="0.2">
      <c r="A2" s="3"/>
      <c r="B2" s="3"/>
    </row>
    <row r="3" spans="1:8" ht="16" x14ac:dyDescent="0.2">
      <c r="A3" s="2" t="s">
        <v>40</v>
      </c>
      <c r="B3" s="2"/>
    </row>
    <row r="5" spans="1:8" ht="15" x14ac:dyDescent="0.2">
      <c r="A5" s="4" t="s">
        <v>41</v>
      </c>
      <c r="B5" s="5"/>
      <c r="C5" s="6">
        <v>600000</v>
      </c>
      <c r="E5" s="114" t="s">
        <v>42</v>
      </c>
      <c r="F5" s="115"/>
      <c r="G5" s="5"/>
      <c r="H5" s="7">
        <v>50000000</v>
      </c>
    </row>
    <row r="6" spans="1:8" ht="15" x14ac:dyDescent="0.2">
      <c r="A6" s="8" t="s">
        <v>43</v>
      </c>
      <c r="C6" s="9">
        <v>0</v>
      </c>
      <c r="E6" s="116" t="s">
        <v>44</v>
      </c>
      <c r="F6" s="117"/>
      <c r="H6" s="10">
        <v>4000000</v>
      </c>
    </row>
    <row r="7" spans="1:8" ht="15" x14ac:dyDescent="0.2">
      <c r="A7" s="8" t="s">
        <v>45</v>
      </c>
      <c r="C7" s="11">
        <v>5</v>
      </c>
      <c r="E7" s="8" t="s">
        <v>46</v>
      </c>
      <c r="H7" s="9">
        <v>0.01</v>
      </c>
    </row>
    <row r="8" spans="1:8" ht="15" x14ac:dyDescent="0.2">
      <c r="A8" s="8" t="s">
        <v>47</v>
      </c>
      <c r="C8" s="9">
        <v>0</v>
      </c>
      <c r="E8" s="8" t="s">
        <v>48</v>
      </c>
      <c r="H8" s="10">
        <v>60000</v>
      </c>
    </row>
    <row r="9" spans="1:8" x14ac:dyDescent="0.15">
      <c r="A9" s="8" t="s">
        <v>49</v>
      </c>
      <c r="C9" s="12">
        <v>1.8</v>
      </c>
      <c r="E9" s="8" t="s">
        <v>50</v>
      </c>
      <c r="H9" s="13">
        <v>45</v>
      </c>
    </row>
    <row r="10" spans="1:8" ht="15" x14ac:dyDescent="0.2">
      <c r="A10" s="8" t="s">
        <v>51</v>
      </c>
      <c r="C10" s="9">
        <v>0</v>
      </c>
      <c r="E10" s="8" t="s">
        <v>52</v>
      </c>
      <c r="H10" s="13">
        <v>36</v>
      </c>
    </row>
    <row r="11" spans="1:8" x14ac:dyDescent="0.15">
      <c r="A11" s="8" t="s">
        <v>53</v>
      </c>
      <c r="C11" s="11">
        <v>180000</v>
      </c>
      <c r="E11" s="8" t="s">
        <v>54</v>
      </c>
      <c r="H11" s="13">
        <v>5</v>
      </c>
    </row>
    <row r="12" spans="1:8" ht="15" x14ac:dyDescent="0.2">
      <c r="A12" s="8" t="s">
        <v>55</v>
      </c>
      <c r="C12" s="14">
        <v>0</v>
      </c>
      <c r="E12" s="8" t="s">
        <v>56</v>
      </c>
      <c r="H12" s="15">
        <v>0.182</v>
      </c>
    </row>
    <row r="13" spans="1:8" ht="15" x14ac:dyDescent="0.2">
      <c r="A13" s="8" t="s">
        <v>57</v>
      </c>
      <c r="C13" s="11">
        <v>50000</v>
      </c>
      <c r="E13" s="8" t="s">
        <v>58</v>
      </c>
      <c r="H13" s="9">
        <v>0.3</v>
      </c>
    </row>
    <row r="14" spans="1:8" ht="15" x14ac:dyDescent="0.2">
      <c r="A14" s="16" t="s">
        <v>59</v>
      </c>
      <c r="B14" s="17"/>
      <c r="C14" s="18">
        <v>0</v>
      </c>
      <c r="E14" s="16" t="s">
        <v>60</v>
      </c>
      <c r="F14" s="17"/>
      <c r="G14" s="17"/>
      <c r="H14" s="19">
        <v>800000</v>
      </c>
    </row>
    <row r="16" spans="1:8" x14ac:dyDescent="0.15">
      <c r="A16" s="20" t="s">
        <v>61</v>
      </c>
      <c r="B16" s="20"/>
      <c r="C16" s="20">
        <v>0</v>
      </c>
      <c r="D16" s="20">
        <v>1</v>
      </c>
      <c r="E16" s="20">
        <v>2</v>
      </c>
      <c r="F16" s="20">
        <v>3</v>
      </c>
      <c r="G16" s="20">
        <v>4</v>
      </c>
      <c r="H16" s="20">
        <v>5</v>
      </c>
    </row>
    <row r="17" spans="1:9" x14ac:dyDescent="0.15">
      <c r="A17" s="21"/>
      <c r="B17" s="21"/>
      <c r="C17" s="21"/>
      <c r="D17" s="21"/>
      <c r="E17" s="21"/>
      <c r="F17" s="21"/>
      <c r="G17" s="21"/>
      <c r="H17" s="21"/>
    </row>
    <row r="18" spans="1:9" x14ac:dyDescent="0.15">
      <c r="A18" s="1" t="s">
        <v>42</v>
      </c>
      <c r="C18" s="22">
        <f>-$H$5</f>
        <v>-50000000</v>
      </c>
      <c r="D18" s="21"/>
      <c r="E18" s="21"/>
      <c r="F18" s="21"/>
      <c r="G18" s="21"/>
      <c r="H18" s="21"/>
    </row>
    <row r="19" spans="1:9" x14ac:dyDescent="0.15">
      <c r="A19" s="1" t="s">
        <v>44</v>
      </c>
      <c r="D19" s="21"/>
      <c r="E19" s="21"/>
      <c r="F19" s="21"/>
      <c r="G19" s="21"/>
      <c r="H19" s="22">
        <f>$H$6</f>
        <v>4000000</v>
      </c>
    </row>
    <row r="20" spans="1:9" x14ac:dyDescent="0.15">
      <c r="A20" s="1" t="s">
        <v>62</v>
      </c>
      <c r="D20" s="21"/>
      <c r="E20" s="21"/>
      <c r="F20" s="21"/>
      <c r="G20" s="21"/>
      <c r="H20" s="23">
        <f>-H13*H19</f>
        <v>-1200000</v>
      </c>
    </row>
    <row r="21" spans="1:9" x14ac:dyDescent="0.15">
      <c r="A21" s="1" t="s">
        <v>63</v>
      </c>
      <c r="D21" s="21"/>
      <c r="E21" s="21"/>
      <c r="F21" s="21"/>
      <c r="G21" s="21"/>
      <c r="H21" s="22">
        <f>H19+H20</f>
        <v>2800000</v>
      </c>
    </row>
    <row r="22" spans="1:9" x14ac:dyDescent="0.15">
      <c r="D22" s="21"/>
      <c r="E22" s="21"/>
      <c r="F22" s="21"/>
      <c r="G22" s="21"/>
      <c r="H22" s="22"/>
    </row>
    <row r="23" spans="1:9" x14ac:dyDescent="0.15">
      <c r="A23" s="1" t="s">
        <v>64</v>
      </c>
      <c r="D23" s="21"/>
      <c r="E23" s="21"/>
      <c r="F23" s="21"/>
      <c r="G23" s="21"/>
      <c r="H23" s="22"/>
    </row>
    <row r="24" spans="1:9" ht="15" x14ac:dyDescent="0.2">
      <c r="A24" s="1" t="s">
        <v>65</v>
      </c>
      <c r="C24" s="24">
        <f>(($C$5*12*(1+$C$6)^C16)*($C$7*(1+$C$8)^C16))/365*$H$9</f>
        <v>4438356.1643835614</v>
      </c>
      <c r="D24" s="24">
        <f>(($C$5*12*(1+$C$6)^D16)*($C$7*(1+$C$8)^D16))/365*$H$9</f>
        <v>4438356.1643835604</v>
      </c>
      <c r="E24" s="24">
        <f>(($C$5*12*(1+$C$6)^E16)*($C$7*(1+$C$8)^E16))/365*$H$9</f>
        <v>4438356.1643835604</v>
      </c>
      <c r="F24" s="24">
        <f>(($C$5*12*(1+$C$6)^F16)*($C$7*(1+$C$8)^F16))/365*$H$9</f>
        <v>4438356.1643835604</v>
      </c>
      <c r="G24" s="24">
        <f>(($C$5*12*(1+$C$6)^G16)*($C$7*(1+$C$8)^G16))/365*$H$9</f>
        <v>4438356.1643835604</v>
      </c>
      <c r="H24" s="22"/>
    </row>
    <row r="25" spans="1:9" ht="15" x14ac:dyDescent="0.2">
      <c r="A25" s="1" t="s">
        <v>66</v>
      </c>
      <c r="C25" s="24">
        <f>($C$5*(1+$C$6)^C16)*($C$9*(1+$C$10)^C16)</f>
        <v>1080000</v>
      </c>
      <c r="D25" s="24">
        <f>($C$5*(1+$C$6)^D16)*($C$9*(1+$C$10)^D16)</f>
        <v>1080000</v>
      </c>
      <c r="E25" s="24">
        <f>($C$5*(1+$C$6)^E16)*($C$9*(1+$C$10)^E16)</f>
        <v>1080000</v>
      </c>
      <c r="F25" s="24">
        <f>($C$5*(1+$C$6)^F16)*($C$9*(1+$C$10)^F16)</f>
        <v>1080000</v>
      </c>
      <c r="G25" s="24">
        <f>($C$5*(1+$C$6)^G16)*($C$9*(1+$C$10)^G16)</f>
        <v>1080000</v>
      </c>
      <c r="H25" s="22"/>
    </row>
    <row r="26" spans="1:9" ht="15" x14ac:dyDescent="0.2">
      <c r="A26" s="1" t="s">
        <v>67</v>
      </c>
      <c r="C26" s="25">
        <f>-((($C$5*(1+$C$6)^C16)*12*($C$9*(1+$C$10)^C16))/365)*$H$10</f>
        <v>-1278246.5753424659</v>
      </c>
      <c r="D26" s="25">
        <f>-((($C$5*(1+$C$6)^D16)*12*($C$9*(1+$C$10)^D16))/365)*$H$10</f>
        <v>-1278246.5753424701</v>
      </c>
      <c r="E26" s="25">
        <f>-((($C$5*(1+$C$6)^E16)*12*($C$9*(1+$C$10)^E16))/365)*$H$10</f>
        <v>-1278246.5753424701</v>
      </c>
      <c r="F26" s="25">
        <f>-((($C$5*(1+$C$6)^F16)*12*($C$9*(1+$C$10)^F16))/365)*$H$10</f>
        <v>-1278246.5753424701</v>
      </c>
      <c r="G26" s="25">
        <f>-((($C$5*(1+$C$6)^G16)*12*($C$9*(1+$C$10)^G16))/365)*$H$10</f>
        <v>-1278246.5753424701</v>
      </c>
      <c r="H26" s="23"/>
    </row>
    <row r="27" spans="1:9" x14ac:dyDescent="0.15">
      <c r="C27" s="22">
        <f t="shared" ref="C27:H27" si="0">SUM(C24:C26)</f>
        <v>4240109.5890410999</v>
      </c>
      <c r="D27" s="22">
        <f t="shared" si="0"/>
        <v>4240109.5890410999</v>
      </c>
      <c r="E27" s="22">
        <f t="shared" si="0"/>
        <v>4240109.5890410999</v>
      </c>
      <c r="F27" s="22">
        <f t="shared" si="0"/>
        <v>4240109.5890410999</v>
      </c>
      <c r="G27" s="22">
        <f t="shared" si="0"/>
        <v>4240109.5890410999</v>
      </c>
      <c r="H27" s="22">
        <f t="shared" si="0"/>
        <v>0</v>
      </c>
    </row>
    <row r="28" spans="1:9" x14ac:dyDescent="0.15">
      <c r="C28" s="22"/>
      <c r="D28" s="22"/>
      <c r="E28" s="22"/>
      <c r="F28" s="22"/>
      <c r="G28" s="22"/>
      <c r="H28" s="22"/>
    </row>
    <row r="29" spans="1:9" x14ac:dyDescent="0.15">
      <c r="A29" s="1" t="s">
        <v>68</v>
      </c>
      <c r="C29" s="22">
        <f>A27-C27</f>
        <v>-4240109.5890410999</v>
      </c>
      <c r="D29" s="22">
        <f>C27-D27</f>
        <v>0</v>
      </c>
      <c r="E29" s="22">
        <f>D27-E27</f>
        <v>0</v>
      </c>
      <c r="F29" s="22">
        <f>E27-F27</f>
        <v>0</v>
      </c>
      <c r="G29" s="22">
        <f>F27-G27</f>
        <v>0</v>
      </c>
      <c r="H29" s="22">
        <f>G27-H27</f>
        <v>4240109.5890410999</v>
      </c>
    </row>
    <row r="31" spans="1:9" ht="15" x14ac:dyDescent="0.2">
      <c r="A31" s="1" t="s">
        <v>69</v>
      </c>
      <c r="D31" s="26">
        <f>$C$5*12*(1+$C$6)^C16</f>
        <v>7200000</v>
      </c>
      <c r="E31" s="26">
        <f>$C$5*12*(1+$C$6)^D16</f>
        <v>7200000</v>
      </c>
      <c r="F31" s="26">
        <f>$C$5*12*(1+$C$6)^E16</f>
        <v>7200000</v>
      </c>
      <c r="G31" s="26">
        <f>$C$5*12*(1+$C$6)^F16</f>
        <v>7200000</v>
      </c>
      <c r="H31" s="26">
        <f>$C$5*12*(1+$C$6)^G16</f>
        <v>7200000</v>
      </c>
    </row>
    <row r="32" spans="1:9" x14ac:dyDescent="0.15">
      <c r="A32" s="1" t="s">
        <v>70</v>
      </c>
      <c r="D32" s="22">
        <f>D31*$C$7*(1+$C$8)^C16</f>
        <v>36000000</v>
      </c>
      <c r="E32" s="22">
        <f>E31*$C$7*(1+$C$8)^D16</f>
        <v>36000000</v>
      </c>
      <c r="F32" s="22">
        <f>F31*$C$7*(1+$C$8)^E16</f>
        <v>36000000</v>
      </c>
      <c r="G32" s="22">
        <f>G31*$C$7*(1+$C$8)^F16</f>
        <v>36000000</v>
      </c>
      <c r="H32" s="22">
        <f>H31*$C$7*(1+$C$8)^G16</f>
        <v>36000000</v>
      </c>
      <c r="I32" s="42"/>
    </row>
    <row r="34" spans="1:8" x14ac:dyDescent="0.15">
      <c r="A34" s="1" t="s">
        <v>71</v>
      </c>
    </row>
    <row r="35" spans="1:8" ht="15" x14ac:dyDescent="0.2">
      <c r="A35" s="1" t="s">
        <v>72</v>
      </c>
      <c r="D35" s="26">
        <f>-(D31*$C$9)*(1+$C$10)^C16</f>
        <v>-12960000</v>
      </c>
      <c r="E35" s="26">
        <f>-(E31*$C$9)*(1+$C$10)^D16</f>
        <v>-12960000</v>
      </c>
      <c r="F35" s="26">
        <f>-(F31*$C$9)*(1+$C$10)^E16</f>
        <v>-12960000</v>
      </c>
      <c r="G35" s="26">
        <f>-(G31*$C$9)*(1+$C$10)^F16</f>
        <v>-12960000</v>
      </c>
      <c r="H35" s="26">
        <f>-(H31*$C$9)*(1+$C$10)^G16</f>
        <v>-12960000</v>
      </c>
    </row>
    <row r="36" spans="1:8" ht="15" x14ac:dyDescent="0.2">
      <c r="A36" s="1" t="s">
        <v>73</v>
      </c>
      <c r="D36" s="26">
        <f>-$C$11*12*(1+$C$12)^C16</f>
        <v>-2160000</v>
      </c>
      <c r="E36" s="26">
        <f>-$C$11*12*(1+$C$12)^D16</f>
        <v>-2160000</v>
      </c>
      <c r="F36" s="26">
        <f>-$C$11*12*(1+$C$12)^E16</f>
        <v>-2160000</v>
      </c>
      <c r="G36" s="26">
        <f>-$C$11*12*(1+$C$12)^F16</f>
        <v>-2160000</v>
      </c>
      <c r="H36" s="26">
        <f>-$C$11*12*(1+$C$12)^G16</f>
        <v>-2160000</v>
      </c>
    </row>
    <row r="37" spans="1:8" ht="15" x14ac:dyDescent="0.2">
      <c r="A37" s="1" t="s">
        <v>74</v>
      </c>
      <c r="D37" s="26">
        <f>-$C$13*12*(1+$C$14)^C16</f>
        <v>-600000</v>
      </c>
      <c r="E37" s="26">
        <f>-$C$13*12*(1+$C$14)^D16</f>
        <v>-600000</v>
      </c>
      <c r="F37" s="26">
        <f>-$C$13*12*(1+$C$14)^E16</f>
        <v>-600000</v>
      </c>
      <c r="G37" s="26">
        <f>-$C$13*12*(1+$C$14)^F16</f>
        <v>-600000</v>
      </c>
      <c r="H37" s="26">
        <f>-$C$13*12*(1+$C$14)^G16</f>
        <v>-600000</v>
      </c>
    </row>
    <row r="38" spans="1:8" x14ac:dyDescent="0.15">
      <c r="A38" s="1" t="s">
        <v>75</v>
      </c>
      <c r="D38" s="27">
        <f>-$H$8</f>
        <v>-60000</v>
      </c>
      <c r="E38" s="27">
        <f>-$H$8</f>
        <v>-60000</v>
      </c>
      <c r="F38" s="27">
        <f>-$H$8</f>
        <v>-60000</v>
      </c>
      <c r="G38" s="27">
        <f>-$H$8</f>
        <v>-60000</v>
      </c>
      <c r="H38" s="27">
        <f>-$H$8</f>
        <v>-60000</v>
      </c>
    </row>
    <row r="39" spans="1:8" x14ac:dyDescent="0.15">
      <c r="A39" s="1" t="s">
        <v>76</v>
      </c>
      <c r="D39" s="22">
        <f>-$H$5/$H$11</f>
        <v>-10000000</v>
      </c>
      <c r="E39" s="22">
        <f>-$H$5/$H$11</f>
        <v>-10000000</v>
      </c>
      <c r="F39" s="22">
        <f>-$H$5/$H$11</f>
        <v>-10000000</v>
      </c>
      <c r="G39" s="22">
        <f>-$H$5/$H$11</f>
        <v>-10000000</v>
      </c>
      <c r="H39" s="22">
        <f>-$H$5/$H$11</f>
        <v>-10000000</v>
      </c>
    </row>
    <row r="40" spans="1:8" x14ac:dyDescent="0.15">
      <c r="A40" s="1" t="s">
        <v>77</v>
      </c>
      <c r="D40" s="22">
        <v>-300000</v>
      </c>
      <c r="E40" s="22">
        <v>-300000</v>
      </c>
      <c r="F40" s="22">
        <v>-300000</v>
      </c>
      <c r="G40" s="22">
        <v>-300000</v>
      </c>
      <c r="H40" s="22">
        <v>-300000</v>
      </c>
    </row>
    <row r="41" spans="1:8" x14ac:dyDescent="0.15">
      <c r="A41" s="1" t="s">
        <v>78</v>
      </c>
      <c r="D41" s="23">
        <f>-$H$7*D32</f>
        <v>-360000</v>
      </c>
      <c r="E41" s="23">
        <f>-$H$7*E32</f>
        <v>-360000</v>
      </c>
      <c r="F41" s="23">
        <f>-$H$7*F32</f>
        <v>-360000</v>
      </c>
      <c r="G41" s="23">
        <f>-$H$7*G32</f>
        <v>-360000</v>
      </c>
      <c r="H41" s="23">
        <f>-$H$7*H32</f>
        <v>-360000</v>
      </c>
    </row>
    <row r="42" spans="1:8" x14ac:dyDescent="0.15">
      <c r="A42" s="1" t="s">
        <v>79</v>
      </c>
      <c r="D42" s="22">
        <f>SUM(D35:D41)</f>
        <v>-26440000</v>
      </c>
      <c r="E42" s="22">
        <f>SUM(E35:E41)</f>
        <v>-26440000</v>
      </c>
      <c r="F42" s="22">
        <f>SUM(F35:F41)</f>
        <v>-26440000</v>
      </c>
      <c r="G42" s="22">
        <f>SUM(G35:G41)</f>
        <v>-26440000</v>
      </c>
      <c r="H42" s="22">
        <f>SUM(H35:H41)</f>
        <v>-26440000</v>
      </c>
    </row>
    <row r="43" spans="1:8" x14ac:dyDescent="0.15">
      <c r="D43" s="22"/>
      <c r="E43" s="22"/>
      <c r="F43" s="22"/>
      <c r="G43" s="22"/>
      <c r="H43" s="22"/>
    </row>
    <row r="44" spans="1:8" x14ac:dyDescent="0.15">
      <c r="A44" s="1" t="s">
        <v>80</v>
      </c>
      <c r="D44" s="22">
        <f>D32+D42</f>
        <v>9560000</v>
      </c>
      <c r="E44" s="22">
        <f>E32+E42</f>
        <v>9560000</v>
      </c>
      <c r="F44" s="22">
        <f>F32+F42</f>
        <v>9560000</v>
      </c>
      <c r="G44" s="22">
        <f>G32+G42</f>
        <v>9560000</v>
      </c>
      <c r="H44" s="22">
        <f>H32+H42</f>
        <v>9560000</v>
      </c>
    </row>
    <row r="46" spans="1:8" x14ac:dyDescent="0.15">
      <c r="A46" s="1" t="s">
        <v>81</v>
      </c>
      <c r="D46" s="23">
        <f>-$H$13*D44</f>
        <v>-2868000</v>
      </c>
      <c r="E46" s="23">
        <f>-$H$13*E44</f>
        <v>-2868000</v>
      </c>
      <c r="F46" s="23">
        <f>-$H$13*F44</f>
        <v>-2868000</v>
      </c>
      <c r="G46" s="23">
        <f>-$H$13*G44</f>
        <v>-2868000</v>
      </c>
      <c r="H46" s="23">
        <f>-$H$13*H44</f>
        <v>-2868000</v>
      </c>
    </row>
    <row r="47" spans="1:8" x14ac:dyDescent="0.15">
      <c r="D47" s="22"/>
      <c r="E47" s="22"/>
      <c r="F47" s="22"/>
      <c r="G47" s="22"/>
      <c r="H47" s="22"/>
    </row>
    <row r="48" spans="1:8" x14ac:dyDescent="0.15">
      <c r="A48" s="1" t="s">
        <v>82</v>
      </c>
      <c r="D48" s="22">
        <f>D44+D46</f>
        <v>6692000</v>
      </c>
      <c r="E48" s="22">
        <f>E44+E46</f>
        <v>6692000</v>
      </c>
      <c r="F48" s="22">
        <f>F44+F46</f>
        <v>6692000</v>
      </c>
      <c r="G48" s="22">
        <f>G44+G46</f>
        <v>6692000</v>
      </c>
      <c r="H48" s="22">
        <f>H44+H46</f>
        <v>6692000</v>
      </c>
    </row>
    <row r="49" spans="1:8" x14ac:dyDescent="0.15">
      <c r="D49" s="22"/>
      <c r="E49" s="22"/>
      <c r="F49" s="22"/>
      <c r="G49" s="22"/>
      <c r="H49" s="22"/>
    </row>
    <row r="50" spans="1:8" x14ac:dyDescent="0.15">
      <c r="A50" s="1" t="s">
        <v>83</v>
      </c>
    </row>
    <row r="51" spans="1:8" x14ac:dyDescent="0.15">
      <c r="A51" s="1" t="s">
        <v>84</v>
      </c>
      <c r="D51" s="22">
        <f>-D39</f>
        <v>10000000</v>
      </c>
      <c r="E51" s="22">
        <f>-E39</f>
        <v>10000000</v>
      </c>
      <c r="F51" s="22">
        <f>-F39</f>
        <v>10000000</v>
      </c>
      <c r="G51" s="22">
        <f>-G39</f>
        <v>10000000</v>
      </c>
      <c r="H51" s="22">
        <f>-H39</f>
        <v>10000000</v>
      </c>
    </row>
    <row r="52" spans="1:8" x14ac:dyDescent="0.15">
      <c r="A52" s="1" t="s">
        <v>85</v>
      </c>
      <c r="D52" s="28">
        <f>-$H$14</f>
        <v>-800000</v>
      </c>
      <c r="E52" s="28">
        <f>-$H$14</f>
        <v>-800000</v>
      </c>
      <c r="F52" s="28">
        <f>-$H$14</f>
        <v>-800000</v>
      </c>
      <c r="G52" s="28">
        <f>-$H$14</f>
        <v>-800000</v>
      </c>
      <c r="H52" s="28">
        <f>-$H$14</f>
        <v>-800000</v>
      </c>
    </row>
    <row r="53" spans="1:8" x14ac:dyDescent="0.15">
      <c r="A53" s="1" t="s">
        <v>86</v>
      </c>
      <c r="D53" s="22">
        <f>D48+D51+D52</f>
        <v>15892000</v>
      </c>
      <c r="E53" s="22">
        <f>E48+E51+E52</f>
        <v>15892000</v>
      </c>
      <c r="F53" s="22">
        <f>F48+F51+F52</f>
        <v>15892000</v>
      </c>
      <c r="G53" s="22">
        <f>G48+G51+G52</f>
        <v>15892000</v>
      </c>
      <c r="H53" s="22">
        <f>H48+H51+H52</f>
        <v>15892000</v>
      </c>
    </row>
    <row r="55" spans="1:8" x14ac:dyDescent="0.15">
      <c r="A55" s="29" t="s">
        <v>87</v>
      </c>
      <c r="B55" s="29"/>
      <c r="C55" s="30">
        <f>C18+C29+C53</f>
        <v>-54240109.589041099</v>
      </c>
      <c r="D55" s="30">
        <f>D19+D29+D53</f>
        <v>15892000</v>
      </c>
      <c r="E55" s="30">
        <f>E19+E29+E53</f>
        <v>15892000</v>
      </c>
      <c r="F55" s="30">
        <f>F19+F29+F53</f>
        <v>15892000</v>
      </c>
      <c r="G55" s="30">
        <f>G19+G29+G53</f>
        <v>15892000</v>
      </c>
      <c r="H55" s="30">
        <f>H21+H29+H53</f>
        <v>22932109.589041099</v>
      </c>
    </row>
    <row r="57" spans="1:8" ht="15" x14ac:dyDescent="0.2">
      <c r="A57" s="1" t="s">
        <v>88</v>
      </c>
      <c r="C57" s="26">
        <f t="shared" ref="C57:H57" si="1">C55/(1+$H$12)^C16</f>
        <v>-54240109.589041099</v>
      </c>
      <c r="D57" s="26">
        <f t="shared" si="1"/>
        <v>13445008.4602369</v>
      </c>
      <c r="E57" s="26">
        <f>E55/(1+$H$12)^E16</f>
        <v>11374795.651638653</v>
      </c>
      <c r="F57" s="26">
        <f t="shared" si="1"/>
        <v>9623346.5749903992</v>
      </c>
      <c r="G57" s="26">
        <f t="shared" si="1"/>
        <v>8141579.1666585496</v>
      </c>
      <c r="H57" s="26">
        <f t="shared" si="1"/>
        <v>9939318.9178002495</v>
      </c>
    </row>
    <row r="59" spans="1:8" x14ac:dyDescent="0.15">
      <c r="A59" s="31" t="s">
        <v>89</v>
      </c>
      <c r="B59" s="32"/>
      <c r="C59" s="33">
        <f>NPV($H$12,D55:H55)+C55</f>
        <v>-1716060.8177163601</v>
      </c>
    </row>
    <row r="60" spans="1:8" x14ac:dyDescent="0.15">
      <c r="A60" s="34" t="s">
        <v>90</v>
      </c>
      <c r="B60" s="35"/>
      <c r="C60" s="36">
        <f>IRR(C55:H55)</f>
        <v>0.168587051033778</v>
      </c>
    </row>
    <row r="61" spans="1:8" x14ac:dyDescent="0.15">
      <c r="A61" s="34" t="s">
        <v>91</v>
      </c>
      <c r="B61" s="35"/>
      <c r="C61" s="37">
        <f>IF(D55&gt;ABS(C55),0+ABS(C55)/D55,IF(SUM(D55:E55)&gt;ABS(C55),1+(ABS(C55)-D55)/E55,IF(SUM(D55:F55)&gt;ABS(C55),2+(ABS(C55)-SUM(D55+E55)/F55),IF(SUM(D55:G55)&gt;ABS(C55),3+(ABS(C55)-SUM(D55:F55))/G55,IF(SUM(D55:H55)&gt;ABS(C55),4+(ABS(C55)-SUM(D55:G55))/H55)))))</f>
        <v>3.4130449024063112</v>
      </c>
    </row>
    <row r="62" spans="1:8" x14ac:dyDescent="0.15">
      <c r="A62" s="34" t="s">
        <v>92</v>
      </c>
      <c r="B62" s="35"/>
      <c r="C62" s="38" t="b">
        <f>IF(D57&gt;ABS(C57),0+ABS(C57)/D57,IF(SUM(D57:E57)&gt;ABS(C57),1+(ABS(C57)-D57)/E57,IF(SUM(D57:F57)&gt;ABS(C57),2+(ABS(C57)-SUM(D57+E57)/F57),IF(SUM(D57:G57)&gt;ABS(C57),3+(ABS(C57)-SUM(D57:F57))/G57,IF(SUM(D57:H57)&gt;ABS(C57),4+(ABS(C57)-SUM(D57:G57))/H57)))))</f>
        <v>0</v>
      </c>
    </row>
    <row r="63" spans="1:8" x14ac:dyDescent="0.15">
      <c r="A63" s="39" t="s">
        <v>93</v>
      </c>
      <c r="B63" s="40"/>
      <c r="C63" s="41">
        <f>NPV($H$12,D55:H55)/-C55</f>
        <v>0.96836177451118099</v>
      </c>
    </row>
    <row r="65" spans="3:7" x14ac:dyDescent="0.15">
      <c r="C65" s="22"/>
      <c r="D65" s="22"/>
      <c r="E65" s="22"/>
      <c r="F65" s="22"/>
      <c r="G65" s="22"/>
    </row>
  </sheetData>
  <mergeCells count="2">
    <mergeCell ref="E5:F5"/>
    <mergeCell ref="E6:F6"/>
  </mergeCells>
  <pageMargins left="0.75" right="0.75" top="1" bottom="1" header="0.5" footer="0.5"/>
  <pageSetup scale="7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65"/>
  <sheetViews>
    <sheetView topLeftCell="A35" zoomScaleNormal="150" zoomScalePageLayoutView="150" workbookViewId="0">
      <selection activeCell="C59" sqref="C59"/>
    </sheetView>
  </sheetViews>
  <sheetFormatPr baseColWidth="10" defaultColWidth="8.83203125" defaultRowHeight="13" x14ac:dyDescent="0.15"/>
  <cols>
    <col min="1" max="1" width="41.1640625" style="1" customWidth="1"/>
    <col min="2" max="2" width="2.83203125" style="1" customWidth="1"/>
    <col min="3" max="8" width="13.6640625" style="1" customWidth="1"/>
    <col min="9" max="9" width="2.33203125" style="1" customWidth="1"/>
    <col min="10" max="10" width="8.83203125" style="1" customWidth="1"/>
    <col min="11" max="16384" width="8.83203125" style="1"/>
  </cols>
  <sheetData>
    <row r="1" spans="1:8" ht="16" x14ac:dyDescent="0.2">
      <c r="A1" s="2" t="s">
        <v>39</v>
      </c>
      <c r="B1" s="2"/>
    </row>
    <row r="2" spans="1:8" ht="16" x14ac:dyDescent="0.2">
      <c r="A2" s="3"/>
      <c r="B2" s="3"/>
    </row>
    <row r="3" spans="1:8" ht="16" x14ac:dyDescent="0.2">
      <c r="A3" s="2" t="s">
        <v>94</v>
      </c>
      <c r="B3" s="2"/>
    </row>
    <row r="5" spans="1:8" ht="15" x14ac:dyDescent="0.2">
      <c r="A5" s="4" t="s">
        <v>41</v>
      </c>
      <c r="B5" s="5"/>
      <c r="C5" s="6">
        <v>600000</v>
      </c>
      <c r="E5" s="114" t="s">
        <v>42</v>
      </c>
      <c r="F5" s="115"/>
      <c r="G5" s="5"/>
      <c r="H5" s="7">
        <v>50000000</v>
      </c>
    </row>
    <row r="6" spans="1:8" ht="15" x14ac:dyDescent="0.2">
      <c r="A6" s="8" t="s">
        <v>43</v>
      </c>
      <c r="C6" s="9">
        <v>0</v>
      </c>
      <c r="E6" s="116" t="s">
        <v>44</v>
      </c>
      <c r="F6" s="117"/>
      <c r="H6" s="10">
        <v>4000000</v>
      </c>
    </row>
    <row r="7" spans="1:8" ht="15" x14ac:dyDescent="0.2">
      <c r="A7" s="8" t="s">
        <v>45</v>
      </c>
      <c r="C7" s="11">
        <v>5</v>
      </c>
      <c r="E7" s="8" t="s">
        <v>46</v>
      </c>
      <c r="H7" s="9">
        <v>0.01</v>
      </c>
    </row>
    <row r="8" spans="1:8" ht="15" x14ac:dyDescent="0.2">
      <c r="A8" s="8" t="s">
        <v>47</v>
      </c>
      <c r="C8" s="9">
        <v>0</v>
      </c>
      <c r="E8" s="8" t="s">
        <v>48</v>
      </c>
      <c r="H8" s="10">
        <v>60000</v>
      </c>
    </row>
    <row r="9" spans="1:8" x14ac:dyDescent="0.15">
      <c r="A9" s="8" t="s">
        <v>49</v>
      </c>
      <c r="C9" s="12">
        <v>1.8</v>
      </c>
      <c r="E9" s="8" t="s">
        <v>50</v>
      </c>
      <c r="H9" s="13">
        <v>45</v>
      </c>
    </row>
    <row r="10" spans="1:8" ht="15" x14ac:dyDescent="0.2">
      <c r="A10" s="8" t="s">
        <v>51</v>
      </c>
      <c r="C10" s="9">
        <v>0.05</v>
      </c>
      <c r="E10" s="8" t="s">
        <v>52</v>
      </c>
      <c r="H10" s="13">
        <v>36</v>
      </c>
    </row>
    <row r="11" spans="1:8" x14ac:dyDescent="0.15">
      <c r="A11" s="8" t="s">
        <v>53</v>
      </c>
      <c r="C11" s="11">
        <v>180000</v>
      </c>
      <c r="E11" s="8" t="s">
        <v>54</v>
      </c>
      <c r="H11" s="13">
        <v>5</v>
      </c>
    </row>
    <row r="12" spans="1:8" ht="15" x14ac:dyDescent="0.2">
      <c r="A12" s="8" t="s">
        <v>55</v>
      </c>
      <c r="C12" s="14">
        <v>0.05</v>
      </c>
      <c r="E12" s="8" t="s">
        <v>56</v>
      </c>
      <c r="H12" s="15">
        <v>0.182</v>
      </c>
    </row>
    <row r="13" spans="1:8" ht="15" x14ac:dyDescent="0.2">
      <c r="A13" s="8" t="s">
        <v>57</v>
      </c>
      <c r="C13" s="11">
        <v>50000</v>
      </c>
      <c r="E13" s="8" t="s">
        <v>58</v>
      </c>
      <c r="H13" s="9">
        <v>0.3</v>
      </c>
    </row>
    <row r="14" spans="1:8" ht="15" x14ac:dyDescent="0.2">
      <c r="A14" s="16" t="s">
        <v>59</v>
      </c>
      <c r="B14" s="17"/>
      <c r="C14" s="18">
        <v>0.05</v>
      </c>
      <c r="E14" s="16" t="s">
        <v>60</v>
      </c>
      <c r="F14" s="17"/>
      <c r="G14" s="17"/>
      <c r="H14" s="19">
        <v>800000</v>
      </c>
    </row>
    <row r="16" spans="1:8" x14ac:dyDescent="0.15">
      <c r="A16" s="20" t="s">
        <v>61</v>
      </c>
      <c r="B16" s="20"/>
      <c r="C16" s="20">
        <v>0</v>
      </c>
      <c r="D16" s="20">
        <v>1</v>
      </c>
      <c r="E16" s="20">
        <v>2</v>
      </c>
      <c r="F16" s="20">
        <v>3</v>
      </c>
      <c r="G16" s="20">
        <v>4</v>
      </c>
      <c r="H16" s="20">
        <v>5</v>
      </c>
    </row>
    <row r="17" spans="1:9" x14ac:dyDescent="0.15">
      <c r="A17" s="21"/>
      <c r="B17" s="21"/>
      <c r="C17" s="21"/>
      <c r="D17" s="21"/>
      <c r="E17" s="21"/>
      <c r="F17" s="21"/>
      <c r="G17" s="21"/>
      <c r="H17" s="21"/>
    </row>
    <row r="18" spans="1:9" x14ac:dyDescent="0.15">
      <c r="A18" s="1" t="s">
        <v>42</v>
      </c>
      <c r="C18" s="22">
        <f>-$H$5</f>
        <v>-50000000</v>
      </c>
      <c r="D18" s="21"/>
      <c r="E18" s="21"/>
      <c r="F18" s="21"/>
      <c r="G18" s="21"/>
      <c r="H18" s="21"/>
    </row>
    <row r="19" spans="1:9" x14ac:dyDescent="0.15">
      <c r="A19" s="1" t="s">
        <v>44</v>
      </c>
      <c r="D19" s="21"/>
      <c r="E19" s="21"/>
      <c r="F19" s="21"/>
      <c r="G19" s="21"/>
      <c r="H19" s="22">
        <f>$H$6</f>
        <v>4000000</v>
      </c>
    </row>
    <row r="20" spans="1:9" x14ac:dyDescent="0.15">
      <c r="A20" s="1" t="s">
        <v>62</v>
      </c>
      <c r="D20" s="21"/>
      <c r="E20" s="21"/>
      <c r="F20" s="21"/>
      <c r="G20" s="21"/>
      <c r="H20" s="23">
        <f>-H13*H19</f>
        <v>-1200000</v>
      </c>
    </row>
    <row r="21" spans="1:9" x14ac:dyDescent="0.15">
      <c r="A21" s="1" t="s">
        <v>63</v>
      </c>
      <c r="D21" s="21"/>
      <c r="E21" s="21"/>
      <c r="F21" s="21"/>
      <c r="G21" s="21"/>
      <c r="H21" s="22">
        <f>H19+H20</f>
        <v>2800000</v>
      </c>
    </row>
    <row r="22" spans="1:9" x14ac:dyDescent="0.15">
      <c r="D22" s="21"/>
      <c r="E22" s="21"/>
      <c r="F22" s="21"/>
      <c r="G22" s="21"/>
      <c r="H22" s="22"/>
    </row>
    <row r="23" spans="1:9" x14ac:dyDescent="0.15">
      <c r="A23" s="1" t="s">
        <v>64</v>
      </c>
      <c r="D23" s="21"/>
      <c r="E23" s="21"/>
      <c r="F23" s="21"/>
      <c r="G23" s="21"/>
      <c r="H23" s="22"/>
    </row>
    <row r="24" spans="1:9" ht="15" x14ac:dyDescent="0.2">
      <c r="A24" s="1" t="s">
        <v>65</v>
      </c>
      <c r="C24" s="24">
        <f>(($C$5*12*(1+$C$6)^C16)*($C$7*(1+$C$8)^C16))/365*$H$9</f>
        <v>4438356.1643835604</v>
      </c>
      <c r="D24" s="24">
        <f>(($C$5*12*(1+$C$6)^D16)*($C$7*(1+$C$8)^D16))/365*$H$9</f>
        <v>4438356.1643835604</v>
      </c>
      <c r="E24" s="24">
        <f>(($C$5*12*(1+$C$6)^E16)*($C$7*(1+$C$8)^E16))/365*$H$9</f>
        <v>4438356.1643835604</v>
      </c>
      <c r="F24" s="24">
        <f>(($C$5*12*(1+$C$6)^F16)*($C$7*(1+$C$8)^F16))/365*$H$9</f>
        <v>4438356.1643835604</v>
      </c>
      <c r="G24" s="24">
        <f>(($C$5*12*(1+$C$6)^G16)*($C$7*(1+$C$8)^G16))/365*$H$9</f>
        <v>4438356.1643835604</v>
      </c>
      <c r="H24" s="22"/>
    </row>
    <row r="25" spans="1:9" ht="15" x14ac:dyDescent="0.2">
      <c r="A25" s="1" t="s">
        <v>66</v>
      </c>
      <c r="C25" s="24">
        <f>($C$5*(1+$C$6)^C16)*($C$9*(1+$C$10)^C16)</f>
        <v>1080000</v>
      </c>
      <c r="D25" s="24">
        <f>($C$5*(1+$C$6)^D16)*($C$9*(1+$C$10)^D16)</f>
        <v>1134000</v>
      </c>
      <c r="E25" s="24">
        <f>($C$5*(1+$C$6)^E16)*($C$9*(1+$C$10)^E16)</f>
        <v>1190700</v>
      </c>
      <c r="F25" s="24">
        <f>($C$5*(1+$C$6)^F16)*($C$9*(1+$C$10)^F16)</f>
        <v>1250235</v>
      </c>
      <c r="G25" s="24">
        <f>($C$5*(1+$C$6)^G16)*($C$9*(1+$C$10)^G16)</f>
        <v>1312746.75</v>
      </c>
      <c r="H25" s="22"/>
    </row>
    <row r="26" spans="1:9" ht="15" x14ac:dyDescent="0.2">
      <c r="A26" s="1" t="s">
        <v>67</v>
      </c>
      <c r="C26" s="25">
        <f>-((($C$5*(1+$C$6)^C16)*12*($C$9*(1+$C$10)^C16))/365)*$H$10</f>
        <v>-1278246.5753424701</v>
      </c>
      <c r="D26" s="25">
        <f>-((($C$5*(1+$C$6)^D16)*12*($C$9*(1+$C$10)^D16))/365)*$H$10</f>
        <v>-1342158.90410959</v>
      </c>
      <c r="E26" s="25">
        <f>-((($C$5*(1+$C$6)^E16)*12*($C$9*(1+$C$10)^E16))/365)*$H$10</f>
        <v>-1409266.8493150701</v>
      </c>
      <c r="F26" s="25">
        <f>-((($C$5*(1+$C$6)^F16)*12*($C$9*(1+$C$10)^F16))/365)*$H$10</f>
        <v>-1479730.19178082</v>
      </c>
      <c r="G26" s="25">
        <f>-((($C$5*(1+$C$6)^G16)*12*($C$9*(1+$C$10)^G16))/365)*$H$10</f>
        <v>-1553716.70136986</v>
      </c>
      <c r="H26" s="23"/>
    </row>
    <row r="27" spans="1:9" x14ac:dyDescent="0.15">
      <c r="C27" s="22">
        <f t="shared" ref="C27:H27" si="0">SUM(C24:C26)</f>
        <v>4240109.5890410999</v>
      </c>
      <c r="D27" s="22">
        <f t="shared" si="0"/>
        <v>4230197.2602739697</v>
      </c>
      <c r="E27" s="22">
        <f t="shared" si="0"/>
        <v>4219789.3150684899</v>
      </c>
      <c r="F27" s="22">
        <f t="shared" si="0"/>
        <v>4208860.9726027399</v>
      </c>
      <c r="G27" s="22">
        <f t="shared" si="0"/>
        <v>4197386.2130137002</v>
      </c>
      <c r="H27" s="22">
        <f t="shared" si="0"/>
        <v>0</v>
      </c>
    </row>
    <row r="28" spans="1:9" x14ac:dyDescent="0.15">
      <c r="C28" s="22"/>
      <c r="D28" s="22"/>
      <c r="E28" s="22"/>
      <c r="F28" s="22"/>
      <c r="G28" s="22"/>
      <c r="H28" s="22"/>
    </row>
    <row r="29" spans="1:9" x14ac:dyDescent="0.15">
      <c r="A29" s="1" t="s">
        <v>68</v>
      </c>
      <c r="C29" s="22">
        <f>A27-C27</f>
        <v>-4240109.5890410999</v>
      </c>
      <c r="D29" s="22">
        <f>C27-D27</f>
        <v>9912.3287671227008</v>
      </c>
      <c r="E29" s="22">
        <f>D27-E27</f>
        <v>10407.9452054799</v>
      </c>
      <c r="F29" s="22">
        <f>E27-F27</f>
        <v>10928.3424657537</v>
      </c>
      <c r="G29" s="22">
        <f>F27-G27</f>
        <v>11474.7595890416</v>
      </c>
      <c r="H29" s="22">
        <f>G27-H27</f>
        <v>4197386.2130137002</v>
      </c>
    </row>
    <row r="31" spans="1:9" ht="15" x14ac:dyDescent="0.2">
      <c r="A31" s="1" t="s">
        <v>69</v>
      </c>
      <c r="D31" s="26">
        <f>$C$5*12*(1+$C$6)^C16</f>
        <v>7200000</v>
      </c>
      <c r="E31" s="26">
        <f>$C$5*12*(1+$C$6)^D16</f>
        <v>7200000</v>
      </c>
      <c r="F31" s="26">
        <f>$C$5*12*(1+$C$6)^E16</f>
        <v>7200000</v>
      </c>
      <c r="G31" s="26">
        <f>$C$5*12*(1+$C$6)^F16</f>
        <v>7200000</v>
      </c>
      <c r="H31" s="26">
        <f>$C$5*12*(1+$C$6)^G16</f>
        <v>7200000</v>
      </c>
    </row>
    <row r="32" spans="1:9" x14ac:dyDescent="0.15">
      <c r="A32" s="1" t="s">
        <v>70</v>
      </c>
      <c r="D32" s="22">
        <f>D31*$C$7*(1+$C$8)^C16</f>
        <v>36000000</v>
      </c>
      <c r="E32" s="22">
        <f>E31*$C$7*(1+$C$8)^D16</f>
        <v>36000000</v>
      </c>
      <c r="F32" s="22">
        <f>F31*$C$7*(1+$C$8)^E16</f>
        <v>36000000</v>
      </c>
      <c r="G32" s="22">
        <f>G31*$C$7*(1+$C$8)^F16</f>
        <v>36000000</v>
      </c>
      <c r="H32" s="22">
        <f>H31*$C$7*(1+$C$8)^G16</f>
        <v>36000000</v>
      </c>
      <c r="I32" s="42"/>
    </row>
    <row r="34" spans="1:8" x14ac:dyDescent="0.15">
      <c r="A34" s="1" t="s">
        <v>71</v>
      </c>
    </row>
    <row r="35" spans="1:8" ht="15" x14ac:dyDescent="0.2">
      <c r="A35" s="1" t="s">
        <v>72</v>
      </c>
      <c r="D35" s="26">
        <f>-(D31*$C$9)*(1+$C$10)^C16</f>
        <v>-12960000</v>
      </c>
      <c r="E35" s="26">
        <f>-(E31*$C$9)*(1+$C$10)^D16</f>
        <v>-13608000</v>
      </c>
      <c r="F35" s="26">
        <f>-(F31*$C$9)*(1+$C$10)^E16</f>
        <v>-14288400</v>
      </c>
      <c r="G35" s="26">
        <f>-(G31*$C$9)*(1+$C$10)^F16</f>
        <v>-15002820</v>
      </c>
      <c r="H35" s="26">
        <f>-(H31*$C$9)*(1+$C$10)^G16</f>
        <v>-15752961</v>
      </c>
    </row>
    <row r="36" spans="1:8" ht="15" x14ac:dyDescent="0.2">
      <c r="A36" s="1" t="s">
        <v>73</v>
      </c>
      <c r="D36" s="26">
        <f>-$C$11*12*(1+$C$12)^C16</f>
        <v>-2160000</v>
      </c>
      <c r="E36" s="26">
        <f>-$C$11*12*(1+$C$12)^D16</f>
        <v>-2268000</v>
      </c>
      <c r="F36" s="26">
        <f>-$C$11*12*(1+$C$12)^E16</f>
        <v>-2381400</v>
      </c>
      <c r="G36" s="26">
        <f>-$C$11*12*(1+$C$12)^F16</f>
        <v>-2500470</v>
      </c>
      <c r="H36" s="26">
        <f>-$C$11*12*(1+$C$12)^G16</f>
        <v>-2625493.5</v>
      </c>
    </row>
    <row r="37" spans="1:8" ht="15" x14ac:dyDescent="0.2">
      <c r="A37" s="1" t="s">
        <v>74</v>
      </c>
      <c r="D37" s="26">
        <f>-$C$13*12*(1+$C$14)^C16</f>
        <v>-600000</v>
      </c>
      <c r="E37" s="26">
        <f>-$C$13*12*(1+$C$14)^D16</f>
        <v>-630000</v>
      </c>
      <c r="F37" s="26">
        <f>-$C$13*12*(1+$C$14)^E16</f>
        <v>-661500</v>
      </c>
      <c r="G37" s="26">
        <f>-$C$13*12*(1+$C$14)^F16</f>
        <v>-694575</v>
      </c>
      <c r="H37" s="26">
        <f>-$C$13*12*(1+$C$14)^G16</f>
        <v>-729303.75</v>
      </c>
    </row>
    <row r="38" spans="1:8" x14ac:dyDescent="0.15">
      <c r="A38" s="1" t="s">
        <v>75</v>
      </c>
      <c r="D38" s="27">
        <f>-$H$8</f>
        <v>-60000</v>
      </c>
      <c r="E38" s="27">
        <f>-$H$8</f>
        <v>-60000</v>
      </c>
      <c r="F38" s="27">
        <f>-$H$8</f>
        <v>-60000</v>
      </c>
      <c r="G38" s="27">
        <f>-$H$8</f>
        <v>-60000</v>
      </c>
      <c r="H38" s="27">
        <f>-$H$8</f>
        <v>-60000</v>
      </c>
    </row>
    <row r="39" spans="1:8" x14ac:dyDescent="0.15">
      <c r="A39" s="1" t="s">
        <v>76</v>
      </c>
      <c r="D39" s="22">
        <f>-$H$5/$H$11</f>
        <v>-10000000</v>
      </c>
      <c r="E39" s="22">
        <f>-$H$5/$H$11</f>
        <v>-10000000</v>
      </c>
      <c r="F39" s="22">
        <f>-$H$5/$H$11</f>
        <v>-10000000</v>
      </c>
      <c r="G39" s="22">
        <f>-$H$5/$H$11</f>
        <v>-10000000</v>
      </c>
      <c r="H39" s="22">
        <f>-$H$5/$H$11</f>
        <v>-10000000</v>
      </c>
    </row>
    <row r="40" spans="1:8" x14ac:dyDescent="0.15">
      <c r="A40" s="1" t="s">
        <v>77</v>
      </c>
      <c r="D40" s="22">
        <v>-300000</v>
      </c>
      <c r="E40" s="22">
        <v>-300000</v>
      </c>
      <c r="F40" s="22">
        <v>-300000</v>
      </c>
      <c r="G40" s="22">
        <v>-300000</v>
      </c>
      <c r="H40" s="22">
        <v>-300000</v>
      </c>
    </row>
    <row r="41" spans="1:8" x14ac:dyDescent="0.15">
      <c r="A41" s="1" t="s">
        <v>78</v>
      </c>
      <c r="D41" s="23">
        <f>-$H$7*D32</f>
        <v>-360000</v>
      </c>
      <c r="E41" s="23">
        <f>-$H$7*E32</f>
        <v>-360000</v>
      </c>
      <c r="F41" s="23">
        <f>-$H$7*F32</f>
        <v>-360000</v>
      </c>
      <c r="G41" s="23">
        <f>-$H$7*G32</f>
        <v>-360000</v>
      </c>
      <c r="H41" s="23">
        <f>-$H$7*H32</f>
        <v>-360000</v>
      </c>
    </row>
    <row r="42" spans="1:8" x14ac:dyDescent="0.15">
      <c r="A42" s="1" t="s">
        <v>79</v>
      </c>
      <c r="D42" s="22">
        <f>SUM(D35:D41)</f>
        <v>-26440000</v>
      </c>
      <c r="E42" s="22">
        <f>SUM(E35:E41)</f>
        <v>-27226000</v>
      </c>
      <c r="F42" s="22">
        <f>SUM(F35:F41)</f>
        <v>-28051300</v>
      </c>
      <c r="G42" s="22">
        <f>SUM(G35:G41)</f>
        <v>-28917865</v>
      </c>
      <c r="H42" s="22">
        <f>SUM(H35:H41)</f>
        <v>-29827758.25</v>
      </c>
    </row>
    <row r="43" spans="1:8" x14ac:dyDescent="0.15">
      <c r="D43" s="22"/>
      <c r="E43" s="22"/>
      <c r="F43" s="22"/>
      <c r="G43" s="22"/>
      <c r="H43" s="22"/>
    </row>
    <row r="44" spans="1:8" x14ac:dyDescent="0.15">
      <c r="A44" s="1" t="s">
        <v>80</v>
      </c>
      <c r="D44" s="22">
        <f>D32+D42</f>
        <v>9560000</v>
      </c>
      <c r="E44" s="22">
        <f>E32+E42</f>
        <v>8774000</v>
      </c>
      <c r="F44" s="22">
        <f>F32+F42</f>
        <v>7948700</v>
      </c>
      <c r="G44" s="22">
        <f>G32+G42</f>
        <v>7082135</v>
      </c>
      <c r="H44" s="22">
        <f>H32+H42</f>
        <v>6172241.75</v>
      </c>
    </row>
    <row r="46" spans="1:8" x14ac:dyDescent="0.15">
      <c r="A46" s="1" t="s">
        <v>81</v>
      </c>
      <c r="D46" s="23">
        <f>-$H$13*D44</f>
        <v>-2868000</v>
      </c>
      <c r="E46" s="23">
        <f>-$H$13*E44</f>
        <v>-2632200</v>
      </c>
      <c r="F46" s="23">
        <f>-$H$13*F44</f>
        <v>-2384610</v>
      </c>
      <c r="G46" s="23">
        <f>-$H$13*G44</f>
        <v>-2124640.5</v>
      </c>
      <c r="H46" s="23">
        <f>-$H$13*H44</f>
        <v>-1851672.5249999999</v>
      </c>
    </row>
    <row r="47" spans="1:8" x14ac:dyDescent="0.15">
      <c r="D47" s="22"/>
      <c r="E47" s="22"/>
      <c r="F47" s="22"/>
      <c r="G47" s="22"/>
      <c r="H47" s="22"/>
    </row>
    <row r="48" spans="1:8" x14ac:dyDescent="0.15">
      <c r="A48" s="1" t="s">
        <v>82</v>
      </c>
      <c r="D48" s="22">
        <f>D44+D46</f>
        <v>6692000</v>
      </c>
      <c r="E48" s="22">
        <f>E44+E46</f>
        <v>6141800</v>
      </c>
      <c r="F48" s="22">
        <f>F44+F46</f>
        <v>5564090</v>
      </c>
      <c r="G48" s="22">
        <f>G44+G46</f>
        <v>4957494.5</v>
      </c>
      <c r="H48" s="22">
        <f>H44+H46</f>
        <v>4320569.2249999996</v>
      </c>
    </row>
    <row r="49" spans="1:8" x14ac:dyDescent="0.15">
      <c r="D49" s="22"/>
      <c r="E49" s="22"/>
      <c r="F49" s="22"/>
      <c r="G49" s="22"/>
      <c r="H49" s="22"/>
    </row>
    <row r="50" spans="1:8" x14ac:dyDescent="0.15">
      <c r="A50" s="1" t="s">
        <v>83</v>
      </c>
    </row>
    <row r="51" spans="1:8" x14ac:dyDescent="0.15">
      <c r="A51" s="1" t="s">
        <v>84</v>
      </c>
      <c r="D51" s="22">
        <f>-D39</f>
        <v>10000000</v>
      </c>
      <c r="E51" s="22">
        <f>-E39</f>
        <v>10000000</v>
      </c>
      <c r="F51" s="22">
        <f>-F39</f>
        <v>10000000</v>
      </c>
      <c r="G51" s="22">
        <f>-G39</f>
        <v>10000000</v>
      </c>
      <c r="H51" s="22">
        <f>-H39</f>
        <v>10000000</v>
      </c>
    </row>
    <row r="52" spans="1:8" x14ac:dyDescent="0.15">
      <c r="A52" s="1" t="s">
        <v>85</v>
      </c>
      <c r="D52" s="28">
        <f>-$H$14</f>
        <v>-800000</v>
      </c>
      <c r="E52" s="28">
        <f>-$H$14</f>
        <v>-800000</v>
      </c>
      <c r="F52" s="28">
        <f>-$H$14</f>
        <v>-800000</v>
      </c>
      <c r="G52" s="28">
        <f>-$H$14</f>
        <v>-800000</v>
      </c>
      <c r="H52" s="28">
        <f>-$H$14</f>
        <v>-800000</v>
      </c>
    </row>
    <row r="53" spans="1:8" x14ac:dyDescent="0.15">
      <c r="A53" s="1" t="s">
        <v>86</v>
      </c>
      <c r="D53" s="22">
        <f>D48+D51+D52</f>
        <v>15892000</v>
      </c>
      <c r="E53" s="22">
        <f>E48+E51+E52</f>
        <v>15341800</v>
      </c>
      <c r="F53" s="22">
        <f>F48+F51+F52</f>
        <v>14764090</v>
      </c>
      <c r="G53" s="22">
        <f>G48+G51+G52</f>
        <v>14157494.5</v>
      </c>
      <c r="H53" s="22">
        <f>H48+H51+H52</f>
        <v>13520569.225</v>
      </c>
    </row>
    <row r="55" spans="1:8" x14ac:dyDescent="0.15">
      <c r="A55" s="29" t="s">
        <v>87</v>
      </c>
      <c r="B55" s="29"/>
      <c r="C55" s="30">
        <f>C18+C29+C53</f>
        <v>-54240109.589041099</v>
      </c>
      <c r="D55" s="30">
        <f>D19+D29+D53</f>
        <v>15901912.3287671</v>
      </c>
      <c r="E55" s="30">
        <f>E19+E29+E53</f>
        <v>15352207.9452055</v>
      </c>
      <c r="F55" s="30">
        <f>F19+F29+F53</f>
        <v>14775018.342465799</v>
      </c>
      <c r="G55" s="30">
        <f>G19+G29+G53</f>
        <v>14168969.259589</v>
      </c>
      <c r="H55" s="30">
        <f>H21+H29+H53</f>
        <v>20517955.438013699</v>
      </c>
    </row>
    <row r="57" spans="1:8" ht="15" x14ac:dyDescent="0.2">
      <c r="A57" s="1" t="s">
        <v>88</v>
      </c>
      <c r="C57" s="26">
        <f t="shared" ref="C57:H57" si="1">C55/(1+$H$12)^C16</f>
        <v>-54240109.589041099</v>
      </c>
      <c r="D57" s="26">
        <f t="shared" si="1"/>
        <v>13453394.5251837</v>
      </c>
      <c r="E57" s="26">
        <f t="shared" si="1"/>
        <v>10988436.205523301</v>
      </c>
      <c r="F57" s="26">
        <f t="shared" si="1"/>
        <v>8946962.1294606198</v>
      </c>
      <c r="G57" s="26">
        <f t="shared" si="1"/>
        <v>7258858.8558328403</v>
      </c>
      <c r="H57" s="26">
        <f t="shared" si="1"/>
        <v>8892967.3847838808</v>
      </c>
    </row>
    <row r="59" spans="1:8" x14ac:dyDescent="0.15">
      <c r="A59" s="31" t="s">
        <v>89</v>
      </c>
      <c r="B59" s="32"/>
      <c r="C59" s="33">
        <f>NPV($H$12,D55:H55)+C55</f>
        <v>-4699490.4882568102</v>
      </c>
    </row>
    <row r="60" spans="1:8" x14ac:dyDescent="0.15">
      <c r="A60" s="34" t="s">
        <v>90</v>
      </c>
      <c r="B60" s="35"/>
      <c r="C60" s="36">
        <f>IRR(C55:H55)</f>
        <v>0.14402273545468899</v>
      </c>
    </row>
    <row r="61" spans="1:8" x14ac:dyDescent="0.15">
      <c r="A61" s="34" t="s">
        <v>91</v>
      </c>
      <c r="B61" s="35"/>
      <c r="C61" s="37">
        <f>IF(D55&gt;ABS(C55),0+ABS(C55)/D55,IF(SUM(D55:E55)&gt;ABS(C55),1+(ABS(C55)-D55)/E55,IF(SUM(D55:F55)&gt;ABS(C55),2+(ABS(C55)-SUM(D55+E55)/F55),IF(SUM(D55:G55)&gt;ABS(C55),3+(ABS(C55)-SUM(D55:F55))/G55,IF(SUM(D55:H55)&gt;ABS(C55),4+(ABS(C55)-SUM(D55:G55))/H55)))))</f>
        <v>3.5795037608008</v>
      </c>
    </row>
    <row r="62" spans="1:8" x14ac:dyDescent="0.15">
      <c r="A62" s="34" t="s">
        <v>92</v>
      </c>
      <c r="B62" s="35"/>
      <c r="C62" s="38" t="b">
        <f>IF(D57&gt;ABS(C57),0+ABS(C57)/D57,IF(SUM(D57:E57)&gt;ABS(C57),1+(ABS(C57)-D57)/E57,IF(SUM(D57:F57)&gt;ABS(C57),2+(ABS(C57)-SUM(D57+E57)/F57),IF(SUM(D57:G57)&gt;ABS(C57),3+(ABS(C57)-SUM(D57:F57))/G57,IF(SUM(D57:H57)&gt;ABS(C57),4+(ABS(C57)-SUM(D57:G57))/H57)))))</f>
        <v>0</v>
      </c>
    </row>
    <row r="63" spans="1:8" x14ac:dyDescent="0.15">
      <c r="A63" s="39" t="s">
        <v>93</v>
      </c>
      <c r="B63" s="40"/>
      <c r="C63" s="41">
        <f>NPV($H$12,D55:H55)/-C55</f>
        <v>0.91335765130521895</v>
      </c>
    </row>
    <row r="65" spans="3:7" x14ac:dyDescent="0.15">
      <c r="C65" s="22"/>
      <c r="D65" s="22"/>
      <c r="E65" s="22"/>
      <c r="F65" s="22"/>
      <c r="G65" s="22"/>
    </row>
  </sheetData>
  <mergeCells count="2">
    <mergeCell ref="E5:F5"/>
    <mergeCell ref="E6:F6"/>
  </mergeCells>
  <pageMargins left="0.75" right="0.75" top="1" bottom="1" header="0.5" footer="0.5"/>
  <pageSetup scale="7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5"/>
  <sheetViews>
    <sheetView topLeftCell="A34" zoomScale="109" zoomScaleNormal="150" zoomScalePageLayoutView="150" workbookViewId="0">
      <selection activeCell="E62" sqref="E62"/>
    </sheetView>
  </sheetViews>
  <sheetFormatPr baseColWidth="10" defaultColWidth="8.83203125" defaultRowHeight="13" x14ac:dyDescent="0.15"/>
  <cols>
    <col min="1" max="1" width="41.1640625" style="1" customWidth="1"/>
    <col min="2" max="2" width="2.83203125" style="1" customWidth="1"/>
    <col min="3" max="8" width="13.6640625" style="1" customWidth="1"/>
    <col min="9" max="9" width="2.33203125" style="1" customWidth="1"/>
    <col min="10" max="10" width="8.83203125" style="1" customWidth="1"/>
    <col min="11" max="16384" width="8.83203125" style="1"/>
  </cols>
  <sheetData>
    <row r="1" spans="1:8" ht="16" x14ac:dyDescent="0.2">
      <c r="A1" s="2" t="s">
        <v>39</v>
      </c>
      <c r="B1" s="2"/>
    </row>
    <row r="2" spans="1:8" ht="16" x14ac:dyDescent="0.2">
      <c r="A2" s="3"/>
      <c r="B2" s="3"/>
    </row>
    <row r="3" spans="1:8" ht="16" x14ac:dyDescent="0.2">
      <c r="A3" s="2" t="s">
        <v>95</v>
      </c>
      <c r="B3" s="2"/>
    </row>
    <row r="5" spans="1:8" ht="15" x14ac:dyDescent="0.2">
      <c r="A5" s="4" t="s">
        <v>41</v>
      </c>
      <c r="B5" s="5"/>
      <c r="C5" s="6">
        <v>600000</v>
      </c>
      <c r="E5" s="114" t="s">
        <v>42</v>
      </c>
      <c r="F5" s="115"/>
      <c r="G5" s="5"/>
      <c r="H5" s="7">
        <v>50000000</v>
      </c>
    </row>
    <row r="6" spans="1:8" ht="15" x14ac:dyDescent="0.2">
      <c r="A6" s="8" t="s">
        <v>43</v>
      </c>
      <c r="C6" s="9">
        <v>-0.02</v>
      </c>
      <c r="E6" s="116" t="s">
        <v>44</v>
      </c>
      <c r="F6" s="117"/>
      <c r="H6" s="10">
        <v>4000000</v>
      </c>
    </row>
    <row r="7" spans="1:8" ht="15" x14ac:dyDescent="0.2">
      <c r="A7" s="8" t="s">
        <v>45</v>
      </c>
      <c r="C7" s="11">
        <v>5</v>
      </c>
      <c r="E7" s="8" t="s">
        <v>46</v>
      </c>
      <c r="H7" s="9">
        <v>0.01</v>
      </c>
    </row>
    <row r="8" spans="1:8" ht="15" x14ac:dyDescent="0.2">
      <c r="A8" s="8" t="s">
        <v>47</v>
      </c>
      <c r="C8" s="9">
        <v>0.05</v>
      </c>
      <c r="E8" s="8" t="s">
        <v>48</v>
      </c>
      <c r="H8" s="10">
        <v>60000</v>
      </c>
    </row>
    <row r="9" spans="1:8" x14ac:dyDescent="0.15">
      <c r="A9" s="8" t="s">
        <v>49</v>
      </c>
      <c r="C9" s="12">
        <v>1.8</v>
      </c>
      <c r="E9" s="8" t="s">
        <v>50</v>
      </c>
      <c r="H9" s="13">
        <v>45</v>
      </c>
    </row>
    <row r="10" spans="1:8" ht="15" x14ac:dyDescent="0.2">
      <c r="A10" s="8" t="s">
        <v>51</v>
      </c>
      <c r="C10" s="9">
        <v>0.05</v>
      </c>
      <c r="E10" s="8" t="s">
        <v>52</v>
      </c>
      <c r="H10" s="13">
        <v>36</v>
      </c>
    </row>
    <row r="11" spans="1:8" x14ac:dyDescent="0.15">
      <c r="A11" s="8" t="s">
        <v>53</v>
      </c>
      <c r="C11" s="11">
        <v>180000</v>
      </c>
      <c r="E11" s="8" t="s">
        <v>54</v>
      </c>
      <c r="H11" s="13">
        <v>5</v>
      </c>
    </row>
    <row r="12" spans="1:8" ht="15" x14ac:dyDescent="0.2">
      <c r="A12" s="8" t="s">
        <v>55</v>
      </c>
      <c r="C12" s="14">
        <v>0.05</v>
      </c>
      <c r="E12" s="8" t="s">
        <v>56</v>
      </c>
      <c r="H12" s="15">
        <v>0.182</v>
      </c>
    </row>
    <row r="13" spans="1:8" ht="15" x14ac:dyDescent="0.2">
      <c r="A13" s="8" t="s">
        <v>57</v>
      </c>
      <c r="C13" s="11">
        <v>50000</v>
      </c>
      <c r="E13" s="8" t="s">
        <v>58</v>
      </c>
      <c r="H13" s="9">
        <v>0.3</v>
      </c>
    </row>
    <row r="14" spans="1:8" ht="15" x14ac:dyDescent="0.2">
      <c r="A14" s="16" t="s">
        <v>59</v>
      </c>
      <c r="B14" s="17"/>
      <c r="C14" s="18">
        <v>0.05</v>
      </c>
      <c r="E14" s="16" t="s">
        <v>60</v>
      </c>
      <c r="F14" s="17"/>
      <c r="G14" s="17"/>
      <c r="H14" s="19">
        <v>800000</v>
      </c>
    </row>
    <row r="16" spans="1:8" x14ac:dyDescent="0.15">
      <c r="A16" s="20" t="s">
        <v>61</v>
      </c>
      <c r="B16" s="20"/>
      <c r="C16" s="20">
        <v>0</v>
      </c>
      <c r="D16" s="20">
        <v>1</v>
      </c>
      <c r="E16" s="20">
        <v>2</v>
      </c>
      <c r="F16" s="20">
        <v>3</v>
      </c>
      <c r="G16" s="20">
        <v>4</v>
      </c>
      <c r="H16" s="20">
        <v>5</v>
      </c>
    </row>
    <row r="17" spans="1:9" x14ac:dyDescent="0.15">
      <c r="A17" s="21"/>
      <c r="B17" s="21"/>
      <c r="C17" s="21"/>
      <c r="D17" s="21"/>
      <c r="E17" s="21"/>
      <c r="F17" s="21"/>
      <c r="G17" s="21"/>
      <c r="H17" s="21"/>
    </row>
    <row r="18" spans="1:9" x14ac:dyDescent="0.15">
      <c r="A18" s="1" t="s">
        <v>42</v>
      </c>
      <c r="C18" s="22">
        <f>-$H$5</f>
        <v>-50000000</v>
      </c>
      <c r="D18" s="21"/>
      <c r="E18" s="21"/>
      <c r="F18" s="21"/>
      <c r="G18" s="21"/>
      <c r="H18" s="21"/>
    </row>
    <row r="19" spans="1:9" x14ac:dyDescent="0.15">
      <c r="A19" s="1" t="s">
        <v>44</v>
      </c>
      <c r="D19" s="21"/>
      <c r="E19" s="21"/>
      <c r="F19" s="21"/>
      <c r="G19" s="21"/>
      <c r="H19" s="22">
        <f>$H$6</f>
        <v>4000000</v>
      </c>
    </row>
    <row r="20" spans="1:9" x14ac:dyDescent="0.15">
      <c r="A20" s="1" t="s">
        <v>62</v>
      </c>
      <c r="D20" s="21"/>
      <c r="E20" s="21"/>
      <c r="F20" s="21"/>
      <c r="G20" s="21"/>
      <c r="H20" s="23">
        <f>-H13*H19</f>
        <v>-1200000</v>
      </c>
    </row>
    <row r="21" spans="1:9" x14ac:dyDescent="0.15">
      <c r="A21" s="1" t="s">
        <v>63</v>
      </c>
      <c r="D21" s="21"/>
      <c r="E21" s="21"/>
      <c r="F21" s="21"/>
      <c r="G21" s="21"/>
      <c r="H21" s="22">
        <f>H19+H20</f>
        <v>2800000</v>
      </c>
    </row>
    <row r="22" spans="1:9" x14ac:dyDescent="0.15">
      <c r="D22" s="21"/>
      <c r="E22" s="21"/>
      <c r="F22" s="21"/>
      <c r="G22" s="21"/>
      <c r="H22" s="22"/>
    </row>
    <row r="23" spans="1:9" x14ac:dyDescent="0.15">
      <c r="A23" s="1" t="s">
        <v>64</v>
      </c>
      <c r="D23" s="21"/>
      <c r="E23" s="21"/>
      <c r="F23" s="21"/>
      <c r="G23" s="21"/>
      <c r="H23" s="22"/>
    </row>
    <row r="24" spans="1:9" ht="15" x14ac:dyDescent="0.2">
      <c r="A24" s="1" t="s">
        <v>65</v>
      </c>
      <c r="C24" s="24">
        <f>(($C$5*12*(1+$C$6)^C16)*($C$7*(1+$C$8)^C16))/365*$H$9</f>
        <v>4438356.1643835604</v>
      </c>
      <c r="D24" s="24">
        <f>(($C$5*12*(1+$C$6)^D16)*($C$7*(1+$C$8)^D16))/365*$H$9</f>
        <v>4567068.4931506803</v>
      </c>
      <c r="E24" s="24">
        <f>(($C$5*12*(1+$C$6)^E16)*($C$7*(1+$C$8)^E16))/365*$H$9</f>
        <v>4699513.4794520503</v>
      </c>
      <c r="F24" s="24">
        <f>(($C$5*12*(1+$C$6)^F16)*($C$7*(1+$C$8)^F16))/365*$H$9</f>
        <v>4835799.3703561602</v>
      </c>
      <c r="G24" s="24">
        <f>(($C$5*12*(1+$C$6)^G16)*($C$7*(1+$C$8)^G16))/365*$H$9</f>
        <v>4976037.5520964898</v>
      </c>
      <c r="H24" s="22"/>
    </row>
    <row r="25" spans="1:9" ht="15" x14ac:dyDescent="0.2">
      <c r="A25" s="1" t="s">
        <v>66</v>
      </c>
      <c r="C25" s="24">
        <f>($C$5*(1+$C$6)^C16)*($C$9*(1+$C$10)^C16)</f>
        <v>1080000</v>
      </c>
      <c r="D25" s="24">
        <f>($C$5*(1+$C$6)^D16)*($C$9*(1+$C$10)^D16)</f>
        <v>1111320</v>
      </c>
      <c r="E25" s="24">
        <f>($C$5*(1+$C$6)^E16)*($C$9*(1+$C$10)^E16)</f>
        <v>1143548.28</v>
      </c>
      <c r="F25" s="24">
        <f>($C$5*(1+$C$6)^F16)*($C$9*(1+$C$10)^F16)</f>
        <v>1176711.1801199999</v>
      </c>
      <c r="G25" s="24">
        <f>($C$5*(1+$C$6)^G16)*($C$9*(1+$C$10)^G16)</f>
        <v>1210835.8043434799</v>
      </c>
      <c r="H25" s="22"/>
    </row>
    <row r="26" spans="1:9" ht="15" x14ac:dyDescent="0.2">
      <c r="A26" s="1" t="s">
        <v>67</v>
      </c>
      <c r="C26" s="25">
        <f>-((($C$5*(1+$C$6)^C16)*12*($C$9*(1+$C$10)^C16))/365)*$H$10</f>
        <v>-1278246.5753424701</v>
      </c>
      <c r="D26" s="25">
        <f>-((($C$5*(1+$C$6)^D16)*12*($C$9*(1+$C$10)^D16))/365)*$H$10</f>
        <v>-1315315.7260274</v>
      </c>
      <c r="E26" s="25">
        <f>-((($C$5*(1+$C$6)^E16)*12*($C$9*(1+$C$10)^E16))/365)*$H$10</f>
        <v>-1353459.8820821899</v>
      </c>
      <c r="F26" s="25">
        <f>-((($C$5*(1+$C$6)^F16)*12*($C$9*(1+$C$10)^F16))/365)*$H$10</f>
        <v>-1392710.21866258</v>
      </c>
      <c r="G26" s="25">
        <f>-((($C$5*(1+$C$6)^G16)*12*($C$9*(1+$C$10)^G16))/365)*$H$10</f>
        <v>-1433098.81500379</v>
      </c>
      <c r="H26" s="23"/>
    </row>
    <row r="27" spans="1:9" x14ac:dyDescent="0.15">
      <c r="C27" s="22">
        <f t="shared" ref="C27:H27" si="0">SUM(C24:C26)</f>
        <v>4240109.5890410999</v>
      </c>
      <c r="D27" s="22">
        <f t="shared" si="0"/>
        <v>4363072.7671232903</v>
      </c>
      <c r="E27" s="22">
        <f t="shared" si="0"/>
        <v>4489601.8773698602</v>
      </c>
      <c r="F27" s="22">
        <f t="shared" si="0"/>
        <v>4619800.3318135897</v>
      </c>
      <c r="G27" s="22">
        <f t="shared" si="0"/>
        <v>4753774.5414361795</v>
      </c>
      <c r="H27" s="22">
        <f t="shared" si="0"/>
        <v>0</v>
      </c>
    </row>
    <row r="28" spans="1:9" x14ac:dyDescent="0.15">
      <c r="C28" s="22"/>
      <c r="D28" s="22"/>
      <c r="E28" s="22"/>
      <c r="F28" s="22"/>
      <c r="G28" s="22"/>
      <c r="H28" s="22"/>
    </row>
    <row r="29" spans="1:9" x14ac:dyDescent="0.15">
      <c r="A29" s="1" t="s">
        <v>68</v>
      </c>
      <c r="C29" s="22">
        <f>A27-C27</f>
        <v>-4240109.5890410999</v>
      </c>
      <c r="D29" s="22">
        <f>C27-D27</f>
        <v>-122963.178082192</v>
      </c>
      <c r="E29" s="22">
        <f>D27-E27</f>
        <v>-126529.110246575</v>
      </c>
      <c r="F29" s="22">
        <f>E27-F27</f>
        <v>-130198.45444372699</v>
      </c>
      <c r="G29" s="22">
        <f>F27-G27</f>
        <v>-133974.20962259499</v>
      </c>
      <c r="H29" s="22">
        <f>G27-H27</f>
        <v>4753774.5414361795</v>
      </c>
    </row>
    <row r="31" spans="1:9" ht="15" x14ac:dyDescent="0.2">
      <c r="A31" s="1" t="s">
        <v>69</v>
      </c>
      <c r="D31" s="26">
        <f>$C$5*12*(1+$C$6)^C16</f>
        <v>7200000</v>
      </c>
      <c r="E31" s="26">
        <f>$C$5*12*(1+$C$6)^D16</f>
        <v>7056000</v>
      </c>
      <c r="F31" s="26">
        <f>$C$5*12*(1+$C$6)^E16</f>
        <v>6914880</v>
      </c>
      <c r="G31" s="26">
        <f>$C$5*12*(1+$C$6)^F16</f>
        <v>6776582.4000000004</v>
      </c>
      <c r="H31" s="26">
        <f>$C$5*12*(1+$C$6)^G16</f>
        <v>6641050.7520000003</v>
      </c>
    </row>
    <row r="32" spans="1:9" x14ac:dyDescent="0.15">
      <c r="A32" s="1" t="s">
        <v>70</v>
      </c>
      <c r="D32" s="22">
        <f>D31*$C$7*(1+$C$8)^C16</f>
        <v>36000000</v>
      </c>
      <c r="E32" s="22">
        <f>E31*$C$7*(1+$C$8)^D16</f>
        <v>37044000</v>
      </c>
      <c r="F32" s="22">
        <f>F31*$C$7*(1+$C$8)^E16</f>
        <v>38118276</v>
      </c>
      <c r="G32" s="22">
        <f>G31*$C$7*(1+$C$8)^F16</f>
        <v>39223706.004000001</v>
      </c>
      <c r="H32" s="22">
        <f>H31*$C$7*(1+$C$8)^G16</f>
        <v>40361193.478115998</v>
      </c>
      <c r="I32" s="42"/>
    </row>
    <row r="34" spans="1:8" x14ac:dyDescent="0.15">
      <c r="A34" s="1" t="s">
        <v>71</v>
      </c>
    </row>
    <row r="35" spans="1:8" ht="15" x14ac:dyDescent="0.2">
      <c r="A35" s="1" t="s">
        <v>72</v>
      </c>
      <c r="D35" s="26">
        <f>-(D31*$C$9)*(1+$C$10)^C16</f>
        <v>-12960000</v>
      </c>
      <c r="E35" s="26">
        <f>-(E31*$C$9)*(1+$C$10)^D16</f>
        <v>-13335840</v>
      </c>
      <c r="F35" s="26">
        <f>-(F31*$C$9)*(1+$C$10)^E16</f>
        <v>-13722579.359999999</v>
      </c>
      <c r="G35" s="26">
        <f>-(G31*$C$9)*(1+$C$10)^F16</f>
        <v>-14120534.16144</v>
      </c>
      <c r="H35" s="26">
        <f>-(H31*$C$9)*(1+$C$10)^G16</f>
        <v>-14530029.652121801</v>
      </c>
    </row>
    <row r="36" spans="1:8" ht="15" x14ac:dyDescent="0.2">
      <c r="A36" s="1" t="s">
        <v>73</v>
      </c>
      <c r="D36" s="26">
        <f>-$C$11*12*(1+$C$12)^C16</f>
        <v>-2160000</v>
      </c>
      <c r="E36" s="26">
        <f>-$C$11*12*(1+$C$12)^D16</f>
        <v>-2268000</v>
      </c>
      <c r="F36" s="26">
        <f>-$C$11*12*(1+$C$12)^E16</f>
        <v>-2381400</v>
      </c>
      <c r="G36" s="26">
        <f>-$C$11*12*(1+$C$12)^F16</f>
        <v>-2500470</v>
      </c>
      <c r="H36" s="26">
        <f>-$C$11*12*(1+$C$12)^G16</f>
        <v>-2625493.5</v>
      </c>
    </row>
    <row r="37" spans="1:8" ht="15" x14ac:dyDescent="0.2">
      <c r="A37" s="1" t="s">
        <v>74</v>
      </c>
      <c r="D37" s="26">
        <f>-$C$13*12*(1+$C$14)^C16</f>
        <v>-600000</v>
      </c>
      <c r="E37" s="26">
        <f>-$C$13*12*(1+$C$14)^D16</f>
        <v>-630000</v>
      </c>
      <c r="F37" s="26">
        <f>-$C$13*12*(1+$C$14)^E16</f>
        <v>-661500</v>
      </c>
      <c r="G37" s="26">
        <f>-$C$13*12*(1+$C$14)^F16</f>
        <v>-694575</v>
      </c>
      <c r="H37" s="26">
        <f>-$C$13*12*(1+$C$14)^G16</f>
        <v>-729303.75</v>
      </c>
    </row>
    <row r="38" spans="1:8" x14ac:dyDescent="0.15">
      <c r="A38" s="1" t="s">
        <v>75</v>
      </c>
      <c r="D38" s="27">
        <f>-$H$8</f>
        <v>-60000</v>
      </c>
      <c r="E38" s="27">
        <f>-$H$8</f>
        <v>-60000</v>
      </c>
      <c r="F38" s="27">
        <f>-$H$8</f>
        <v>-60000</v>
      </c>
      <c r="G38" s="27">
        <f>-$H$8</f>
        <v>-60000</v>
      </c>
      <c r="H38" s="27">
        <f>-$H$8</f>
        <v>-60000</v>
      </c>
    </row>
    <row r="39" spans="1:8" x14ac:dyDescent="0.15">
      <c r="A39" s="1" t="s">
        <v>76</v>
      </c>
      <c r="D39" s="22">
        <f>-$H$5/$H$11</f>
        <v>-10000000</v>
      </c>
      <c r="E39" s="22">
        <f>-$H$5/$H$11</f>
        <v>-10000000</v>
      </c>
      <c r="F39" s="22">
        <f>-$H$5/$H$11</f>
        <v>-10000000</v>
      </c>
      <c r="G39" s="22">
        <f>-$H$5/$H$11</f>
        <v>-10000000</v>
      </c>
      <c r="H39" s="22">
        <f>-$H$5/$H$11</f>
        <v>-10000000</v>
      </c>
    </row>
    <row r="40" spans="1:8" x14ac:dyDescent="0.15">
      <c r="A40" s="1" t="s">
        <v>77</v>
      </c>
      <c r="D40" s="22">
        <v>-300000</v>
      </c>
      <c r="E40" s="22">
        <v>-300000</v>
      </c>
      <c r="F40" s="22">
        <v>-300000</v>
      </c>
      <c r="G40" s="22">
        <v>-300000</v>
      </c>
      <c r="H40" s="22">
        <v>-300000</v>
      </c>
    </row>
    <row r="41" spans="1:8" x14ac:dyDescent="0.15">
      <c r="A41" s="1" t="s">
        <v>78</v>
      </c>
      <c r="D41" s="23">
        <f>-$H$7*D32</f>
        <v>-360000</v>
      </c>
      <c r="E41" s="23">
        <f>-$H$7*E32</f>
        <v>-370440</v>
      </c>
      <c r="F41" s="23">
        <f>-$H$7*F32</f>
        <v>-381182.76</v>
      </c>
      <c r="G41" s="23">
        <f>-$H$7*G32</f>
        <v>-392237.06004000001</v>
      </c>
      <c r="H41" s="23">
        <f>-$H$7*H32</f>
        <v>-403611.93478115997</v>
      </c>
    </row>
    <row r="42" spans="1:8" x14ac:dyDescent="0.15">
      <c r="A42" s="1" t="s">
        <v>79</v>
      </c>
      <c r="D42" s="22">
        <f>SUM(D35:D41)</f>
        <v>-26440000</v>
      </c>
      <c r="E42" s="22">
        <f>SUM(E35:E41)</f>
        <v>-26964280</v>
      </c>
      <c r="F42" s="22">
        <f>SUM(F35:F41)</f>
        <v>-27506662.120000001</v>
      </c>
      <c r="G42" s="22">
        <f>SUM(G35:G41)</f>
        <v>-28067816.221480001</v>
      </c>
      <c r="H42" s="22">
        <f>SUM(H35:H41)</f>
        <v>-28648438.836902902</v>
      </c>
    </row>
    <row r="43" spans="1:8" x14ac:dyDescent="0.15">
      <c r="D43" s="22"/>
      <c r="E43" s="22"/>
      <c r="F43" s="22"/>
      <c r="G43" s="22"/>
      <c r="H43" s="22"/>
    </row>
    <row r="44" spans="1:8" x14ac:dyDescent="0.15">
      <c r="A44" s="1" t="s">
        <v>80</v>
      </c>
      <c r="D44" s="22">
        <f>D32+D42</f>
        <v>9560000</v>
      </c>
      <c r="E44" s="22">
        <f>E32+E42</f>
        <v>10079720</v>
      </c>
      <c r="F44" s="22">
        <f>F32+F42</f>
        <v>10611613.880000001</v>
      </c>
      <c r="G44" s="22">
        <f>G32+G42</f>
        <v>11155889.78252</v>
      </c>
      <c r="H44" s="22">
        <f>H32+H42</f>
        <v>11712754.6412131</v>
      </c>
    </row>
    <row r="46" spans="1:8" x14ac:dyDescent="0.15">
      <c r="A46" s="1" t="s">
        <v>81</v>
      </c>
      <c r="D46" s="23">
        <f>-$H$13*D44</f>
        <v>-2868000</v>
      </c>
      <c r="E46" s="23">
        <f>-$H$13*E44</f>
        <v>-3023916</v>
      </c>
      <c r="F46" s="23">
        <f>-$H$13*F44</f>
        <v>-3183484.1639999999</v>
      </c>
      <c r="G46" s="23">
        <f>-$H$13*G44</f>
        <v>-3346766.9347560001</v>
      </c>
      <c r="H46" s="23">
        <f>-$H$13*H44</f>
        <v>-3513826.3923639199</v>
      </c>
    </row>
    <row r="47" spans="1:8" x14ac:dyDescent="0.15">
      <c r="D47" s="22"/>
      <c r="E47" s="22"/>
      <c r="F47" s="22"/>
      <c r="G47" s="22"/>
      <c r="H47" s="22"/>
    </row>
    <row r="48" spans="1:8" x14ac:dyDescent="0.15">
      <c r="A48" s="1" t="s">
        <v>82</v>
      </c>
      <c r="D48" s="22">
        <f>D44+D46</f>
        <v>6692000</v>
      </c>
      <c r="E48" s="22">
        <f>E44+E46</f>
        <v>7055804</v>
      </c>
      <c r="F48" s="22">
        <f>F44+F46</f>
        <v>7428129.7159999898</v>
      </c>
      <c r="G48" s="22">
        <f>G44+G46</f>
        <v>7809122.8477640003</v>
      </c>
      <c r="H48" s="22">
        <f>H44+H46</f>
        <v>8198928.24884916</v>
      </c>
    </row>
    <row r="49" spans="1:8" x14ac:dyDescent="0.15">
      <c r="D49" s="22"/>
      <c r="E49" s="22"/>
      <c r="F49" s="22"/>
      <c r="G49" s="22"/>
      <c r="H49" s="22"/>
    </row>
    <row r="50" spans="1:8" x14ac:dyDescent="0.15">
      <c r="A50" s="1" t="s">
        <v>83</v>
      </c>
    </row>
    <row r="51" spans="1:8" x14ac:dyDescent="0.15">
      <c r="A51" s="1" t="s">
        <v>84</v>
      </c>
      <c r="D51" s="22">
        <f>-D39</f>
        <v>10000000</v>
      </c>
      <c r="E51" s="22">
        <f>-E39</f>
        <v>10000000</v>
      </c>
      <c r="F51" s="22">
        <f>-F39</f>
        <v>10000000</v>
      </c>
      <c r="G51" s="22">
        <f>-G39</f>
        <v>10000000</v>
      </c>
      <c r="H51" s="22">
        <f>-H39</f>
        <v>10000000</v>
      </c>
    </row>
    <row r="52" spans="1:8" x14ac:dyDescent="0.15">
      <c r="A52" s="1" t="s">
        <v>85</v>
      </c>
      <c r="D52" s="28">
        <f>-$H$14</f>
        <v>-800000</v>
      </c>
      <c r="E52" s="28">
        <f>-$H$14</f>
        <v>-800000</v>
      </c>
      <c r="F52" s="28">
        <f>-$H$14</f>
        <v>-800000</v>
      </c>
      <c r="G52" s="28">
        <f>-$H$14</f>
        <v>-800000</v>
      </c>
      <c r="H52" s="28">
        <f>-$H$14</f>
        <v>-800000</v>
      </c>
    </row>
    <row r="53" spans="1:8" x14ac:dyDescent="0.15">
      <c r="A53" s="1" t="s">
        <v>86</v>
      </c>
      <c r="D53" s="22">
        <f>D48+D51+D52</f>
        <v>15892000</v>
      </c>
      <c r="E53" s="22">
        <f>E48+E51+E52</f>
        <v>16255804</v>
      </c>
      <c r="F53" s="22">
        <f>F48+F51+F52</f>
        <v>16628129.716</v>
      </c>
      <c r="G53" s="22">
        <f>G48+G51+G52</f>
        <v>17009122.847764</v>
      </c>
      <c r="H53" s="22">
        <f>H48+H51+H52</f>
        <v>17398928.248849198</v>
      </c>
    </row>
    <row r="55" spans="1:8" x14ac:dyDescent="0.15">
      <c r="A55" s="29" t="s">
        <v>87</v>
      </c>
      <c r="B55" s="29"/>
      <c r="C55" s="30">
        <f>C18+C29+C53</f>
        <v>-54240109.589041099</v>
      </c>
      <c r="D55" s="30">
        <f>D19+D29+D53</f>
        <v>15769036.8219178</v>
      </c>
      <c r="E55" s="30">
        <f>E19+E29+E53</f>
        <v>16129274.889753399</v>
      </c>
      <c r="F55" s="30">
        <f>F19+F29+F53</f>
        <v>16497931.261556299</v>
      </c>
      <c r="G55" s="30">
        <f>G19+G29+G53</f>
        <v>16875148.638141401</v>
      </c>
      <c r="H55" s="30">
        <f>H21+H29+H53</f>
        <v>24952702.7902853</v>
      </c>
    </row>
    <row r="57" spans="1:8" ht="15" x14ac:dyDescent="0.2">
      <c r="A57" s="1" t="s">
        <v>88</v>
      </c>
      <c r="C57" s="26">
        <f t="shared" ref="C57:H57" si="1">C55/(1+$H$12)^C16</f>
        <v>-54240109.589041099</v>
      </c>
      <c r="D57" s="26">
        <f t="shared" si="1"/>
        <v>13340978.698745999</v>
      </c>
      <c r="E57" s="26">
        <f t="shared" si="1"/>
        <v>11544626.597033201</v>
      </c>
      <c r="F57" s="26">
        <f t="shared" si="1"/>
        <v>9990266.1905565392</v>
      </c>
      <c r="G57" s="26">
        <f t="shared" si="1"/>
        <v>8645252.8685224298</v>
      </c>
      <c r="H57" s="26">
        <f t="shared" si="1"/>
        <v>10815091.8227014</v>
      </c>
    </row>
    <row r="59" spans="1:8" x14ac:dyDescent="0.15">
      <c r="A59" s="31" t="s">
        <v>89</v>
      </c>
      <c r="B59" s="32"/>
      <c r="C59" s="33">
        <f>NPV($H$12,D55:H55)+C55</f>
        <v>96106.588518492907</v>
      </c>
    </row>
    <row r="60" spans="1:8" x14ac:dyDescent="0.15">
      <c r="A60" s="34" t="s">
        <v>90</v>
      </c>
      <c r="B60" s="35"/>
      <c r="C60" s="36">
        <f>IRR(C55:H55)</f>
        <v>0.182733664439723</v>
      </c>
    </row>
    <row r="61" spans="1:8" x14ac:dyDescent="0.15">
      <c r="A61" s="34" t="s">
        <v>91</v>
      </c>
      <c r="B61" s="35"/>
      <c r="C61" s="37">
        <f>IF(D55&gt;ABS(C55),0+ABS(C55)/D55,IF(SUM(D55:E55)&gt;ABS(C55),1+(ABS(C55)-D55)/E55,IF(SUM(D55:F55)&gt;ABS(C55),2+(ABS(C55)-SUM(D55+E55)/F55),IF(SUM(D55:G55)&gt;ABS(C55),3+(ABS(C55)-SUM(D55:F55))/G55,IF(SUM(D55:H55)&gt;ABS(C55),4+(ABS(C55)-SUM(D55:G55))/H55)))))</f>
        <v>3.3463001565867798</v>
      </c>
    </row>
    <row r="62" spans="1:8" x14ac:dyDescent="0.15">
      <c r="A62" s="34" t="s">
        <v>92</v>
      </c>
      <c r="B62" s="35"/>
      <c r="C62" s="38">
        <f>IF(D57&gt;ABS(C57),0+ABS(C57)/D57,IF(SUM(D57:E57)&gt;ABS(C57),1+(ABS(C57)-D57)/E57,IF(SUM(D57:F57)&gt;ABS(C57),2+(ABS(C57)-SUM(D57+E57)/F57),IF(SUM(D57:G57)&gt;ABS(C57),3+(ABS(C57)-SUM(D57:F57))/G57,IF(SUM(D57:H57)&gt;ABS(C57),4+(ABS(C57)-SUM(D57:G57))/H57)))))</f>
        <v>4.9911136594960102</v>
      </c>
    </row>
    <row r="63" spans="1:8" x14ac:dyDescent="0.15">
      <c r="A63" s="39" t="s">
        <v>93</v>
      </c>
      <c r="B63" s="40"/>
      <c r="C63" s="41">
        <f>NPV($H$12,D55:H55)/-C55</f>
        <v>1.001771873052</v>
      </c>
    </row>
    <row r="65" spans="3:7" x14ac:dyDescent="0.15">
      <c r="C65" s="22"/>
      <c r="D65" s="22"/>
      <c r="E65" s="22"/>
      <c r="F65" s="22"/>
      <c r="G65" s="22"/>
    </row>
  </sheetData>
  <mergeCells count="2">
    <mergeCell ref="E5:F5"/>
    <mergeCell ref="E6:F6"/>
  </mergeCells>
  <pageMargins left="0.75" right="0.75" top="1" bottom="1" header="0.5" footer="0.5"/>
  <pageSetup scale="7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Exhibit2</vt:lpstr>
      <vt:lpstr>Appendix 1</vt:lpstr>
      <vt:lpstr>Appendix 2</vt:lpstr>
      <vt:lpstr>TN1-a</vt:lpstr>
      <vt:lpstr>TN1-b</vt:lpstr>
      <vt:lpstr>TN1-c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Microsoft Office User</cp:lastModifiedBy>
  <cp:lastPrinted>2012-05-10T21:50:00Z</cp:lastPrinted>
  <dcterms:created xsi:type="dcterms:W3CDTF">2011-09-22T14:22:00Z</dcterms:created>
  <dcterms:modified xsi:type="dcterms:W3CDTF">2025-03-16T08:59:38Z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59C5529EE300465C8464BC6C3B0A91E8_13</vt:lpwstr>
  </property>
  <property fmtid="{D5CDD505-2E9C-101B-9397-08002B2CF9AE}" pid="3" name="KSOProductBuildVer">
    <vt:lpwstr>2052-12.1.0.19302</vt:lpwstr>
  </property>
</Properties>
</file>