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<sst xmlns="http://schemas.openxmlformats.org/spreadsheetml/2006/main" uniqueCount="1266">
  <si>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</si>
  <si>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</si>
  <si>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</si>
  <si>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</si>
  <si>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</si>
  <si>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</si>
  <si>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</si>
  <si>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</si>
  <si>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</si>
  <si>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</si>
  <si>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</si>
  <si>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</si>
  <si>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</si>
  <si>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PM4756521</t>
  </si>
  <si>
    <t>KwaZulu Natal</t>
  </si>
  <si>
    <t>Malvern Convenience Centre</t>
  </si>
  <si>
    <t>PM4775293</t>
  </si>
  <si>
    <t>Nyala 1 Stop</t>
  </si>
  <si>
    <t>PM4798644</t>
  </si>
  <si>
    <t>Brighton Beach Service Station</t>
  </si>
  <si>
    <t>PM4791460</t>
  </si>
  <si>
    <t>Old Mill Convenience Centre</t>
  </si>
  <si>
    <t>PM4791403</t>
  </si>
  <si>
    <t>PM4792036</t>
  </si>
  <si>
    <t xml:space="preserve">Cato 1 Stop </t>
  </si>
  <si>
    <t>PM4795166</t>
  </si>
  <si>
    <t>Nkandla Motors</t>
  </si>
  <si>
    <t>PM4746716</t>
  </si>
  <si>
    <t>GORAS CONVENIENCE</t>
  </si>
  <si>
    <t>PM4748279</t>
  </si>
  <si>
    <t>Waterside Convenience Centre</t>
  </si>
  <si>
    <t>PM4754666</t>
  </si>
  <si>
    <t>PM4789965</t>
  </si>
  <si>
    <t>North Coast 1 Stop South</t>
  </si>
  <si>
    <t>PM4771117</t>
  </si>
  <si>
    <t>J Motors</t>
  </si>
  <si>
    <t>PM4785038</t>
  </si>
  <si>
    <t>PM4785138</t>
  </si>
  <si>
    <t>Ezray Convenience Centre</t>
  </si>
  <si>
    <t>PM4764494</t>
  </si>
  <si>
    <t>PM4791359</t>
  </si>
  <si>
    <t>The Stamford Convenience Centre</t>
  </si>
  <si>
    <t>PM4770276</t>
  </si>
  <si>
    <t>Fairway Convenience Centre</t>
  </si>
  <si>
    <t>PMProject-Jody</t>
  </si>
  <si>
    <t>Glazer Motors</t>
  </si>
  <si>
    <t>PM4818263</t>
  </si>
  <si>
    <t>Bayview Motors</t>
  </si>
  <si>
    <t>PM4795993</t>
  </si>
  <si>
    <t>PM4781419</t>
  </si>
  <si>
    <t>Queensburgh</t>
  </si>
  <si>
    <t>PM4793112</t>
  </si>
  <si>
    <t>RIVERHORSE VALLEY</t>
  </si>
  <si>
    <t>PM4791940</t>
  </si>
  <si>
    <t>Fairyville Holdings Conv Centre</t>
  </si>
  <si>
    <t>PM4793533</t>
  </si>
  <si>
    <t>PM4799814</t>
  </si>
  <si>
    <t>PM4808026</t>
  </si>
  <si>
    <t>Alton Convenience Centre</t>
  </si>
  <si>
    <t>PM4800735</t>
  </si>
  <si>
    <t>Lotus Convenience Centre</t>
  </si>
  <si>
    <t>PM4770516</t>
  </si>
  <si>
    <t>Western Cape</t>
  </si>
  <si>
    <t>Westgate Convenience Centre</t>
  </si>
  <si>
    <t>PM4773468</t>
  </si>
  <si>
    <t>La Rochelle Service Station</t>
  </si>
  <si>
    <t>PM4794983</t>
  </si>
  <si>
    <t>Gauteng</t>
  </si>
  <si>
    <t>Vaal 1 Stop West</t>
  </si>
  <si>
    <t>PM4792435</t>
  </si>
  <si>
    <t>N3 Truck Stop</t>
  </si>
  <si>
    <t>PM4814052</t>
  </si>
  <si>
    <t>Summerfileds</t>
  </si>
  <si>
    <t>Nompiliso Chauke</t>
  </si>
  <si>
    <t>PM4756630</t>
  </si>
  <si>
    <t>Belfast 1 Stop</t>
  </si>
  <si>
    <t>PM4652521</t>
  </si>
  <si>
    <t>Nirvana F Stn</t>
  </si>
  <si>
    <t>PM4802704</t>
  </si>
  <si>
    <t>Mabopane Motors</t>
  </si>
  <si>
    <t>PM4818029</t>
  </si>
  <si>
    <t xml:space="preserve">Osizweni Motors </t>
  </si>
  <si>
    <t>Makgetha Nteo</t>
  </si>
  <si>
    <t>PM4810523</t>
  </si>
  <si>
    <t>PM4676909</t>
  </si>
  <si>
    <t>Parkland</t>
  </si>
  <si>
    <t>PM4682080</t>
  </si>
  <si>
    <t>PM4757891</t>
  </si>
  <si>
    <t>FBM Motor CC</t>
  </si>
  <si>
    <t>PM4704813</t>
  </si>
  <si>
    <t>PM4801583</t>
  </si>
  <si>
    <t>Lombardy S/stn</t>
  </si>
  <si>
    <t>PM4790062</t>
  </si>
  <si>
    <t>Naledi CC</t>
  </si>
  <si>
    <t>PM4791708</t>
  </si>
  <si>
    <t>Rudan 1 Stop</t>
  </si>
  <si>
    <t>PM4779528</t>
  </si>
  <si>
    <t>Market Gateway</t>
  </si>
  <si>
    <t>PM4748555</t>
  </si>
  <si>
    <t xml:space="preserve">Paardekraal </t>
  </si>
  <si>
    <t>PM4762686</t>
  </si>
  <si>
    <t>Skinner Str Motors</t>
  </si>
  <si>
    <t>PM4796556</t>
  </si>
  <si>
    <t>PM4816061</t>
  </si>
  <si>
    <t xml:space="preserve">Devland Conv. Cen </t>
  </si>
  <si>
    <t>PM4791332</t>
  </si>
  <si>
    <t xml:space="preserve">Zak's F/stn </t>
  </si>
  <si>
    <t>PM4812269</t>
  </si>
  <si>
    <t>PM4724190</t>
  </si>
  <si>
    <t>Kloof Motors</t>
  </si>
  <si>
    <t>Sbusiso Ngcobo</t>
  </si>
  <si>
    <t>PM4761347</t>
  </si>
  <si>
    <t>Engen Plaza</t>
  </si>
  <si>
    <t>PM4761285</t>
  </si>
  <si>
    <t>Siyathela S.s</t>
  </si>
  <si>
    <t>PM4782840</t>
  </si>
  <si>
    <t>Mountainview Conv Ctr.</t>
  </si>
  <si>
    <t>PM4762810</t>
  </si>
  <si>
    <t>Engen Dalpark</t>
  </si>
  <si>
    <t>PM4819100</t>
  </si>
  <si>
    <t>Mohlakeng</t>
  </si>
  <si>
    <t>PM4761583</t>
  </si>
  <si>
    <t>Sun City S Stn (zenex)</t>
  </si>
  <si>
    <t>PM4761010</t>
  </si>
  <si>
    <t>PM4801453</t>
  </si>
  <si>
    <t>Cozzy Corner (ex Welcome)</t>
  </si>
  <si>
    <t>PM4817401</t>
  </si>
  <si>
    <t>Boss  Ser Stn</t>
  </si>
  <si>
    <t>PM4784548</t>
  </si>
  <si>
    <t>PM4791217</t>
  </si>
  <si>
    <t>Jack Street Cc</t>
  </si>
  <si>
    <t>PM4778313</t>
  </si>
  <si>
    <t>MDM Motors</t>
  </si>
  <si>
    <t>PM4763373</t>
  </si>
  <si>
    <t>Selcourt S/stn</t>
  </si>
  <si>
    <t>PM4782729</t>
  </si>
  <si>
    <t>Grasmere 1 Stop South</t>
  </si>
  <si>
    <t>PM4778370</t>
  </si>
  <si>
    <t>Radebe Motors</t>
  </si>
  <si>
    <t>PM4787262</t>
  </si>
  <si>
    <t>Blockhouse 1 Stop South</t>
  </si>
  <si>
    <t>PM4805519</t>
  </si>
  <si>
    <t>Allandale</t>
  </si>
  <si>
    <t>PM4809847</t>
  </si>
  <si>
    <t>Engen Klopperpark</t>
  </si>
  <si>
    <t>PM4802255</t>
  </si>
  <si>
    <t>Verwoerdpark Ss</t>
  </si>
  <si>
    <t>PM4790270</t>
  </si>
  <si>
    <t>ENGEN FOCHVILLE</t>
  </si>
  <si>
    <t>PM4789712</t>
  </si>
  <si>
    <t>PM4786480</t>
  </si>
  <si>
    <t>Kritzinger Ss</t>
  </si>
  <si>
    <t>PM4810800</t>
  </si>
  <si>
    <t>PM4785491</t>
  </si>
  <si>
    <t>PM4790242</t>
  </si>
  <si>
    <t>PM4792340</t>
  </si>
  <si>
    <t>T &amp; K S.s</t>
  </si>
  <si>
    <t>PM4792916</t>
  </si>
  <si>
    <t>PM4802105</t>
  </si>
  <si>
    <t>Prinshof Motors</t>
  </si>
  <si>
    <t>PM4793842</t>
  </si>
  <si>
    <t>PM4802008</t>
  </si>
  <si>
    <t>Ridderpark Motors</t>
  </si>
  <si>
    <t>PM4814547</t>
  </si>
  <si>
    <t>PM4814898</t>
  </si>
  <si>
    <t>All Africa Village</t>
  </si>
  <si>
    <t>PM4815804</t>
  </si>
  <si>
    <t>Grasmere 1 Stop North</t>
  </si>
  <si>
    <t>PM4810778</t>
  </si>
  <si>
    <t>PM4810812</t>
  </si>
  <si>
    <t>PM4809889</t>
  </si>
  <si>
    <t>PLATINUM 1 STOP WEST</t>
  </si>
  <si>
    <t>PM4819198</t>
  </si>
  <si>
    <t>Brackenten S/s</t>
  </si>
  <si>
    <t>PM4807884</t>
  </si>
  <si>
    <t>PM4788540</t>
  </si>
  <si>
    <t>Simphiwe Gift Kunene</t>
  </si>
  <si>
    <t>01 Apr 2022</t>
  </si>
  <si>
    <t>PM4811881</t>
  </si>
  <si>
    <t>01 Aug 2022</t>
  </si>
  <si>
    <t>PM4812025</t>
  </si>
  <si>
    <t>PM4798327</t>
  </si>
  <si>
    <t>Tswlawelo Convenience</t>
  </si>
  <si>
    <t>Lunga Mvelase</t>
  </si>
  <si>
    <t>01 Jun 2022</t>
  </si>
  <si>
    <t>PM4754647</t>
  </si>
  <si>
    <t>Hippo Park</t>
  </si>
  <si>
    <t>01 Mar 2022</t>
  </si>
  <si>
    <t>PM4780896</t>
  </si>
  <si>
    <t>Springlake Convenience Centre</t>
  </si>
  <si>
    <t>PM4781786</t>
  </si>
  <si>
    <t>North Coast 1 stop North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</si>
  <si>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</si>
  <si>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</si>
  <si>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</si>
  <si>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</si>
  <si>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</si>
  <si>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</si>
  <si>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</si>
  <si>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</si>
  <si>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</si>
  <si>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</si>
  <si>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</si>
  <si>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02 Aug 2021</t>
  </si>
  <si>
    <t>PM4805452</t>
  </si>
  <si>
    <t>Mondlano Convenience</t>
  </si>
  <si>
    <t>02 Aug 2022</t>
  </si>
  <si>
    <t>PM4773584</t>
  </si>
  <si>
    <t>Engen Charis Convenience</t>
  </si>
  <si>
    <t>Mandla Jama</t>
  </si>
  <si>
    <t>02 Mar 2022</t>
  </si>
  <si>
    <t>PM4779117</t>
  </si>
  <si>
    <t>ZAKARIYYA PARK</t>
  </si>
  <si>
    <t>PM4779617</t>
  </si>
  <si>
    <t>PM4744921.</t>
  </si>
  <si>
    <t>02 Sep 2021</t>
  </si>
  <si>
    <t>PM4818020</t>
  </si>
  <si>
    <t>New Market Ss</t>
  </si>
  <si>
    <t>Siphiwe Masango</t>
  </si>
  <si>
    <t>02 Sep 2022</t>
  </si>
  <si>
    <t>PM4817869</t>
  </si>
  <si>
    <t>Zenex Spartan</t>
  </si>
  <si>
    <t>PM4815764</t>
  </si>
  <si>
    <t>Randeree Service Station</t>
  </si>
  <si>
    <t>PM4715057</t>
  </si>
  <si>
    <t>City Deep Quick Stop</t>
  </si>
  <si>
    <t>03 Apr 2021</t>
  </si>
  <si>
    <t>PM4811373</t>
  </si>
  <si>
    <t>Ballito Convenience Centre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</si>
  <si>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</si>
  <si>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</si>
  <si>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</si>
  <si>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</si>
  <si>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</si>
  <si>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</si>
  <si>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</si>
  <si>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PM4800719</t>
  </si>
  <si>
    <t>Golden Harvest (ex Zenex)</t>
  </si>
  <si>
    <t>Thivhonali Nelwamondo</t>
  </si>
  <si>
    <t>PM4711672</t>
  </si>
  <si>
    <t>Basil Bure Convenience Centre</t>
  </si>
  <si>
    <t>03 Mar 2021</t>
  </si>
  <si>
    <t>PM4711653</t>
  </si>
  <si>
    <t>4505746781/10</t>
  </si>
  <si>
    <t xml:space="preserve">Bryanston Cc </t>
  </si>
  <si>
    <t>PM4781486</t>
  </si>
  <si>
    <t>03 Mar 2022</t>
  </si>
  <si>
    <t>PM4792406</t>
  </si>
  <si>
    <t>Teds Convenience</t>
  </si>
  <si>
    <t>03 May 2022</t>
  </si>
  <si>
    <t>PM4793020</t>
  </si>
  <si>
    <t>ILALA CONVENIENCE</t>
  </si>
  <si>
    <t>PM4793980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</si>
  <si>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</si>
  <si>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</si>
  <si>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</si>
  <si>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</si>
  <si>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</si>
  <si>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</si>
  <si>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</si>
  <si>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</si>
  <si>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</si>
  <si>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Hilltop Ser Stn</t>
  </si>
  <si>
    <t>04 Aug 2021</t>
  </si>
  <si>
    <t>PM4808811</t>
  </si>
  <si>
    <t>Woodhurst Convenience Centre</t>
  </si>
  <si>
    <t>04 Aug 2022</t>
  </si>
  <si>
    <t>PM4811345</t>
  </si>
  <si>
    <t>PM4691431</t>
  </si>
  <si>
    <t>04 Dec 2020</t>
  </si>
  <si>
    <t>PM4764169</t>
  </si>
  <si>
    <t>04 Feb 2022</t>
  </si>
  <si>
    <t>PM4765832</t>
  </si>
  <si>
    <t>PM4805908</t>
  </si>
  <si>
    <t>Polo Pony Convenience</t>
  </si>
  <si>
    <t>04 Jul 2022</t>
  </si>
  <si>
    <t>PM4802760</t>
  </si>
  <si>
    <t>Damdoryn Motors</t>
  </si>
  <si>
    <t>PM4806824</t>
  </si>
  <si>
    <t>PM4799991</t>
  </si>
  <si>
    <t>04 Jun 2022</t>
  </si>
  <si>
    <t>PM6495461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</si>
  <si>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</si>
  <si>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</si>
  <si>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</si>
  <si>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</si>
  <si>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</si>
  <si>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</si>
  <si>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</si>
  <si>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</si>
  <si>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</si>
  <si>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</si>
  <si>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</si>
  <si>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</si>
  <si>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</si>
  <si>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</si>
  <si>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</si>
  <si>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</si>
  <si>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</si>
  <si>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</si>
  <si>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</si>
  <si>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</si>
  <si>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</si>
  <si>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</si>
  <si>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PM4794751</t>
  </si>
  <si>
    <t>PM4794817</t>
  </si>
  <si>
    <t>PM4753836</t>
  </si>
  <si>
    <t>Island Park Convenience Centre</t>
  </si>
  <si>
    <t>04 Nov 2021</t>
  </si>
  <si>
    <t>PM4757679</t>
  </si>
  <si>
    <t>Tugela 1 Stop North</t>
  </si>
  <si>
    <t>PM4735462</t>
  </si>
  <si>
    <t>Kana S.s</t>
  </si>
  <si>
    <t>04 Sep 2021</t>
  </si>
  <si>
    <t>PM4789097</t>
  </si>
  <si>
    <t>Northway Convenience Centre</t>
  </si>
  <si>
    <t>05 Apr 2022</t>
  </si>
  <si>
    <t>PM4788926</t>
  </si>
  <si>
    <t>Shelly Convenience</t>
  </si>
  <si>
    <t>PM4739339</t>
  </si>
  <si>
    <t>05 Aug 2021</t>
  </si>
  <si>
    <t>PM4807137</t>
  </si>
  <si>
    <t>05 Aug 2022</t>
  </si>
  <si>
    <t>PM4813066</t>
  </si>
  <si>
    <t>Wierdapark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</si>
  <si>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</si>
  <si>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</si>
  <si>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</si>
  <si>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</si>
  <si>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</si>
  <si>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</si>
  <si>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</si>
  <si>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</si>
  <si>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PM4794969</t>
  </si>
  <si>
    <t>Main Motors</t>
  </si>
  <si>
    <t>05 May 2022</t>
  </si>
  <si>
    <t>PM4750545</t>
  </si>
  <si>
    <t>05 Oct 2021</t>
  </si>
  <si>
    <t>PM4815561</t>
  </si>
  <si>
    <t>05 Sep 2022</t>
  </si>
  <si>
    <t>PM4817649</t>
  </si>
  <si>
    <t>Henley Crowthorne</t>
  </si>
  <si>
    <t>PM4818510</t>
  </si>
  <si>
    <t>Mayberry Park Ss</t>
  </si>
  <si>
    <t>PM4817626</t>
  </si>
  <si>
    <t>Palm Convenience Centre</t>
  </si>
  <si>
    <t>PM4817805</t>
  </si>
  <si>
    <t>Ushaka Convenience Centre</t>
  </si>
  <si>
    <t>PM4818530</t>
  </si>
  <si>
    <t>Evaton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</si>
  <si>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</si>
  <si>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</si>
  <si>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</si>
  <si>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</si>
  <si>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</si>
  <si>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</si>
  <si>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</si>
  <si>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</si>
  <si>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PM4783132</t>
  </si>
  <si>
    <t>Nompilo Motors</t>
  </si>
  <si>
    <t>06 Apr 2022</t>
  </si>
  <si>
    <t>PM4783744</t>
  </si>
  <si>
    <t>Minty's Of Market Str</t>
  </si>
  <si>
    <t>PM4784770</t>
  </si>
  <si>
    <t>PM4741457</t>
  </si>
  <si>
    <t>Fomiss Auto</t>
  </si>
  <si>
    <t>06 Aug 2021</t>
  </si>
  <si>
    <t>PM4807575</t>
  </si>
  <si>
    <t>06 Jul 2022</t>
  </si>
  <si>
    <t>PM4807192</t>
  </si>
  <si>
    <t>Birchleigh Cc</t>
  </si>
  <si>
    <t>PM4792420</t>
  </si>
  <si>
    <t>06 Jun 2022</t>
  </si>
  <si>
    <t>PM4790777</t>
  </si>
  <si>
    <t>Duzi Convenience Centre</t>
  </si>
  <si>
    <t>PM4800102</t>
  </si>
  <si>
    <t>Mooi 1 Stop</t>
  </si>
  <si>
    <t>PM4770503</t>
  </si>
  <si>
    <t>Engen Hillcrest</t>
  </si>
  <si>
    <t>PM4801651</t>
  </si>
  <si>
    <t>PM4751604</t>
  </si>
  <si>
    <t>06 Oct 2021</t>
  </si>
  <si>
    <t>PM4818672</t>
  </si>
  <si>
    <t>06 Sep 2022</t>
  </si>
  <si>
    <t>PM4818596</t>
  </si>
  <si>
    <t>Coastal Centre</t>
  </si>
  <si>
    <t>PM4816653</t>
  </si>
  <si>
    <t>Pavilion Convenience</t>
  </si>
  <si>
    <t>PM4818520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</si>
  <si>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</si>
  <si>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</si>
  <si>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</si>
  <si>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</si>
  <si>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</si>
  <si>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</si>
  <si>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</si>
  <si>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</si>
  <si>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</si>
  <si>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</si>
  <si>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</si>
  <si>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</si>
  <si>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PM4778633</t>
  </si>
  <si>
    <t>07 Mar 2022</t>
  </si>
  <si>
    <t>PM4781702</t>
  </si>
  <si>
    <t>PM4783223</t>
  </si>
  <si>
    <t>Restonvale</t>
  </si>
  <si>
    <t>PM4747107</t>
  </si>
  <si>
    <t>Nu-south S/stn</t>
  </si>
  <si>
    <t>07 Sep 2021</t>
  </si>
  <si>
    <t>PM4828417</t>
  </si>
  <si>
    <t xml:space="preserve">City Convenience </t>
  </si>
  <si>
    <t>07 Sep 2022</t>
  </si>
  <si>
    <t>PM4818967</t>
  </si>
  <si>
    <t>Alfa Boksburg</t>
  </si>
  <si>
    <t>PM4789280</t>
  </si>
  <si>
    <t>08 Apr 2022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</si>
  <si>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</si>
  <si>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</si>
  <si>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</si>
  <si>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</si>
  <si>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</si>
  <si>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</si>
  <si>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</si>
  <si>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</si>
  <si>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Norkempark</t>
  </si>
  <si>
    <t>08 Dec 2020</t>
  </si>
  <si>
    <t>PM4799419</t>
  </si>
  <si>
    <t>08 Jul 2022</t>
  </si>
  <si>
    <t>PM4807752</t>
  </si>
  <si>
    <t>Kempton Park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</si>
  <si>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</si>
  <si>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</si>
  <si>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</si>
  <si>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</si>
  <si>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</si>
  <si>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</si>
  <si>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</si>
  <si>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PM4747834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</si>
  <si>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</si>
  <si>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</si>
  <si>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</si>
  <si>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</si>
  <si>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</si>
  <si>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</si>
  <si>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</si>
  <si>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Tsakane</t>
  </si>
  <si>
    <t>PM4762939</t>
  </si>
  <si>
    <t>Duneden S.s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</si>
  <si>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</si>
  <si>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</si>
  <si>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</si>
  <si>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</si>
  <si>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</si>
  <si>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</si>
  <si>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</si>
  <si>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PM4769392</t>
  </si>
  <si>
    <t>Hayfields Service Centre</t>
  </si>
  <si>
    <t>09 Feb 2022</t>
  </si>
  <si>
    <t>PM4766496</t>
  </si>
  <si>
    <t>PM4736468</t>
  </si>
  <si>
    <t>Morningside Convenience Centre</t>
  </si>
  <si>
    <t>09 Jul 2021</t>
  </si>
  <si>
    <t>PM4728054</t>
  </si>
  <si>
    <t>09 Jun 2021</t>
  </si>
  <si>
    <t>PM4783755</t>
  </si>
  <si>
    <t>09 Mar 2022</t>
  </si>
  <si>
    <t>PM4785406</t>
  </si>
  <si>
    <t>09 May 2022</t>
  </si>
  <si>
    <t>PM4786915</t>
  </si>
  <si>
    <t>PM4814358</t>
  </si>
  <si>
    <t>G T Motors</t>
  </si>
  <si>
    <t>09 Sep 2022</t>
  </si>
  <si>
    <t>PM4819218</t>
  </si>
  <si>
    <t>PM4819666</t>
  </si>
  <si>
    <t>PM4819379</t>
  </si>
  <si>
    <t>New Park Convenience Centre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</si>
  <si>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</si>
  <si>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</si>
  <si>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</si>
  <si>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</si>
  <si>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</si>
  <si>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</si>
  <si>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PM4755289</t>
  </si>
  <si>
    <t>Engen Standerton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</si>
  <si>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</si>
  <si>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</si>
  <si>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</si>
  <si>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</si>
  <si>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</si>
  <si>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</si>
  <si>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</si>
  <si>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PM4802241</t>
  </si>
  <si>
    <t>PM4788479</t>
  </si>
  <si>
    <t>Kraaifontein Motors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</si>
  <si>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</si>
  <si>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</si>
  <si>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</si>
  <si>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</si>
  <si>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</si>
  <si>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</si>
  <si>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</si>
  <si>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</si>
  <si>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PM4767328</t>
  </si>
  <si>
    <t>11 Feb 2022</t>
  </si>
  <si>
    <t>PM4807999</t>
  </si>
  <si>
    <t>Skystop</t>
  </si>
  <si>
    <t>11 Jul 2022</t>
  </si>
  <si>
    <t>PM4808306</t>
  </si>
  <si>
    <t>PM4704219</t>
  </si>
  <si>
    <t>4505774988/170</t>
  </si>
  <si>
    <t>11 Mar 2021</t>
  </si>
  <si>
    <t>PM4750795</t>
  </si>
  <si>
    <t>11 Mar 2022</t>
  </si>
  <si>
    <t>PM4795479</t>
  </si>
  <si>
    <t>Highway Gardens S.s</t>
  </si>
  <si>
    <t>11 May 2022</t>
  </si>
  <si>
    <t>PM4745817</t>
  </si>
  <si>
    <t>11 Oct 2021</t>
  </si>
  <si>
    <t>PM4707702</t>
  </si>
  <si>
    <t>Bassonia Johannesburg South</t>
  </si>
  <si>
    <t>12 Apr 2021</t>
  </si>
  <si>
    <t>PM4813810</t>
  </si>
  <si>
    <t>4506062822 / 20</t>
  </si>
  <si>
    <t>12 Aug 2022</t>
  </si>
  <si>
    <t>PM4813831</t>
  </si>
  <si>
    <t>PM4813069</t>
  </si>
  <si>
    <t>Hughes Park</t>
  </si>
  <si>
    <t>PM4806385</t>
  </si>
  <si>
    <t>Rockview Service Station</t>
  </si>
  <si>
    <t>PM4743203</t>
  </si>
  <si>
    <t>12 Jan 2022</t>
  </si>
  <si>
    <t>PM473594</t>
  </si>
  <si>
    <t>Caroline Conv. Cen</t>
  </si>
  <si>
    <t>12 Jul 2021</t>
  </si>
  <si>
    <t>PM4736274</t>
  </si>
  <si>
    <t>PM4808017</t>
  </si>
  <si>
    <t>Rosedene Conv Cen</t>
  </si>
  <si>
    <t>12 Jul 2022</t>
  </si>
  <si>
    <t>PM4798231</t>
  </si>
  <si>
    <t xml:space="preserve">Engen Isando </t>
  </si>
  <si>
    <t>PM4728866</t>
  </si>
  <si>
    <t>12 Jun 2021</t>
  </si>
  <si>
    <t>PM4711509</t>
  </si>
  <si>
    <t>Engen Van Buuren</t>
  </si>
  <si>
    <t>12 Mar 2021</t>
  </si>
  <si>
    <t>PM4710843</t>
  </si>
  <si>
    <t>Marimba Gardens Ss</t>
  </si>
  <si>
    <t>PM4712300</t>
  </si>
  <si>
    <t>QAYUM FILLING</t>
  </si>
  <si>
    <t>PM4752478</t>
  </si>
  <si>
    <t>J &amp; J Van Ryneveld</t>
  </si>
  <si>
    <t>12 Oct 2021</t>
  </si>
  <si>
    <t>PM4819794</t>
  </si>
  <si>
    <t>12 Sep 2022</t>
  </si>
  <si>
    <t>PM4819565</t>
  </si>
  <si>
    <t>Campus Motors</t>
  </si>
  <si>
    <t>PM4819080</t>
  </si>
  <si>
    <t>Pongola 1 Stop</t>
  </si>
  <si>
    <t>PM4692556</t>
  </si>
  <si>
    <t>Hilltop S/s</t>
  </si>
  <si>
    <t>13 Apr 2021</t>
  </si>
  <si>
    <t>PM4716974</t>
  </si>
  <si>
    <t>4505765986/140</t>
  </si>
  <si>
    <t>PM4814106</t>
  </si>
  <si>
    <t>13 Aug 2022</t>
  </si>
  <si>
    <t>PM4813758</t>
  </si>
  <si>
    <t>Pomona Gardens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</si>
  <si>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</si>
  <si>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</si>
  <si>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</si>
  <si>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</si>
  <si>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</si>
  <si>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</si>
  <si>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</si>
  <si>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PM4808635</t>
  </si>
  <si>
    <t>13 Jul 2022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</si>
  <si>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</si>
  <si>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</si>
  <si>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</si>
  <si>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</si>
  <si>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</si>
  <si>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</si>
  <si>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</si>
  <si>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</si>
  <si>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</si>
  <si>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</si>
  <si>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</si>
  <si>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</si>
  <si>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</si>
  <si>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</si>
  <si>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</si>
  <si>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</si>
  <si>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Rynfield Motors</t>
  </si>
  <si>
    <t>13 Oct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</si>
  <si>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</si>
  <si>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</si>
  <si>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</si>
  <si>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</si>
  <si>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</si>
  <si>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</si>
  <si>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</si>
  <si>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</si>
  <si>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</si>
  <si>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</si>
  <si>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PM4777451</t>
  </si>
  <si>
    <t>La Lucia Convenience Centre</t>
  </si>
  <si>
    <t>14 Feb 2022</t>
  </si>
  <si>
    <t>PM4768947</t>
  </si>
  <si>
    <t>PM4766215</t>
  </si>
  <si>
    <t>PM4777628</t>
  </si>
  <si>
    <t>Vosloorus S.s</t>
  </si>
  <si>
    <t>PM4758692</t>
  </si>
  <si>
    <t>14 Jan 2022</t>
  </si>
  <si>
    <t>PM4761249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</si>
  <si>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</si>
  <si>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</si>
  <si>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</si>
  <si>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</si>
  <si>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</si>
  <si>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</si>
  <si>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</si>
  <si>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PM4808901</t>
  </si>
  <si>
    <t>Shereena Motors</t>
  </si>
  <si>
    <t>PM4801879</t>
  </si>
  <si>
    <t>14 Jun 2022</t>
  </si>
  <si>
    <t>PM4779415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</si>
  <si>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</si>
  <si>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</si>
  <si>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</si>
  <si>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</si>
  <si>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</si>
  <si>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</si>
  <si>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</si>
  <si>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</si>
  <si>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Primhill S Cen</t>
  </si>
  <si>
    <t>PM4784884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</si>
  <si>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</si>
  <si>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</si>
  <si>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</si>
  <si>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</si>
  <si>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</si>
  <si>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</si>
  <si>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</si>
  <si>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</si>
  <si>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</si>
  <si>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PM4819092</t>
  </si>
  <si>
    <t>14 Sep 2022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</si>
  <si>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</si>
  <si>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</si>
  <si>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</si>
  <si>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</si>
  <si>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</si>
  <si>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</si>
  <si>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</si>
  <si>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</si>
  <si>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</si>
  <si>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</si>
  <si>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</si>
  <si>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</si>
  <si>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</si>
  <si>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</si>
  <si>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</si>
  <si>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</si>
  <si>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</si>
  <si>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</si>
  <si>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</si>
  <si>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</si>
  <si>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</si>
  <si>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</si>
  <si>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</si>
  <si>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</si>
  <si>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</si>
  <si>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</si>
  <si>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</si>
  <si>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</si>
  <si>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PM4732150</t>
  </si>
  <si>
    <t>15 Jun 2021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</si>
  <si>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</si>
  <si>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</si>
  <si>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</si>
  <si>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</si>
  <si>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</si>
  <si>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</si>
  <si>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</si>
  <si>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</si>
  <si>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</si>
  <si>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</si>
  <si>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</si>
  <si>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</si>
  <si>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</si>
  <si>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</si>
  <si>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</si>
  <si>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</si>
  <si>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</si>
  <si>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</si>
  <si>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PM4819694</t>
  </si>
  <si>
    <t>15 Sep 2022</t>
  </si>
  <si>
    <t>PM4818817</t>
  </si>
  <si>
    <t>PM4816223</t>
  </si>
  <si>
    <t>Mine Own Convenience Centre</t>
  </si>
  <si>
    <t>PM4819466</t>
  </si>
  <si>
    <t>PM4820297</t>
  </si>
  <si>
    <t>PM4820246</t>
  </si>
  <si>
    <t>Delfi Mtrs</t>
  </si>
  <si>
    <t>PM4814511</t>
  </si>
  <si>
    <t>16 Aug 2022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</si>
  <si>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</si>
  <si>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</si>
  <si>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</si>
  <si>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</si>
  <si>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</si>
  <si>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</si>
  <si>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</si>
  <si>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PM4691656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</si>
  <si>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</si>
  <si>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</si>
  <si>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</si>
  <si>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</si>
  <si>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</si>
  <si>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</si>
  <si>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</si>
  <si>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</si>
  <si>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</si>
  <si>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</si>
  <si>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</si>
  <si>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PM4808965</t>
  </si>
  <si>
    <t>16 Jul 2022</t>
  </si>
  <si>
    <t>PM4809117</t>
  </si>
  <si>
    <t>PM4783745</t>
  </si>
  <si>
    <t>16 Mar 2022</t>
  </si>
  <si>
    <t>PM4794964</t>
  </si>
  <si>
    <t>16 May 2022</t>
  </si>
  <si>
    <t>PM4797063</t>
  </si>
  <si>
    <t>PM4785486</t>
  </si>
  <si>
    <t>Dumor Motors</t>
  </si>
  <si>
    <t>PM4748600</t>
  </si>
  <si>
    <t>16 Sep 2021</t>
  </si>
  <si>
    <t>PM4819895</t>
  </si>
  <si>
    <t>16 Sep 2022</t>
  </si>
  <si>
    <t>PM4819017</t>
  </si>
  <si>
    <t>PM4819248</t>
  </si>
  <si>
    <t>Ngwenya Convenience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</si>
  <si>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</si>
  <si>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</si>
  <si>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</si>
  <si>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</si>
  <si>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</si>
  <si>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</si>
  <si>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</si>
  <si>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</si>
  <si>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</si>
  <si>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</si>
  <si>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</si>
  <si>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</si>
  <si>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</si>
  <si>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</si>
  <si>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</si>
  <si>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PM4803478</t>
  </si>
  <si>
    <t>17 Jun 2022</t>
  </si>
  <si>
    <t>PM4802072</t>
  </si>
  <si>
    <t>PM4803601</t>
  </si>
  <si>
    <t>PM4785476</t>
  </si>
  <si>
    <t>PRAKMAT CONVENIENCE</t>
  </si>
  <si>
    <t>17 Mar 2022</t>
  </si>
  <si>
    <t>PM4760515</t>
  </si>
  <si>
    <t>PM4779328</t>
  </si>
  <si>
    <t>Tahero Conv Ctr.</t>
  </si>
  <si>
    <t>PM4796594</t>
  </si>
  <si>
    <t>Mathers Garage &amp; Filling Station</t>
  </si>
  <si>
    <t>17 May 2022</t>
  </si>
  <si>
    <t>PM4796383</t>
  </si>
  <si>
    <t>Manguzi Service Station</t>
  </si>
  <si>
    <t>PM4795056</t>
  </si>
  <si>
    <t xml:space="preserve">Manguzi </t>
  </si>
  <si>
    <t>PM4795954</t>
  </si>
  <si>
    <t>PM4683506</t>
  </si>
  <si>
    <t>Harrismith Convenience Centre</t>
  </si>
  <si>
    <t>17 Nov 2020</t>
  </si>
  <si>
    <t>PM4668636</t>
  </si>
  <si>
    <t>18 Aug 2020</t>
  </si>
  <si>
    <t>PM4743330</t>
  </si>
  <si>
    <t>Tekane Motors</t>
  </si>
  <si>
    <t>18 Aug 2021</t>
  </si>
  <si>
    <t>PM4815117</t>
  </si>
  <si>
    <t>18 Aug 2022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</si>
  <si>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</si>
  <si>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</si>
  <si>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</si>
  <si>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</si>
  <si>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</si>
  <si>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</si>
  <si>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</si>
  <si>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</si>
  <si>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</si>
  <si>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</si>
  <si>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</si>
  <si>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</si>
  <si>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PM4803165</t>
  </si>
  <si>
    <t>18 Jun 2022</t>
  </si>
  <si>
    <t>PM4786119.</t>
  </si>
  <si>
    <t>New South Conv Cen</t>
  </si>
  <si>
    <t>18 Mar 2022</t>
  </si>
  <si>
    <t>PM4785387</t>
  </si>
  <si>
    <t>PM4786022</t>
  </si>
  <si>
    <t>Wembley S.s</t>
  </si>
  <si>
    <t>PM4786121</t>
  </si>
  <si>
    <t>PM4786334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</si>
  <si>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</si>
  <si>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</si>
  <si>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</si>
  <si>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</si>
  <si>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</si>
  <si>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</si>
  <si>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</si>
  <si>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</si>
  <si>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</si>
  <si>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</si>
  <si>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</si>
  <si>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</si>
  <si>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</si>
  <si>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</si>
  <si>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</si>
  <si>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</si>
  <si>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PM4797829</t>
  </si>
  <si>
    <t>PM4797137</t>
  </si>
  <si>
    <t>Princess Crossing Conv Ctr.</t>
  </si>
  <si>
    <t>PM4754801</t>
  </si>
  <si>
    <t>Zenex Northmead</t>
  </si>
  <si>
    <t>19 Oct 2021</t>
  </si>
  <si>
    <t>PM4754220</t>
  </si>
  <si>
    <t>PM482663</t>
  </si>
  <si>
    <t>19 Sep 2022</t>
  </si>
  <si>
    <t>PM4820990</t>
  </si>
  <si>
    <t>PM4821381</t>
  </si>
  <si>
    <t>PM4820718</t>
  </si>
  <si>
    <t>PM4804669</t>
  </si>
  <si>
    <t>PM4821270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</si>
  <si>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</si>
  <si>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</si>
  <si>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</si>
  <si>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</si>
  <si>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</si>
  <si>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</si>
  <si>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</si>
  <si>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</si>
  <si>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</si>
  <si>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</si>
  <si>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</si>
  <si>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</si>
  <si>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</si>
  <si>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</si>
  <si>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</si>
  <si>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</si>
  <si>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</si>
  <si>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</si>
  <si>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</si>
  <si>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</si>
  <si>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</si>
  <si>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</si>
  <si>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</si>
  <si>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</si>
  <si>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 xml:space="preserve">Sakhile S/stn </t>
  </si>
  <si>
    <t>PM4748624</t>
  </si>
  <si>
    <t>PM4804028</t>
  </si>
  <si>
    <t>20 Jun 2022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</si>
  <si>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</si>
  <si>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</si>
  <si>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</si>
  <si>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</si>
  <si>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</si>
  <si>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</si>
  <si>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</si>
  <si>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</si>
  <si>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PM4821398</t>
  </si>
  <si>
    <t>PM4817920</t>
  </si>
  <si>
    <t>PM4791064</t>
  </si>
  <si>
    <t>Ks Convenience Centre</t>
  </si>
  <si>
    <t>21 Apr 2022</t>
  </si>
  <si>
    <t>PM4791321</t>
  </si>
  <si>
    <t>PM4780510</t>
  </si>
  <si>
    <t>ENGEN CROSSING SERVICE</t>
  </si>
  <si>
    <t>PM4784520</t>
  </si>
  <si>
    <t>PM4787937</t>
  </si>
  <si>
    <t>Blockhouse 1 Stop North</t>
  </si>
  <si>
    <t>PM4790882</t>
  </si>
  <si>
    <t>PM4790897</t>
  </si>
  <si>
    <t>PM4791205</t>
  </si>
  <si>
    <t>PM4735019</t>
  </si>
  <si>
    <t>21 Aug 2021</t>
  </si>
  <si>
    <t>PM4744239</t>
  </si>
  <si>
    <t>PM4747976</t>
  </si>
  <si>
    <t>21 Feb 2022</t>
  </si>
  <si>
    <t>PM4758971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</si>
  <si>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</si>
  <si>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</si>
  <si>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</si>
  <si>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</si>
  <si>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</si>
  <si>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</si>
  <si>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</si>
  <si>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</si>
  <si>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</si>
  <si>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</si>
  <si>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 xml:space="preserve">Ma-afrika S/stn </t>
  </si>
  <si>
    <t>PM4764533</t>
  </si>
  <si>
    <t>PM4766311</t>
  </si>
  <si>
    <t>Tananani</t>
  </si>
  <si>
    <t>PM4676879</t>
  </si>
  <si>
    <t>21 Sep 2020</t>
  </si>
  <si>
    <t>PM4677069</t>
  </si>
  <si>
    <t>PM4677093</t>
  </si>
  <si>
    <t>PM4677130</t>
  </si>
  <si>
    <t>Kelvin</t>
  </si>
  <si>
    <t>PM4677360</t>
  </si>
  <si>
    <t>PM4677341</t>
  </si>
  <si>
    <t>Glendower S.s</t>
  </si>
  <si>
    <t>PM4677594</t>
  </si>
  <si>
    <t>21 Sep 2021</t>
  </si>
  <si>
    <t>PM4791776</t>
  </si>
  <si>
    <t>22 Apr 2022</t>
  </si>
  <si>
    <t>PM4815297</t>
  </si>
  <si>
    <t>22 Aug 2022</t>
  </si>
  <si>
    <t>PM4815617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</si>
  <si>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</si>
  <si>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</si>
  <si>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</si>
  <si>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</si>
  <si>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</si>
  <si>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</si>
  <si>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</si>
  <si>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</si>
  <si>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</si>
  <si>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</si>
  <si>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</si>
  <si>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</si>
  <si>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PM4810238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</si>
  <si>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</si>
  <si>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</si>
  <si>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</si>
  <si>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</si>
  <si>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</si>
  <si>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</si>
  <si>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</si>
  <si>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</si>
  <si>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PM4758836</t>
  </si>
  <si>
    <t>22 Nov 2021</t>
  </si>
  <si>
    <t>PM4750117</t>
  </si>
  <si>
    <t>PM4751860</t>
  </si>
  <si>
    <t>Y Motors</t>
  </si>
  <si>
    <t>22 Oct 2021</t>
  </si>
  <si>
    <t>PM4751865-new</t>
  </si>
  <si>
    <t>PM4749325</t>
  </si>
  <si>
    <t>22 Sep 2021</t>
  </si>
  <si>
    <t>PM4814196</t>
  </si>
  <si>
    <t>Zenex Sunward Park</t>
  </si>
  <si>
    <t>22 Sep 2022</t>
  </si>
  <si>
    <t>PM4822414</t>
  </si>
  <si>
    <t>PM4743331</t>
  </si>
  <si>
    <t>23 Aug 2021</t>
  </si>
  <si>
    <t>PM4685987</t>
  </si>
  <si>
    <t>23 Feb 2021</t>
  </si>
  <si>
    <t>PM4754889</t>
  </si>
  <si>
    <t>23 Feb 2022</t>
  </si>
  <si>
    <t>PM4779411</t>
  </si>
  <si>
    <t>PM4810407</t>
  </si>
  <si>
    <t>23 Jul 2022</t>
  </si>
  <si>
    <t>PM4810662</t>
  </si>
  <si>
    <t>Linbro S/stn</t>
  </si>
  <si>
    <t>PM4731458</t>
  </si>
  <si>
    <t>23 Jun 2021</t>
  </si>
  <si>
    <t>PM4729362</t>
  </si>
  <si>
    <t>PM4716562</t>
  </si>
  <si>
    <t>PM4732555</t>
  </si>
  <si>
    <t>PM4800759</t>
  </si>
  <si>
    <t>Crossman Motors</t>
  </si>
  <si>
    <t>23 Jun 2022</t>
  </si>
  <si>
    <t>PM4647161</t>
  </si>
  <si>
    <t>Glenhazel</t>
  </si>
  <si>
    <t>23 Mar 2020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</si>
  <si>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</si>
  <si>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</si>
  <si>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</si>
  <si>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</si>
  <si>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</si>
  <si>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</si>
  <si>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</si>
  <si>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</si>
  <si>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</si>
  <si>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</si>
  <si>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</si>
  <si>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</si>
  <si>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</si>
  <si>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</si>
  <si>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Othandweni Ss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</si>
  <si>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</si>
  <si>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</si>
  <si>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</si>
  <si>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</si>
  <si>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</si>
  <si>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</si>
  <si>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</si>
  <si>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</si>
  <si>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</si>
  <si>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</si>
  <si>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</si>
  <si>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PM4782571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</si>
  <si>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</si>
  <si>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</si>
  <si>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</si>
  <si>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</si>
  <si>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</si>
  <si>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</si>
  <si>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</si>
  <si>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</si>
  <si>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</si>
  <si>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</si>
  <si>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</si>
  <si>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</si>
  <si>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</si>
  <si>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PM4744236</t>
  </si>
  <si>
    <t>24 Aug 2021</t>
  </si>
  <si>
    <t>PM4744551</t>
  </si>
  <si>
    <t>PM4815785</t>
  </si>
  <si>
    <t>Flamingo</t>
  </si>
  <si>
    <t>24 Aug 2022</t>
  </si>
  <si>
    <t>PM4816675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</si>
  <si>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</si>
  <si>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</si>
  <si>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</si>
  <si>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</si>
  <si>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</si>
  <si>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</si>
  <si>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</si>
  <si>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</si>
  <si>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</si>
  <si>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</si>
  <si>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</si>
  <si>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</si>
  <si>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</si>
  <si>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</si>
  <si>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</si>
  <si>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</si>
  <si>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</si>
  <si>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</si>
  <si>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</si>
  <si>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</si>
  <si>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</si>
  <si>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</si>
  <si>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</si>
  <si>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</si>
  <si>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Platinum 1 stop East</t>
  </si>
  <si>
    <t>PM4793820</t>
  </si>
  <si>
    <t>24 May 2022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</si>
  <si>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</si>
  <si>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</si>
  <si>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</si>
  <si>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</si>
  <si>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</si>
  <si>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</si>
  <si>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</si>
  <si>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</si>
  <si>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</si>
  <si>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</si>
  <si>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</si>
  <si>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</si>
  <si>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</si>
  <si>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</si>
  <si>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</si>
  <si>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</si>
  <si>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</si>
  <si>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Eyethu Convenience Centre</t>
  </si>
  <si>
    <t>PM4703124</t>
  </si>
  <si>
    <t>PM4773907</t>
  </si>
  <si>
    <t>25 Jan 2022</t>
  </si>
  <si>
    <t>PM4810813</t>
  </si>
  <si>
    <t>25 Jul 2022</t>
  </si>
  <si>
    <t>PM4810425</t>
  </si>
  <si>
    <t>PM4810991</t>
  </si>
  <si>
    <t>PM4810811</t>
  </si>
  <si>
    <t>PM4810524</t>
  </si>
  <si>
    <t>PM4718215</t>
  </si>
  <si>
    <t>25 Jun 2021</t>
  </si>
  <si>
    <t>PM4728348</t>
  </si>
  <si>
    <t>PM4729367</t>
  </si>
  <si>
    <t>Vaal 1 Stop East</t>
  </si>
  <si>
    <t>PM4651843</t>
  </si>
  <si>
    <t>25 Mar 2020</t>
  </si>
  <si>
    <t>PM4768433</t>
  </si>
  <si>
    <t>25 Mar 2022</t>
  </si>
  <si>
    <t>PM4781753</t>
  </si>
  <si>
    <t>PM4778808</t>
  </si>
  <si>
    <t>PM4781058</t>
  </si>
  <si>
    <t>PM4782914</t>
  </si>
  <si>
    <t>Gateway</t>
  </si>
  <si>
    <t>PM4785573</t>
  </si>
  <si>
    <t>PM4786635</t>
  </si>
  <si>
    <t>Spartan</t>
  </si>
  <si>
    <t>PM4725692</t>
  </si>
  <si>
    <t>25 May 2021</t>
  </si>
  <si>
    <t>PM4799423</t>
  </si>
  <si>
    <t>Harris Avenue</t>
  </si>
  <si>
    <t>25 May 2022</t>
  </si>
  <si>
    <t>PM4798468</t>
  </si>
  <si>
    <t>Craig Joss Motors</t>
  </si>
  <si>
    <t>PM4745301</t>
  </si>
  <si>
    <t>25 Nov 2021</t>
  </si>
  <si>
    <t>PM4757422</t>
  </si>
  <si>
    <t>PM4761054</t>
  </si>
  <si>
    <t>PM4754806</t>
  </si>
  <si>
    <t>25 Oct 2021</t>
  </si>
  <si>
    <t>PM4683988</t>
  </si>
  <si>
    <t>26 Feb 2021</t>
  </si>
  <si>
    <t>PM4763102</t>
  </si>
  <si>
    <t>Ulundi Convenience</t>
  </si>
  <si>
    <t>26 Jan 2022</t>
  </si>
  <si>
    <t>PM4811161</t>
  </si>
  <si>
    <t>26 Jul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</si>
  <si>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</si>
  <si>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</si>
  <si>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</si>
  <si>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</si>
  <si>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</si>
  <si>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</si>
  <si>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</si>
  <si>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PM4822627</t>
  </si>
  <si>
    <t>26 Sep 2022</t>
  </si>
  <si>
    <t>PM4822412</t>
  </si>
  <si>
    <t>Twin Palms</t>
  </si>
  <si>
    <t>PM4822228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</si>
  <si>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</si>
  <si>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</si>
  <si>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</si>
  <si>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</si>
  <si>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</si>
  <si>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</si>
  <si>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</si>
  <si>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</si>
  <si>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</si>
  <si>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</si>
  <si>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</si>
  <si>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PM4810831</t>
  </si>
  <si>
    <t>27 Jul 2022</t>
  </si>
  <si>
    <t>PM4811119</t>
  </si>
  <si>
    <t>PM4732935</t>
  </si>
  <si>
    <t>27 Jun 2021</t>
  </si>
  <si>
    <t>PM4733121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</si>
  <si>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</si>
  <si>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</si>
  <si>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</si>
  <si>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</si>
  <si>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</si>
  <si>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</si>
  <si>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</si>
  <si>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</si>
  <si>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PM4822230</t>
  </si>
  <si>
    <t>27 Sep 2022</t>
  </si>
  <si>
    <t>PM4820986</t>
  </si>
  <si>
    <t>PM4823056</t>
  </si>
  <si>
    <t>Engen Sebenza</t>
  </si>
  <si>
    <t>PM4772734</t>
  </si>
  <si>
    <t>28 Feb 2022</t>
  </si>
  <si>
    <t>PM4777688</t>
  </si>
  <si>
    <t>PM4780093</t>
  </si>
  <si>
    <t>PM4755965</t>
  </si>
  <si>
    <t>28 Jan 2022</t>
  </si>
  <si>
    <t>PM4810424</t>
  </si>
  <si>
    <t>28 Jul 2022</t>
  </si>
  <si>
    <t>PM4790630</t>
  </si>
  <si>
    <t>PM4811409</t>
  </si>
  <si>
    <t>Hibberdene Convenience Centre</t>
  </si>
  <si>
    <t>PM4726265</t>
  </si>
  <si>
    <t>28 May 2021</t>
  </si>
  <si>
    <t>PM4680371</t>
  </si>
  <si>
    <t>Blancheville Ret Cen</t>
  </si>
  <si>
    <t>28 Nov 2020</t>
  </si>
  <si>
    <t>PM4823346</t>
  </si>
  <si>
    <t>28 Sep 2022</t>
  </si>
  <si>
    <t>PM4816687</t>
  </si>
  <si>
    <t>29 Aug 2022</t>
  </si>
  <si>
    <t>PM4814353</t>
  </si>
  <si>
    <t>PM4815298</t>
  </si>
  <si>
    <t>PM4813098</t>
  </si>
  <si>
    <t>PM4810779</t>
  </si>
  <si>
    <t>29 Jul 2022</t>
  </si>
  <si>
    <t>PM4811570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</si>
  <si>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</si>
  <si>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</si>
  <si>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</si>
  <si>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</si>
  <si>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</si>
  <si>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</si>
  <si>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</si>
  <si>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</si>
  <si>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</si>
  <si>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</si>
  <si>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</si>
  <si>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</si>
  <si>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</si>
  <si>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PM4823165</t>
  </si>
  <si>
    <t>29 Sep 2022</t>
  </si>
  <si>
    <t>PM4821079</t>
  </si>
  <si>
    <t>Engen 14th Avenue</t>
  </si>
  <si>
    <t>PM4705583</t>
  </si>
  <si>
    <t>Brentwood Park Service Station</t>
  </si>
  <si>
    <t>30 Apr 2021</t>
  </si>
  <si>
    <t>PM4813797</t>
  </si>
  <si>
    <t>30 Aug 2022</t>
  </si>
  <si>
    <t>PM4815950</t>
  </si>
  <si>
    <t>PM4817536</t>
  </si>
  <si>
    <t>Jet Park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</si>
  <si>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</si>
  <si>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</si>
  <si>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</si>
  <si>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</si>
  <si>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</si>
  <si>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</si>
  <si>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</si>
  <si>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</si>
  <si>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</si>
  <si>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</si>
  <si>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</si>
  <si>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</si>
  <si>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Brackenview S/s</t>
  </si>
  <si>
    <t>30 Mar 2021</t>
  </si>
  <si>
    <t>PM4782022</t>
  </si>
  <si>
    <t>30 Mar 2022</t>
  </si>
  <si>
    <t>PM4783226</t>
  </si>
  <si>
    <t>PM4783131</t>
  </si>
  <si>
    <t>PM4787746</t>
  </si>
  <si>
    <t>PM4787291</t>
  </si>
  <si>
    <t>Lyttelton</t>
  </si>
  <si>
    <t>PM4797618</t>
  </si>
  <si>
    <t>30 May 2022</t>
  </si>
  <si>
    <t>PM4799643</t>
  </si>
  <si>
    <t>PM4798476</t>
  </si>
  <si>
    <t>PM4798632</t>
  </si>
  <si>
    <t>PM4799420</t>
  </si>
  <si>
    <t>PM4799757</t>
  </si>
  <si>
    <t>PM4751870</t>
  </si>
  <si>
    <t>Midway Ss</t>
  </si>
  <si>
    <t>30 Nov 2021</t>
  </si>
  <si>
    <t>PM4761053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</si>
  <si>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</si>
  <si>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</si>
  <si>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</si>
  <si>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</si>
  <si>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</si>
  <si>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</si>
  <si>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PM4751080</t>
  </si>
  <si>
    <t>30 Sep 2021</t>
  </si>
  <si>
    <t>PM4733246</t>
  </si>
  <si>
    <t>Mabulalambiza Ss</t>
  </si>
  <si>
    <t>31 Aug 2021</t>
  </si>
  <si>
    <t>PM4774564</t>
  </si>
  <si>
    <t>31 Jan 2022</t>
  </si>
  <si>
    <t>PM4775117</t>
  </si>
  <si>
    <t>PM4740293</t>
  </si>
  <si>
    <t>4505821703 / 80</t>
  </si>
  <si>
    <t>31 Jul 2021</t>
  </si>
  <si>
    <t>PM4728807</t>
  </si>
  <si>
    <t>4505795291/190</t>
  </si>
  <si>
    <t>31 May 2021</t>
  </si>
  <si>
    <t>PM4799979</t>
  </si>
  <si>
    <t>31 May 2022</t>
  </si>
  <si>
    <t>PM4799156</t>
  </si>
  <si>
    <t>PM4799133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</si>
</sst>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3964" TargetMode="External"/><Relationship Id="rId_hyperlink_4" Type="http://schemas.openxmlformats.org/officeDocument/2006/relationships/hyperlink" Target="http://www.seavest.co.za/inv/fpdf16/inv-preview.php?Id=44692" TargetMode="External"/><Relationship Id="rId_hyperlink_5" Type="http://schemas.openxmlformats.org/officeDocument/2006/relationships/hyperlink" Target="http://www.seavest.co.za/inv/fpdf16/inv-preview.php?Id=44699" TargetMode="External"/><Relationship Id="rId_hyperlink_6" Type="http://schemas.openxmlformats.org/officeDocument/2006/relationships/hyperlink" Target="http://www.seavest.co.za/inv/fpdf16/inv-preview.php?Id=44305" TargetMode="External"/><Relationship Id="rId_hyperlink_7" Type="http://schemas.openxmlformats.org/officeDocument/2006/relationships/hyperlink" Target="http://www.seavest.co.za/inv/fpdf16/inv-preview.php?Id=42777" TargetMode="External"/><Relationship Id="rId_hyperlink_8" Type="http://schemas.openxmlformats.org/officeDocument/2006/relationships/hyperlink" Target="http://www.seavest.co.za/inv/fpdf16/inv-preview.php?Id=43702" TargetMode="External"/><Relationship Id="rId_hyperlink_9" Type="http://schemas.openxmlformats.org/officeDocument/2006/relationships/hyperlink" Target="http://www.seavest.co.za/inv/fpdf16/inv-preview.php?Id=43718" TargetMode="External"/><Relationship Id="rId_hyperlink_10" Type="http://schemas.openxmlformats.org/officeDocument/2006/relationships/hyperlink" Target="http://www.seavest.co.za/inv/fpdf16/inv-preview.php?Id=39936" TargetMode="External"/><Relationship Id="rId_hyperlink_11" Type="http://schemas.openxmlformats.org/officeDocument/2006/relationships/hyperlink" Target="http://www.seavest.co.za/inv/fpdf16/inv-preview.php?Id=42214" TargetMode="External"/><Relationship Id="rId_hyperlink_12" Type="http://schemas.openxmlformats.org/officeDocument/2006/relationships/hyperlink" Target="http://www.seavest.co.za/inv/fpdf16/inv-preview.php?Id=42316" TargetMode="External"/><Relationship Id="rId_hyperlink_13" Type="http://schemas.openxmlformats.org/officeDocument/2006/relationships/hyperlink" Target="http://www.seavest.co.za/inv/fpdf16/inv-preview.php?Id=41951" TargetMode="External"/><Relationship Id="rId_hyperlink_14" Type="http://schemas.openxmlformats.org/officeDocument/2006/relationships/hyperlink" Target="http://www.seavest.co.za/inv/fpdf16/inv-preview.php?Id=44501" TargetMode="External"/><Relationship Id="rId_hyperlink_15" Type="http://schemas.openxmlformats.org/officeDocument/2006/relationships/hyperlink" Target="http://www.seavest.co.za/inv/fpdf16/inv-preview.php?Id=43490" TargetMode="External"/><Relationship Id="rId_hyperlink_16" Type="http://schemas.openxmlformats.org/officeDocument/2006/relationships/hyperlink" Target="http://www.seavest.co.za/inv/fpdf16/inv-preview.php?Id=43637" TargetMode="External"/><Relationship Id="rId_hyperlink_17" Type="http://schemas.openxmlformats.org/officeDocument/2006/relationships/hyperlink" Target="http://www.seavest.co.za/inv/fpdf16/inv-preview.php?Id=43652" TargetMode="External"/><Relationship Id="rId_hyperlink_18" Type="http://schemas.openxmlformats.org/officeDocument/2006/relationships/hyperlink" Target="http://www.seavest.co.za/inv/fpdf16/inv-preview.php?Id=42361" TargetMode="External"/><Relationship Id="rId_hyperlink_19" Type="http://schemas.openxmlformats.org/officeDocument/2006/relationships/hyperlink" Target="http://www.seavest.co.za/inv/fpdf16/inv-preview.php?Id=44922" TargetMode="External"/><Relationship Id="rId_hyperlink_20" Type="http://schemas.openxmlformats.org/officeDocument/2006/relationships/hyperlink" Target="http://www.seavest.co.za/inv/fpdf16/inv-preview.php?Id=44917" TargetMode="External"/><Relationship Id="rId_hyperlink_21" Type="http://schemas.openxmlformats.org/officeDocument/2006/relationships/hyperlink" Target="http://www.seavest.co.za/inv/fpdf16/inv-preview.php?Id=44845" TargetMode="External"/><Relationship Id="rId_hyperlink_22" Type="http://schemas.openxmlformats.org/officeDocument/2006/relationships/hyperlink" Target="http://www.seavest.co.za/inv/fpdf16/inv-preview.php?Id=41007" TargetMode="External"/><Relationship Id="rId_hyperlink_23" Type="http://schemas.openxmlformats.org/officeDocument/2006/relationships/hyperlink" Target="http://www.seavest.co.za/inv/fpdf16/inv-preview.php?Id=44665" TargetMode="External"/><Relationship Id="rId_hyperlink_24" Type="http://schemas.openxmlformats.org/officeDocument/2006/relationships/hyperlink" Target="http://www.seavest.co.za/inv/fpdf16/inv-preview.php?Id=43575" TargetMode="External"/><Relationship Id="rId_hyperlink_25" Type="http://schemas.openxmlformats.org/officeDocument/2006/relationships/hyperlink" Target="http://www.seavest.co.za/inv/fpdf16/inv-preview.php?Id=44212" TargetMode="External"/><Relationship Id="rId_hyperlink_26" Type="http://schemas.openxmlformats.org/officeDocument/2006/relationships/hyperlink" Target="http://www.seavest.co.za/inv/fpdf16/inv-preview.php?Id=44372" TargetMode="External"/><Relationship Id="rId_hyperlink_27" Type="http://schemas.openxmlformats.org/officeDocument/2006/relationships/hyperlink" Target="http://www.seavest.co.za/inv/fpdf16/inv-preview.php?Id=40932" TargetMode="External"/><Relationship Id="rId_hyperlink_28" Type="http://schemas.openxmlformats.org/officeDocument/2006/relationships/hyperlink" Target="http://www.seavest.co.za/inv/fpdf16/inv-preview.php?Id=40928" TargetMode="External"/><Relationship Id="rId_hyperlink_29" Type="http://schemas.openxmlformats.org/officeDocument/2006/relationships/hyperlink" Target="http://www.seavest.co.za/inv/fpdf16/inv-preview.php?Id=43709" TargetMode="External"/><Relationship Id="rId_hyperlink_30" Type="http://schemas.openxmlformats.org/officeDocument/2006/relationships/hyperlink" Target="http://www.seavest.co.za/inv/fpdf16/inv-preview.php?Id=44075" TargetMode="External"/><Relationship Id="rId_hyperlink_31" Type="http://schemas.openxmlformats.org/officeDocument/2006/relationships/hyperlink" Target="http://www.seavest.co.za/inv/fpdf16/inv-preview.php?Id=44097" TargetMode="External"/><Relationship Id="rId_hyperlink_32" Type="http://schemas.openxmlformats.org/officeDocument/2006/relationships/hyperlink" Target="http://www.seavest.co.za/inv/fpdf16/inv-preview.php?Id=44119" TargetMode="External"/><Relationship Id="rId_hyperlink_33" Type="http://schemas.openxmlformats.org/officeDocument/2006/relationships/hyperlink" Target="http://www.seavest.co.za/inv/fpdf16/inv-preview.php?Id=42340" TargetMode="External"/><Relationship Id="rId_hyperlink_34" Type="http://schemas.openxmlformats.org/officeDocument/2006/relationships/hyperlink" Target="http://www.seavest.co.za/inv/fpdf16/inv-preview.php?Id=42353" TargetMode="External"/><Relationship Id="rId_hyperlink_35" Type="http://schemas.openxmlformats.org/officeDocument/2006/relationships/hyperlink" Target="http://www.seavest.co.za/inv/fpdf16/inv-preview.php?Id=39476" TargetMode="External"/><Relationship Id="rId_hyperlink_36" Type="http://schemas.openxmlformats.org/officeDocument/2006/relationships/hyperlink" Target="http://www.seavest.co.za/inv/fpdf16/inv-preview.php?Id=41992" TargetMode="External"/><Relationship Id="rId_hyperlink_37" Type="http://schemas.openxmlformats.org/officeDocument/2006/relationships/hyperlink" Target="http://www.seavest.co.za/inv/fpdf16/inv-preview.php?Id=44589" TargetMode="External"/><Relationship Id="rId_hyperlink_38" Type="http://schemas.openxmlformats.org/officeDocument/2006/relationships/hyperlink" Target="http://www.seavest.co.za/inv/fpdf16/inv-preview.php?Id=44669" TargetMode="External"/><Relationship Id="rId_hyperlink_39" Type="http://schemas.openxmlformats.org/officeDocument/2006/relationships/hyperlink" Target="http://www.seavest.co.za/inv/fpdf16/inv-preview.php?Id=40320" TargetMode="External"/><Relationship Id="rId_hyperlink_40" Type="http://schemas.openxmlformats.org/officeDocument/2006/relationships/hyperlink" Target="http://www.seavest.co.za/inv/fpdf16/inv-preview.php?Id=43220" TargetMode="External"/><Relationship Id="rId_hyperlink_41" Type="http://schemas.openxmlformats.org/officeDocument/2006/relationships/hyperlink" Target="http://www.seavest.co.za/inv/fpdf16/inv-preview.php?Id=43277" TargetMode="External"/><Relationship Id="rId_hyperlink_42" Type="http://schemas.openxmlformats.org/officeDocument/2006/relationships/hyperlink" Target="http://www.seavest.co.za/inv/fpdf16/inv-preview.php?Id=44529" TargetMode="External"/><Relationship Id="rId_hyperlink_43" Type="http://schemas.openxmlformats.org/officeDocument/2006/relationships/hyperlink" Target="http://www.seavest.co.za/inv/fpdf16/inv-preview.php?Id=44424" TargetMode="External"/><Relationship Id="rId_hyperlink_44" Type="http://schemas.openxmlformats.org/officeDocument/2006/relationships/hyperlink" Target="http://www.seavest.co.za/inv/fpdf16/inv-preview.php?Id=44535" TargetMode="External"/><Relationship Id="rId_hyperlink_45" Type="http://schemas.openxmlformats.org/officeDocument/2006/relationships/hyperlink" Target="http://www.seavest.co.za/inv/fpdf16/inv-preview.php?Id=44362" TargetMode="External"/><Relationship Id="rId_hyperlink_46" Type="http://schemas.openxmlformats.org/officeDocument/2006/relationships/hyperlink" Target="http://www.seavest.co.za/inv/fpdf16/inv-preview.php?Id=40677" TargetMode="External"/><Relationship Id="rId_hyperlink_47" Type="http://schemas.openxmlformats.org/officeDocument/2006/relationships/hyperlink" Target="http://www.seavest.co.za/inv/fpdf16/inv-preview.php?Id=40684" TargetMode="External"/><Relationship Id="rId_hyperlink_48" Type="http://schemas.openxmlformats.org/officeDocument/2006/relationships/hyperlink" Target="http://www.seavest.co.za/inv/fpdf16/inv-preview.php?Id=43737" TargetMode="External"/><Relationship Id="rId_hyperlink_49" Type="http://schemas.openxmlformats.org/officeDocument/2006/relationships/hyperlink" Target="http://www.seavest.co.za/inv/fpdf16/inv-preview.php?Id=42338" TargetMode="External"/><Relationship Id="rId_hyperlink_50" Type="http://schemas.openxmlformats.org/officeDocument/2006/relationships/hyperlink" Target="http://www.seavest.co.za/inv/fpdf16/inv-preview.php?Id=43748" TargetMode="External"/><Relationship Id="rId_hyperlink_51" Type="http://schemas.openxmlformats.org/officeDocument/2006/relationships/hyperlink" Target="http://www.seavest.co.za/inv/fpdf16/inv-preview.php?Id=43755" TargetMode="External"/><Relationship Id="rId_hyperlink_52" Type="http://schemas.openxmlformats.org/officeDocument/2006/relationships/hyperlink" Target="http://www.seavest.co.za/inv/fpdf16/inv-preview.php?Id=43785" TargetMode="External"/><Relationship Id="rId_hyperlink_53" Type="http://schemas.openxmlformats.org/officeDocument/2006/relationships/hyperlink" Target="http://www.seavest.co.za/inv/fpdf16/inv-preview.php?Id=40957" TargetMode="External"/><Relationship Id="rId_hyperlink_54" Type="http://schemas.openxmlformats.org/officeDocument/2006/relationships/hyperlink" Target="http://www.seavest.co.za/inv/fpdf16/inv-preview.php?Id=41213" TargetMode="External"/><Relationship Id="rId_hyperlink_55" Type="http://schemas.openxmlformats.org/officeDocument/2006/relationships/hyperlink" Target="http://www.seavest.co.za/inv/fpdf16/inv-preview.php?Id=41236" TargetMode="External"/><Relationship Id="rId_hyperlink_56" Type="http://schemas.openxmlformats.org/officeDocument/2006/relationships/hyperlink" Target="http://www.seavest.co.za/inv/fpdf16/inv-preview.php?Id=44130" TargetMode="External"/><Relationship Id="rId_hyperlink_57" Type="http://schemas.openxmlformats.org/officeDocument/2006/relationships/hyperlink" Target="http://www.seavest.co.za/inv/fpdf16/inv-preview.php?Id=44134" TargetMode="External"/><Relationship Id="rId_hyperlink_58" Type="http://schemas.openxmlformats.org/officeDocument/2006/relationships/hyperlink" Target="http://www.seavest.co.za/inv/fpdf16/inv-preview.php?Id=44145" TargetMode="External"/><Relationship Id="rId_hyperlink_59" Type="http://schemas.openxmlformats.org/officeDocument/2006/relationships/hyperlink" Target="http://www.seavest.co.za/inv/fpdf16/inv-preview.php?Id=42871" TargetMode="External"/><Relationship Id="rId_hyperlink_60" Type="http://schemas.openxmlformats.org/officeDocument/2006/relationships/hyperlink" Target="http://www.seavest.co.za/inv/fpdf16/inv-preview.php?Id=42933" TargetMode="External"/><Relationship Id="rId_hyperlink_61" Type="http://schemas.openxmlformats.org/officeDocument/2006/relationships/hyperlink" Target="http://www.seavest.co.za/inv/fpdf16/inv-preview.php?Id=41776" TargetMode="External"/><Relationship Id="rId_hyperlink_62" Type="http://schemas.openxmlformats.org/officeDocument/2006/relationships/hyperlink" Target="http://www.seavest.co.za/inv/fpdf16/inv-preview.php?Id=43982" TargetMode="External"/><Relationship Id="rId_hyperlink_63" Type="http://schemas.openxmlformats.org/officeDocument/2006/relationships/hyperlink" Target="http://www.seavest.co.za/inv/fpdf16/inv-preview.php?Id=43979" TargetMode="External"/><Relationship Id="rId_hyperlink_64" Type="http://schemas.openxmlformats.org/officeDocument/2006/relationships/hyperlink" Target="http://www.seavest.co.za/inv/fpdf16/inv-preview.php?Id=41997" TargetMode="External"/><Relationship Id="rId_hyperlink_65" Type="http://schemas.openxmlformats.org/officeDocument/2006/relationships/hyperlink" Target="http://www.seavest.co.za/inv/fpdf16/inv-preview.php?Id=44542" TargetMode="External"/><Relationship Id="rId_hyperlink_66" Type="http://schemas.openxmlformats.org/officeDocument/2006/relationships/hyperlink" Target="http://www.seavest.co.za/inv/fpdf16/inv-preview.php?Id=44734" TargetMode="External"/><Relationship Id="rId_hyperlink_67" Type="http://schemas.openxmlformats.org/officeDocument/2006/relationships/hyperlink" Target="http://www.seavest.co.za/inv/fpdf16/inv-preview.php?Id=42956" TargetMode="External"/><Relationship Id="rId_hyperlink_68" Type="http://schemas.openxmlformats.org/officeDocument/2006/relationships/hyperlink" Target="http://www.seavest.co.za/inv/fpdf16/inv-preview.php?Id=40918" TargetMode="External"/><Relationship Id="rId_hyperlink_69" Type="http://schemas.openxmlformats.org/officeDocument/2006/relationships/hyperlink" Target="http://www.seavest.co.za/inv/fpdf16/inv-preview.php?Id=43775" TargetMode="External"/><Relationship Id="rId_hyperlink_70" Type="http://schemas.openxmlformats.org/officeDocument/2006/relationships/hyperlink" Target="http://www.seavest.co.za/inv/fpdf16/inv-preview.php?Id=44155" TargetMode="External"/><Relationship Id="rId_hyperlink_71" Type="http://schemas.openxmlformats.org/officeDocument/2006/relationships/hyperlink" Target="http://www.seavest.co.za/inv/fpdf16/inv-preview.php?Id=42600" TargetMode="External"/><Relationship Id="rId_hyperlink_72" Type="http://schemas.openxmlformats.org/officeDocument/2006/relationships/hyperlink" Target="http://www.seavest.co.za/inv/fpdf16/inv-preview.php?Id=44837" TargetMode="External"/><Relationship Id="rId_hyperlink_73" Type="http://schemas.openxmlformats.org/officeDocument/2006/relationships/hyperlink" Target="http://www.seavest.co.za/inv/fpdf16/inv-preview.php?Id=44906" TargetMode="External"/><Relationship Id="rId_hyperlink_74" Type="http://schemas.openxmlformats.org/officeDocument/2006/relationships/hyperlink" Target="http://www.seavest.co.za/inv/fpdf16/inv-preview.php?Id=44944" TargetMode="External"/><Relationship Id="rId_hyperlink_75" Type="http://schemas.openxmlformats.org/officeDocument/2006/relationships/hyperlink" Target="http://www.seavest.co.za/inv/fpdf16/inv-preview.php?Id=44904" TargetMode="External"/><Relationship Id="rId_hyperlink_76" Type="http://schemas.openxmlformats.org/officeDocument/2006/relationships/hyperlink" Target="http://www.seavest.co.za/inv/fpdf16/inv-preview.php?Id=44916" TargetMode="External"/><Relationship Id="rId_hyperlink_77" Type="http://schemas.openxmlformats.org/officeDocument/2006/relationships/hyperlink" Target="http://www.seavest.co.za/inv/fpdf16/inv-preview.php?Id=44946" TargetMode="External"/><Relationship Id="rId_hyperlink_78" Type="http://schemas.openxmlformats.org/officeDocument/2006/relationships/hyperlink" Target="http://www.seavest.co.za/inv/fpdf16/inv-preview.php?Id=40816" TargetMode="External"/><Relationship Id="rId_hyperlink_79" Type="http://schemas.openxmlformats.org/officeDocument/2006/relationships/hyperlink" Target="http://www.seavest.co.za/inv/fpdf16/inv-preview.php?Id=40981" TargetMode="External"/><Relationship Id="rId_hyperlink_80" Type="http://schemas.openxmlformats.org/officeDocument/2006/relationships/hyperlink" Target="http://www.seavest.co.za/inv/fpdf16/inv-preview.php?Id=40982" TargetMode="External"/><Relationship Id="rId_hyperlink_81" Type="http://schemas.openxmlformats.org/officeDocument/2006/relationships/hyperlink" Target="http://www.seavest.co.za/inv/fpdf16/inv-preview.php?Id=43780" TargetMode="External"/><Relationship Id="rId_hyperlink_82" Type="http://schemas.openxmlformats.org/officeDocument/2006/relationships/hyperlink" Target="http://www.seavest.co.za/inv/fpdf16/inv-preview.php?Id=43793" TargetMode="External"/><Relationship Id="rId_hyperlink_83" Type="http://schemas.openxmlformats.org/officeDocument/2006/relationships/hyperlink" Target="http://www.seavest.co.za/inv/fpdf16/inv-preview.php?Id=43835" TargetMode="External"/><Relationship Id="rId_hyperlink_84" Type="http://schemas.openxmlformats.org/officeDocument/2006/relationships/hyperlink" Target="http://www.seavest.co.za/inv/fpdf16/inv-preview.php?Id=42021" TargetMode="External"/><Relationship Id="rId_hyperlink_85" Type="http://schemas.openxmlformats.org/officeDocument/2006/relationships/hyperlink" Target="http://www.seavest.co.za/inv/fpdf16/inv-preview.php?Id=44550" TargetMode="External"/><Relationship Id="rId_hyperlink_86" Type="http://schemas.openxmlformats.org/officeDocument/2006/relationships/hyperlink" Target="http://www.seavest.co.za/inv/fpdf16/inv-preview.php?Id=44544" TargetMode="External"/><Relationship Id="rId_hyperlink_87" Type="http://schemas.openxmlformats.org/officeDocument/2006/relationships/hyperlink" Target="http://www.seavest.co.za/inv/fpdf16/inv-preview.php?Id=44074" TargetMode="External"/><Relationship Id="rId_hyperlink_88" Type="http://schemas.openxmlformats.org/officeDocument/2006/relationships/hyperlink" Target="http://www.seavest.co.za/inv/fpdf16/inv-preview.php?Id=44030" TargetMode="External"/><Relationship Id="rId_hyperlink_89" Type="http://schemas.openxmlformats.org/officeDocument/2006/relationships/hyperlink" Target="http://www.seavest.co.za/inv/fpdf16/inv-preview.php?Id=44368" TargetMode="External"/><Relationship Id="rId_hyperlink_90" Type="http://schemas.openxmlformats.org/officeDocument/2006/relationships/hyperlink" Target="http://www.seavest.co.za/inv/fpdf16/inv-preview.php?Id=43415" TargetMode="External"/><Relationship Id="rId_hyperlink_91" Type="http://schemas.openxmlformats.org/officeDocument/2006/relationships/hyperlink" Target="http://www.seavest.co.za/inv/fpdf16/inv-preview.php?Id=44386" TargetMode="External"/><Relationship Id="rId_hyperlink_92" Type="http://schemas.openxmlformats.org/officeDocument/2006/relationships/hyperlink" Target="http://www.seavest.co.za/inv/fpdf16/inv-preview.php?Id=42658" TargetMode="External"/><Relationship Id="rId_hyperlink_93" Type="http://schemas.openxmlformats.org/officeDocument/2006/relationships/hyperlink" Target="http://www.seavest.co.za/inv/fpdf16/inv-preview.php?Id=44949" TargetMode="External"/><Relationship Id="rId_hyperlink_94" Type="http://schemas.openxmlformats.org/officeDocument/2006/relationships/hyperlink" Target="http://www.seavest.co.za/inv/fpdf16/inv-preview.php?Id=44948" TargetMode="External"/><Relationship Id="rId_hyperlink_95" Type="http://schemas.openxmlformats.org/officeDocument/2006/relationships/hyperlink" Target="http://www.seavest.co.za/inv/fpdf16/inv-preview.php?Id=44883" TargetMode="External"/><Relationship Id="rId_hyperlink_96" Type="http://schemas.openxmlformats.org/officeDocument/2006/relationships/hyperlink" Target="http://www.seavest.co.za/inv/fpdf16/inv-preview.php?Id=44945" TargetMode="External"/><Relationship Id="rId_hyperlink_97" Type="http://schemas.openxmlformats.org/officeDocument/2006/relationships/hyperlink" Target="http://www.seavest.co.za/inv/fpdf16/inv-preview.php?Id=44003" TargetMode="External"/><Relationship Id="rId_hyperlink_98" Type="http://schemas.openxmlformats.org/officeDocument/2006/relationships/hyperlink" Target="http://www.seavest.co.za/inv/fpdf16/inv-preview.php?Id=43410" TargetMode="External"/><Relationship Id="rId_hyperlink_99" Type="http://schemas.openxmlformats.org/officeDocument/2006/relationships/hyperlink" Target="http://www.seavest.co.za/inv/fpdf16/inv-preview.php?Id=44420" TargetMode="External"/><Relationship Id="rId_hyperlink_100" Type="http://schemas.openxmlformats.org/officeDocument/2006/relationships/hyperlink" Target="http://www.seavest.co.za/inv/fpdf16/inv-preview.php?Id=41526" TargetMode="External"/><Relationship Id="rId_hyperlink_101" Type="http://schemas.openxmlformats.org/officeDocument/2006/relationships/hyperlink" Target="http://www.seavest.co.za/inv/fpdf16/inv-preview.php?Id=44366" TargetMode="External"/><Relationship Id="rId_hyperlink_102" Type="http://schemas.openxmlformats.org/officeDocument/2006/relationships/hyperlink" Target="http://www.seavest.co.za/inv/fpdf16/inv-preview.php?Id=43635" TargetMode="External"/><Relationship Id="rId_hyperlink_103" Type="http://schemas.openxmlformats.org/officeDocument/2006/relationships/hyperlink" Target="http://www.seavest.co.za/inv/fpdf16/inv-preview.php?Id=43712" TargetMode="External"/><Relationship Id="rId_hyperlink_104" Type="http://schemas.openxmlformats.org/officeDocument/2006/relationships/hyperlink" Target="http://www.seavest.co.za/inv/fpdf16/inv-preview.php?Id=43762" TargetMode="External"/><Relationship Id="rId_hyperlink_105" Type="http://schemas.openxmlformats.org/officeDocument/2006/relationships/hyperlink" Target="http://www.seavest.co.za/inv/fpdf16/inv-preview.php?Id=42383" TargetMode="External"/><Relationship Id="rId_hyperlink_106" Type="http://schemas.openxmlformats.org/officeDocument/2006/relationships/hyperlink" Target="http://www.seavest.co.za/inv/fpdf16/inv-preview.php?Id=44941" TargetMode="External"/><Relationship Id="rId_hyperlink_107" Type="http://schemas.openxmlformats.org/officeDocument/2006/relationships/hyperlink" Target="http://www.seavest.co.za/inv/fpdf16/inv-preview.php?Id=44950" TargetMode="External"/><Relationship Id="rId_hyperlink_108" Type="http://schemas.openxmlformats.org/officeDocument/2006/relationships/hyperlink" Target="http://www.seavest.co.za/inv/fpdf16/inv-preview.php?Id=43983" TargetMode="External"/><Relationship Id="rId_hyperlink_109" Type="http://schemas.openxmlformats.org/officeDocument/2006/relationships/hyperlink" Target="http://www.seavest.co.za/inv/fpdf16/inv-preview.php?Id=43880" TargetMode="External"/><Relationship Id="rId_hyperlink_110" Type="http://schemas.openxmlformats.org/officeDocument/2006/relationships/hyperlink" Target="http://www.seavest.co.za/inv/fpdf16/inv-preview.php?Id=43992" TargetMode="External"/><Relationship Id="rId_hyperlink_111" Type="http://schemas.openxmlformats.org/officeDocument/2006/relationships/hyperlink" Target="http://www.seavest.co.za/inv/fpdf16/inv-preview.php?Id=44722" TargetMode="External"/><Relationship Id="rId_hyperlink_112" Type="http://schemas.openxmlformats.org/officeDocument/2006/relationships/hyperlink" Target="http://www.seavest.co.za/inv/fpdf16/inv-preview.php?Id=40253" TargetMode="External"/><Relationship Id="rId_hyperlink_113" Type="http://schemas.openxmlformats.org/officeDocument/2006/relationships/hyperlink" Target="http://www.seavest.co.za/inv/fpdf16/inv-preview.php?Id=44333" TargetMode="External"/><Relationship Id="rId_hyperlink_114" Type="http://schemas.openxmlformats.org/officeDocument/2006/relationships/hyperlink" Target="http://www.seavest.co.za/inv/fpdf16/inv-preview.php?Id=44560" TargetMode="External"/><Relationship Id="rId_hyperlink_115" Type="http://schemas.openxmlformats.org/officeDocument/2006/relationships/hyperlink" Target="http://www.seavest.co.za/inv/fpdf16/inv-preview.php?Id=38894" TargetMode="External"/><Relationship Id="rId_hyperlink_116" Type="http://schemas.openxmlformats.org/officeDocument/2006/relationships/hyperlink" Target="http://www.seavest.co.za/inv/fpdf16/inv-preview.php?Id=44335" TargetMode="External"/><Relationship Id="rId_hyperlink_117" Type="http://schemas.openxmlformats.org/officeDocument/2006/relationships/hyperlink" Target="http://www.seavest.co.za/inv/fpdf16/inv-preview.php?Id=43585" TargetMode="External"/><Relationship Id="rId_hyperlink_118" Type="http://schemas.openxmlformats.org/officeDocument/2006/relationships/hyperlink" Target="http://www.seavest.co.za/inv/fpdf16/inv-preview.php?Id=42441" TargetMode="External"/><Relationship Id="rId_hyperlink_119" Type="http://schemas.openxmlformats.org/officeDocument/2006/relationships/hyperlink" Target="http://www.seavest.co.za/inv/fpdf16/inv-preview.php?Id=42651" TargetMode="External"/><Relationship Id="rId_hyperlink_120" Type="http://schemas.openxmlformats.org/officeDocument/2006/relationships/hyperlink" Target="http://www.seavest.co.za/inv/fpdf16/inv-preview.php?Id=42929" TargetMode="External"/><Relationship Id="rId_hyperlink_121" Type="http://schemas.openxmlformats.org/officeDocument/2006/relationships/hyperlink" Target="http://www.seavest.co.za/inv/fpdf16/inv-preview.php?Id=43132" TargetMode="External"/><Relationship Id="rId_hyperlink_122" Type="http://schemas.openxmlformats.org/officeDocument/2006/relationships/hyperlink" Target="http://www.seavest.co.za/inv/fpdf16/inv-preview.php?Id=43169" TargetMode="External"/><Relationship Id="rId_hyperlink_123" Type="http://schemas.openxmlformats.org/officeDocument/2006/relationships/hyperlink" Target="http://www.seavest.co.za/inv/fpdf16/inv-preview.php?Id=43218" TargetMode="External"/><Relationship Id="rId_hyperlink_124" Type="http://schemas.openxmlformats.org/officeDocument/2006/relationships/hyperlink" Target="http://www.seavest.co.za/inv/fpdf16/inv-preview.php?Id=43219" TargetMode="External"/><Relationship Id="rId_hyperlink_125" Type="http://schemas.openxmlformats.org/officeDocument/2006/relationships/hyperlink" Target="http://www.seavest.co.za/inv/fpdf16/inv-preview.php?Id=40663" TargetMode="External"/><Relationship Id="rId_hyperlink_126" Type="http://schemas.openxmlformats.org/officeDocument/2006/relationships/hyperlink" Target="http://www.seavest.co.za/inv/fpdf16/inv-preview.php?Id=43394" TargetMode="External"/><Relationship Id="rId_hyperlink_127" Type="http://schemas.openxmlformats.org/officeDocument/2006/relationships/hyperlink" Target="http://www.seavest.co.za/inv/fpdf16/inv-preview.php?Id=43329" TargetMode="External"/><Relationship Id="rId_hyperlink_128" Type="http://schemas.openxmlformats.org/officeDocument/2006/relationships/hyperlink" Target="http://www.seavest.co.za/inv/fpdf16/inv-preview.php?Id=41830" TargetMode="External"/><Relationship Id="rId_hyperlink_129" Type="http://schemas.openxmlformats.org/officeDocument/2006/relationships/hyperlink" Target="http://www.seavest.co.za/inv/fpdf16/inv-preview.php?Id=41436" TargetMode="External"/><Relationship Id="rId_hyperlink_130" Type="http://schemas.openxmlformats.org/officeDocument/2006/relationships/hyperlink" Target="http://www.seavest.co.za/inv/fpdf16/inv-preview.php?Id=43796" TargetMode="External"/><Relationship Id="rId_hyperlink_131" Type="http://schemas.openxmlformats.org/officeDocument/2006/relationships/hyperlink" Target="http://www.seavest.co.za/inv/fpdf16/inv-preview.php?Id=43851" TargetMode="External"/><Relationship Id="rId_hyperlink_132" Type="http://schemas.openxmlformats.org/officeDocument/2006/relationships/hyperlink" Target="http://www.seavest.co.za/inv/fpdf16/inv-preview.php?Id=43915" TargetMode="External"/><Relationship Id="rId_hyperlink_133" Type="http://schemas.openxmlformats.org/officeDocument/2006/relationships/hyperlink" Target="http://www.seavest.co.za/inv/fpdf16/inv-preview.php?Id=44887" TargetMode="External"/><Relationship Id="rId_hyperlink_134" Type="http://schemas.openxmlformats.org/officeDocument/2006/relationships/hyperlink" Target="http://www.seavest.co.za/inv/fpdf16/inv-preview.php?Id=44960" TargetMode="External"/><Relationship Id="rId_hyperlink_135" Type="http://schemas.openxmlformats.org/officeDocument/2006/relationships/hyperlink" Target="http://www.seavest.co.za/inv/fpdf16/inv-preview.php?Id=44964" TargetMode="External"/><Relationship Id="rId_hyperlink_136" Type="http://schemas.openxmlformats.org/officeDocument/2006/relationships/hyperlink" Target="http://www.seavest.co.za/inv/fpdf16/inv-preview.php?Id=44961" TargetMode="External"/><Relationship Id="rId_hyperlink_137" Type="http://schemas.openxmlformats.org/officeDocument/2006/relationships/hyperlink" Target="http://www.seavest.co.za/inv/fpdf16/inv-preview.php?Id=40439" TargetMode="External"/><Relationship Id="rId_hyperlink_138" Type="http://schemas.openxmlformats.org/officeDocument/2006/relationships/hyperlink" Target="http://www.seavest.co.za/inv/fpdf16/inv-preview.php?Id=43196" TargetMode="External"/><Relationship Id="rId_hyperlink_139" Type="http://schemas.openxmlformats.org/officeDocument/2006/relationships/hyperlink" Target="http://www.seavest.co.za/inv/fpdf16/inv-preview.php?Id=42824" TargetMode="External"/><Relationship Id="rId_hyperlink_140" Type="http://schemas.openxmlformats.org/officeDocument/2006/relationships/hyperlink" Target="http://www.seavest.co.za/inv/fpdf16/inv-preview.php?Id=40765" TargetMode="External"/><Relationship Id="rId_hyperlink_141" Type="http://schemas.openxmlformats.org/officeDocument/2006/relationships/hyperlink" Target="http://www.seavest.co.za/inv/fpdf16/inv-preview.php?Id=44415" TargetMode="External"/><Relationship Id="rId_hyperlink_142" Type="http://schemas.openxmlformats.org/officeDocument/2006/relationships/hyperlink" Target="http://www.seavest.co.za/inv/fpdf16/inv-preview.php?Id=44397" TargetMode="External"/><Relationship Id="rId_hyperlink_143" Type="http://schemas.openxmlformats.org/officeDocument/2006/relationships/hyperlink" Target="http://www.seavest.co.za/inv/fpdf16/inv-preview.php?Id=44407" TargetMode="External"/><Relationship Id="rId_hyperlink_144" Type="http://schemas.openxmlformats.org/officeDocument/2006/relationships/hyperlink" Target="http://www.seavest.co.za/inv/fpdf16/inv-preview.php?Id=44425" TargetMode="External"/><Relationship Id="rId_hyperlink_145" Type="http://schemas.openxmlformats.org/officeDocument/2006/relationships/hyperlink" Target="http://www.seavest.co.za/inv/fpdf16/inv-preview.php?Id=43730" TargetMode="External"/><Relationship Id="rId_hyperlink_146" Type="http://schemas.openxmlformats.org/officeDocument/2006/relationships/hyperlink" Target="http://www.seavest.co.za/inv/fpdf16/inv-preview.php?Id=41128" TargetMode="External"/><Relationship Id="rId_hyperlink_147" Type="http://schemas.openxmlformats.org/officeDocument/2006/relationships/hyperlink" Target="http://www.seavest.co.za/inv/fpdf16/inv-preview.php?Id=42995" TargetMode="External"/><Relationship Id="rId_hyperlink_148" Type="http://schemas.openxmlformats.org/officeDocument/2006/relationships/hyperlink" Target="http://www.seavest.co.za/inv/fpdf16/inv-preview.php?Id=43364" TargetMode="External"/><Relationship Id="rId_hyperlink_149" Type="http://schemas.openxmlformats.org/officeDocument/2006/relationships/hyperlink" Target="http://www.seavest.co.za/inv/fpdf16/inv-preview.php?Id=44569" TargetMode="External"/><Relationship Id="rId_hyperlink_150" Type="http://schemas.openxmlformats.org/officeDocument/2006/relationships/hyperlink" Target="http://www.seavest.co.za/inv/fpdf16/inv-preview.php?Id=44579" TargetMode="External"/><Relationship Id="rId_hyperlink_151" Type="http://schemas.openxmlformats.org/officeDocument/2006/relationships/hyperlink" Target="http://www.seavest.co.za/inv/fpdf16/inv-preview.php?Id=40740" TargetMode="External"/><Relationship Id="rId_hyperlink_152" Type="http://schemas.openxmlformats.org/officeDocument/2006/relationships/hyperlink" Target="http://www.seavest.co.za/inv/fpdf16/inv-preview.php?Id=42622" TargetMode="External"/><Relationship Id="rId_hyperlink_153" Type="http://schemas.openxmlformats.org/officeDocument/2006/relationships/hyperlink" Target="http://www.seavest.co.za/inv/fpdf16/inv-preview.php?Id=44184" TargetMode="External"/><Relationship Id="rId_hyperlink_154" Type="http://schemas.openxmlformats.org/officeDocument/2006/relationships/hyperlink" Target="http://www.seavest.co.za/inv/fpdf16/inv-preview.php?Id=42336" TargetMode="External"/><Relationship Id="rId_hyperlink_155" Type="http://schemas.openxmlformats.org/officeDocument/2006/relationships/hyperlink" Target="http://www.seavest.co.za/inv/fpdf16/inv-preview.php?Id=40810" TargetMode="External"/><Relationship Id="rId_hyperlink_156" Type="http://schemas.openxmlformats.org/officeDocument/2006/relationships/hyperlink" Target="http://www.seavest.co.za/inv/fpdf16/inv-preview.php?Id=44768" TargetMode="External"/><Relationship Id="rId_hyperlink_157" Type="http://schemas.openxmlformats.org/officeDocument/2006/relationships/hyperlink" Target="http://www.seavest.co.za/inv/fpdf16/inv-preview.php?Id=44775" TargetMode="External"/><Relationship Id="rId_hyperlink_158" Type="http://schemas.openxmlformats.org/officeDocument/2006/relationships/hyperlink" Target="http://www.seavest.co.za/inv/fpdf16/inv-preview.php?Id=44735" TargetMode="External"/><Relationship Id="rId_hyperlink_159" Type="http://schemas.openxmlformats.org/officeDocument/2006/relationships/hyperlink" Target="http://www.seavest.co.za/inv/fpdf16/inv-preview.php?Id=44526" TargetMode="External"/><Relationship Id="rId_hyperlink_160" Type="http://schemas.openxmlformats.org/officeDocument/2006/relationships/hyperlink" Target="http://www.seavest.co.za/inv/fpdf16/inv-preview.php?Id=42116" TargetMode="External"/><Relationship Id="rId_hyperlink_161" Type="http://schemas.openxmlformats.org/officeDocument/2006/relationships/hyperlink" Target="http://www.seavest.co.za/inv/fpdf16/inv-preview.php?Id=41809" TargetMode="External"/><Relationship Id="rId_hyperlink_162" Type="http://schemas.openxmlformats.org/officeDocument/2006/relationships/hyperlink" Target="http://www.seavest.co.za/inv/fpdf16/inv-preview.php?Id=41818" TargetMode="External"/><Relationship Id="rId_hyperlink_163" Type="http://schemas.openxmlformats.org/officeDocument/2006/relationships/hyperlink" Target="http://www.seavest.co.za/inv/fpdf16/inv-preview.php?Id=44573" TargetMode="External"/><Relationship Id="rId_hyperlink_164" Type="http://schemas.openxmlformats.org/officeDocument/2006/relationships/hyperlink" Target="http://www.seavest.co.za/inv/fpdf16/inv-preview.php?Id=44285" TargetMode="External"/><Relationship Id="rId_hyperlink_165" Type="http://schemas.openxmlformats.org/officeDocument/2006/relationships/hyperlink" Target="http://www.seavest.co.za/inv/fpdf16/inv-preview.php?Id=41464" TargetMode="External"/><Relationship Id="rId_hyperlink_166" Type="http://schemas.openxmlformats.org/officeDocument/2006/relationships/hyperlink" Target="http://www.seavest.co.za/inv/fpdf16/inv-preview.php?Id=40929" TargetMode="External"/><Relationship Id="rId_hyperlink_167" Type="http://schemas.openxmlformats.org/officeDocument/2006/relationships/hyperlink" Target="http://www.seavest.co.za/inv/fpdf16/inv-preview.php?Id=40911" TargetMode="External"/><Relationship Id="rId_hyperlink_168" Type="http://schemas.openxmlformats.org/officeDocument/2006/relationships/hyperlink" Target="http://www.seavest.co.za/inv/fpdf16/inv-preview.php?Id=40940" TargetMode="External"/><Relationship Id="rId_hyperlink_169" Type="http://schemas.openxmlformats.org/officeDocument/2006/relationships/hyperlink" Target="http://www.seavest.co.za/inv/fpdf16/inv-preview.php?Id=42692" TargetMode="External"/><Relationship Id="rId_hyperlink_170" Type="http://schemas.openxmlformats.org/officeDocument/2006/relationships/hyperlink" Target="http://www.seavest.co.za/inv/fpdf16/inv-preview.php?Id=44967" TargetMode="External"/><Relationship Id="rId_hyperlink_171" Type="http://schemas.openxmlformats.org/officeDocument/2006/relationships/hyperlink" Target="http://www.seavest.co.za/inv/fpdf16/inv-preview.php?Id=44962" TargetMode="External"/><Relationship Id="rId_hyperlink_172" Type="http://schemas.openxmlformats.org/officeDocument/2006/relationships/hyperlink" Target="http://www.seavest.co.za/inv/fpdf16/inv-preview.php?Id=44954" TargetMode="External"/><Relationship Id="rId_hyperlink_173" Type="http://schemas.openxmlformats.org/officeDocument/2006/relationships/hyperlink" Target="http://www.seavest.co.za/inv/fpdf16/inv-preview.php?Id=40357" TargetMode="External"/><Relationship Id="rId_hyperlink_174" Type="http://schemas.openxmlformats.org/officeDocument/2006/relationships/hyperlink" Target="http://www.seavest.co.za/inv/fpdf16/inv-preview.php?Id=41058" TargetMode="External"/><Relationship Id="rId_hyperlink_175" Type="http://schemas.openxmlformats.org/officeDocument/2006/relationships/hyperlink" Target="http://www.seavest.co.za/inv/fpdf16/inv-preview.php?Id=44773" TargetMode="External"/><Relationship Id="rId_hyperlink_176" Type="http://schemas.openxmlformats.org/officeDocument/2006/relationships/hyperlink" Target="http://www.seavest.co.za/inv/fpdf16/inv-preview.php?Id=44754" TargetMode="External"/><Relationship Id="rId_hyperlink_177" Type="http://schemas.openxmlformats.org/officeDocument/2006/relationships/hyperlink" Target="http://www.seavest.co.za/inv/fpdf16/inv-preview.php?Id=43054" TargetMode="External"/><Relationship Id="rId_hyperlink_178" Type="http://schemas.openxmlformats.org/officeDocument/2006/relationships/hyperlink" Target="http://www.seavest.co.za/inv/fpdf16/inv-preview.php?Id=41859" TargetMode="External"/><Relationship Id="rId_hyperlink_179" Type="http://schemas.openxmlformats.org/officeDocument/2006/relationships/hyperlink" Target="http://www.seavest.co.za/inv/fpdf16/inv-preview.php?Id=43156" TargetMode="External"/><Relationship Id="rId_hyperlink_180" Type="http://schemas.openxmlformats.org/officeDocument/2006/relationships/hyperlink" Target="http://www.seavest.co.za/inv/fpdf16/inv-preview.php?Id=44582" TargetMode="External"/><Relationship Id="rId_hyperlink_181" Type="http://schemas.openxmlformats.org/officeDocument/2006/relationships/hyperlink" Target="http://www.seavest.co.za/inv/fpdf16/inv-preview.php?Id=44410" TargetMode="External"/><Relationship Id="rId_hyperlink_182" Type="http://schemas.openxmlformats.org/officeDocument/2006/relationships/hyperlink" Target="http://www.seavest.co.za/inv/fpdf16/inv-preview.php?Id=44409" TargetMode="External"/><Relationship Id="rId_hyperlink_183" Type="http://schemas.openxmlformats.org/officeDocument/2006/relationships/hyperlink" Target="http://www.seavest.co.za/inv/fpdf16/inv-preview.php?Id=44392" TargetMode="External"/><Relationship Id="rId_hyperlink_184" Type="http://schemas.openxmlformats.org/officeDocument/2006/relationships/hyperlink" Target="http://www.seavest.co.za/inv/fpdf16/inv-preview.php?Id=44129" TargetMode="External"/><Relationship Id="rId_hyperlink_185" Type="http://schemas.openxmlformats.org/officeDocument/2006/relationships/hyperlink" Target="http://www.seavest.co.za/inv/fpdf16/inv-preview.php?Id=41981" TargetMode="External"/><Relationship Id="rId_hyperlink_186" Type="http://schemas.openxmlformats.org/officeDocument/2006/relationships/hyperlink" Target="http://www.seavest.co.za/inv/fpdf16/inv-preview.php?Id=42036" TargetMode="External"/><Relationship Id="rId_hyperlink_187" Type="http://schemas.openxmlformats.org/officeDocument/2006/relationships/hyperlink" Target="http://www.seavest.co.za/inv/fpdf16/inv-preview.php?Id=42318" TargetMode="External"/><Relationship Id="rId_hyperlink_188" Type="http://schemas.openxmlformats.org/officeDocument/2006/relationships/hyperlink" Target="http://www.seavest.co.za/inv/fpdf16/inv-preview.php?Id=42319" TargetMode="External"/><Relationship Id="rId_hyperlink_189" Type="http://schemas.openxmlformats.org/officeDocument/2006/relationships/hyperlink" Target="http://www.seavest.co.za/inv/fpdf16/inv-preview.php?Id=42727" TargetMode="External"/><Relationship Id="rId_hyperlink_190" Type="http://schemas.openxmlformats.org/officeDocument/2006/relationships/hyperlink" Target="http://www.seavest.co.za/inv/fpdf16/inv-preview.php?Id=40781" TargetMode="External"/><Relationship Id="rId_hyperlink_191" Type="http://schemas.openxmlformats.org/officeDocument/2006/relationships/hyperlink" Target="http://www.seavest.co.za/inv/fpdf16/inv-preview.php?Id=42085" TargetMode="External"/><Relationship Id="rId_hyperlink_192" Type="http://schemas.openxmlformats.org/officeDocument/2006/relationships/hyperlink" Target="http://www.seavest.co.za/inv/fpdf16/inv-preview.php?Id=41908" TargetMode="External"/><Relationship Id="rId_hyperlink_193" Type="http://schemas.openxmlformats.org/officeDocument/2006/relationships/hyperlink" Target="http://www.seavest.co.za/inv/fpdf16/inv-preview.php?Id=42305" TargetMode="External"/><Relationship Id="rId_hyperlink_194" Type="http://schemas.openxmlformats.org/officeDocument/2006/relationships/hyperlink" Target="http://www.seavest.co.za/inv/fpdf16/inv-preview.php?Id=42256" TargetMode="External"/><Relationship Id="rId_hyperlink_195" Type="http://schemas.openxmlformats.org/officeDocument/2006/relationships/hyperlink" Target="http://www.seavest.co.za/inv/fpdf16/inv-preview.php?Id=43596" TargetMode="External"/><Relationship Id="rId_hyperlink_196" Type="http://schemas.openxmlformats.org/officeDocument/2006/relationships/hyperlink" Target="http://www.seavest.co.za/inv/fpdf16/inv-preview.php?Id=43498" TargetMode="External"/><Relationship Id="rId_hyperlink_197" Type="http://schemas.openxmlformats.org/officeDocument/2006/relationships/hyperlink" Target="http://www.seavest.co.za/inv/fpdf16/inv-preview.php?Id=43291" TargetMode="External"/><Relationship Id="rId_hyperlink_198" Type="http://schemas.openxmlformats.org/officeDocument/2006/relationships/hyperlink" Target="http://www.seavest.co.za/inv/fpdf16/inv-preview.php?Id=43605" TargetMode="External"/><Relationship Id="rId_hyperlink_199" Type="http://schemas.openxmlformats.org/officeDocument/2006/relationships/hyperlink" Target="http://www.seavest.co.za/inv/fpdf16/inv-preview.php?Id=42998" TargetMode="External"/><Relationship Id="rId_hyperlink_200" Type="http://schemas.openxmlformats.org/officeDocument/2006/relationships/hyperlink" Target="http://www.seavest.co.za/inv/fpdf16/inv-preview.php?Id=43112" TargetMode="External"/><Relationship Id="rId_hyperlink_201" Type="http://schemas.openxmlformats.org/officeDocument/2006/relationships/hyperlink" Target="http://www.seavest.co.za/inv/fpdf16/inv-preview.php?Id=43253" TargetMode="External"/><Relationship Id="rId_hyperlink_202" Type="http://schemas.openxmlformats.org/officeDocument/2006/relationships/hyperlink" Target="http://www.seavest.co.za/inv/fpdf16/inv-preview.php?Id=43430" TargetMode="External"/><Relationship Id="rId_hyperlink_203" Type="http://schemas.openxmlformats.org/officeDocument/2006/relationships/hyperlink" Target="http://www.seavest.co.za/inv/fpdf16/inv-preview.php?Id=41367" TargetMode="External"/><Relationship Id="rId_hyperlink_204" Type="http://schemas.openxmlformats.org/officeDocument/2006/relationships/hyperlink" Target="http://www.seavest.co.za/inv/fpdf16/inv-preview.php?Id=44354" TargetMode="External"/><Relationship Id="rId_hyperlink_205" Type="http://schemas.openxmlformats.org/officeDocument/2006/relationships/hyperlink" Target="http://www.seavest.co.za/inv/fpdf16/inv-preview.php?Id=44587" TargetMode="External"/><Relationship Id="rId_hyperlink_206" Type="http://schemas.openxmlformats.org/officeDocument/2006/relationships/hyperlink" Target="http://www.seavest.co.za/inv/fpdf16/inv-preview.php?Id=44390" TargetMode="External"/><Relationship Id="rId_hyperlink_207" Type="http://schemas.openxmlformats.org/officeDocument/2006/relationships/hyperlink" Target="http://www.seavest.co.za/inv/fpdf16/inv-preview.php?Id=43649" TargetMode="External"/><Relationship Id="rId_hyperlink_208" Type="http://schemas.openxmlformats.org/officeDocument/2006/relationships/hyperlink" Target="http://www.seavest.co.za/inv/fpdf16/inv-preview.php?Id=43741" TargetMode="External"/><Relationship Id="rId_hyperlink_209" Type="http://schemas.openxmlformats.org/officeDocument/2006/relationships/hyperlink" Target="http://www.seavest.co.za/inv/fpdf16/inv-preview.php?Id=43752" TargetMode="External"/><Relationship Id="rId_hyperlink_210" Type="http://schemas.openxmlformats.org/officeDocument/2006/relationships/hyperlink" Target="http://www.seavest.co.za/inv/fpdf16/inv-preview.php?Id=43764" TargetMode="External"/><Relationship Id="rId_hyperlink_211" Type="http://schemas.openxmlformats.org/officeDocument/2006/relationships/hyperlink" Target="http://www.seavest.co.za/inv/fpdf16/inv-preview.php?Id=43817" TargetMode="External"/><Relationship Id="rId_hyperlink_212" Type="http://schemas.openxmlformats.org/officeDocument/2006/relationships/hyperlink" Target="http://www.seavest.co.za/inv/fpdf16/inv-preview.php?Id=43821" TargetMode="External"/><Relationship Id="rId_hyperlink_213" Type="http://schemas.openxmlformats.org/officeDocument/2006/relationships/hyperlink" Target="http://www.seavest.co.za/inv/fpdf16/inv-preview.php?Id=43838" TargetMode="External"/><Relationship Id="rId_hyperlink_214" Type="http://schemas.openxmlformats.org/officeDocument/2006/relationships/hyperlink" Target="http://www.seavest.co.za/inv/fpdf16/inv-preview.php?Id=44080" TargetMode="External"/><Relationship Id="rId_hyperlink_215" Type="http://schemas.openxmlformats.org/officeDocument/2006/relationships/hyperlink" Target="http://www.seavest.co.za/inv/fpdf16/inv-preview.php?Id=42583" TargetMode="External"/><Relationship Id="rId_hyperlink_216" Type="http://schemas.openxmlformats.org/officeDocument/2006/relationships/hyperlink" Target="http://www.seavest.co.za/inv/fpdf16/inv-preview.php?Id=42766" TargetMode="External"/><Relationship Id="rId_hyperlink_217" Type="http://schemas.openxmlformats.org/officeDocument/2006/relationships/hyperlink" Target="http://www.seavest.co.za/inv/fpdf16/inv-preview.php?Id=41788" TargetMode="External"/><Relationship Id="rId_hyperlink_218" Type="http://schemas.openxmlformats.org/officeDocument/2006/relationships/hyperlink" Target="http://www.seavest.co.za/inv/fpdf16/inv-preview.php?Id=44955" TargetMode="External"/><Relationship Id="rId_hyperlink_219" Type="http://schemas.openxmlformats.org/officeDocument/2006/relationships/hyperlink" Target="http://www.seavest.co.za/inv/fpdf16/inv-preview.php?Id=41069" TargetMode="External"/><Relationship Id="rId_hyperlink_220" Type="http://schemas.openxmlformats.org/officeDocument/2006/relationships/hyperlink" Target="http://www.seavest.co.za/inv/fpdf16/inv-preview.php?Id=40123" TargetMode="External"/><Relationship Id="rId_hyperlink_221" Type="http://schemas.openxmlformats.org/officeDocument/2006/relationships/hyperlink" Target="http://www.seavest.co.za/inv/fpdf16/inv-preview.php?Id=41739" TargetMode="External"/><Relationship Id="rId_hyperlink_222" Type="http://schemas.openxmlformats.org/officeDocument/2006/relationships/hyperlink" Target="http://www.seavest.co.za/inv/fpdf16/inv-preview.php?Id=42224" TargetMode="External"/><Relationship Id="rId_hyperlink_223" Type="http://schemas.openxmlformats.org/officeDocument/2006/relationships/hyperlink" Target="http://www.seavest.co.za/inv/fpdf16/inv-preview.php?Id=42333" TargetMode="External"/><Relationship Id="rId_hyperlink_224" Type="http://schemas.openxmlformats.org/officeDocument/2006/relationships/hyperlink" Target="http://www.seavest.co.za/inv/fpdf16/inv-preview.php?Id=43590" TargetMode="External"/><Relationship Id="rId_hyperlink_225" Type="http://schemas.openxmlformats.org/officeDocument/2006/relationships/hyperlink" Target="http://www.seavest.co.za/inv/fpdf16/inv-preview.php?Id=43024" TargetMode="External"/><Relationship Id="rId_hyperlink_226" Type="http://schemas.openxmlformats.org/officeDocument/2006/relationships/hyperlink" Target="http://www.seavest.co.za/inv/fpdf16/inv-preview.php?Id=42314" TargetMode="External"/><Relationship Id="rId_hyperlink_227" Type="http://schemas.openxmlformats.org/officeDocument/2006/relationships/hyperlink" Target="http://www.seavest.co.za/inv/fpdf16/inv-preview.php?Id=42499" TargetMode="External"/><Relationship Id="rId_hyperlink_228" Type="http://schemas.openxmlformats.org/officeDocument/2006/relationships/hyperlink" Target="http://www.seavest.co.za/inv/fpdf16/inv-preview.php?Id=42531" TargetMode="External"/><Relationship Id="rId_hyperlink_229" Type="http://schemas.openxmlformats.org/officeDocument/2006/relationships/hyperlink" Target="http://www.seavest.co.za/inv/fpdf16/inv-preview.php?Id=42532" TargetMode="External"/><Relationship Id="rId_hyperlink_230" Type="http://schemas.openxmlformats.org/officeDocument/2006/relationships/hyperlink" Target="http://www.seavest.co.za/inv/fpdf16/inv-preview.php?Id=42534" TargetMode="External"/><Relationship Id="rId_hyperlink_231" Type="http://schemas.openxmlformats.org/officeDocument/2006/relationships/hyperlink" Target="http://www.seavest.co.za/inv/fpdf16/inv-preview.php?Id=42536" TargetMode="External"/><Relationship Id="rId_hyperlink_232" Type="http://schemas.openxmlformats.org/officeDocument/2006/relationships/hyperlink" Target="http://www.seavest.co.za/inv/fpdf16/inv-preview.php?Id=42632" TargetMode="External"/><Relationship Id="rId_hyperlink_233" Type="http://schemas.openxmlformats.org/officeDocument/2006/relationships/hyperlink" Target="http://www.seavest.co.za/inv/fpdf16/inv-preview.php?Id=42644" TargetMode="External"/><Relationship Id="rId_hyperlink_234" Type="http://schemas.openxmlformats.org/officeDocument/2006/relationships/hyperlink" Target="http://www.seavest.co.za/inv/fpdf16/inv-preview.php?Id=42659" TargetMode="External"/><Relationship Id="rId_hyperlink_235" Type="http://schemas.openxmlformats.org/officeDocument/2006/relationships/hyperlink" Target="http://www.seavest.co.za/inv/fpdf16/inv-preview.php?Id=44595" TargetMode="External"/><Relationship Id="rId_hyperlink_236" Type="http://schemas.openxmlformats.org/officeDocument/2006/relationships/hyperlink" Target="http://www.seavest.co.za/inv/fpdf16/inv-preview.php?Id=41593" TargetMode="External"/><Relationship Id="rId_hyperlink_237" Type="http://schemas.openxmlformats.org/officeDocument/2006/relationships/hyperlink" Target="http://www.seavest.co.za/inv/fpdf16/inv-preview.php?Id=43079" TargetMode="External"/><Relationship Id="rId_hyperlink_238" Type="http://schemas.openxmlformats.org/officeDocument/2006/relationships/hyperlink" Target="http://www.seavest.co.za/inv/fpdf16/inv-preview.php?Id=44370" TargetMode="External"/><Relationship Id="rId_hyperlink_239" Type="http://schemas.openxmlformats.org/officeDocument/2006/relationships/hyperlink" Target="http://www.seavest.co.za/inv/fpdf16/inv-preview.php?Id=43501" TargetMode="External"/><Relationship Id="rId_hyperlink_240" Type="http://schemas.openxmlformats.org/officeDocument/2006/relationships/hyperlink" Target="http://www.seavest.co.za/inv/fpdf16/inv-preview.php?Id=43717" TargetMode="External"/><Relationship Id="rId_hyperlink_241" Type="http://schemas.openxmlformats.org/officeDocument/2006/relationships/hyperlink" Target="http://www.seavest.co.za/inv/fpdf16/inv-preview.php?Id=42690" TargetMode="External"/><Relationship Id="rId_hyperlink_242" Type="http://schemas.openxmlformats.org/officeDocument/2006/relationships/hyperlink" Target="http://www.seavest.co.za/inv/fpdf16/inv-preview.php?Id=43698" TargetMode="External"/><Relationship Id="rId_hyperlink_243" Type="http://schemas.openxmlformats.org/officeDocument/2006/relationships/hyperlink" Target="http://www.seavest.co.za/inv/fpdf16/inv-preview.php?Id=43659" TargetMode="External"/><Relationship Id="rId_hyperlink_244" Type="http://schemas.openxmlformats.org/officeDocument/2006/relationships/hyperlink" Target="http://www.seavest.co.za/inv/fpdf16/inv-preview.php?Id=43759" TargetMode="External"/><Relationship Id="rId_hyperlink_245" Type="http://schemas.openxmlformats.org/officeDocument/2006/relationships/hyperlink" Target="http://www.seavest.co.za/inv/fpdf16/inv-preview.php?Id=43805" TargetMode="External"/><Relationship Id="rId_hyperlink_246" Type="http://schemas.openxmlformats.org/officeDocument/2006/relationships/hyperlink" Target="http://www.seavest.co.za/inv/fpdf16/inv-preview.php?Id=39970" TargetMode="External"/><Relationship Id="rId_hyperlink_247" Type="http://schemas.openxmlformats.org/officeDocument/2006/relationships/hyperlink" Target="http://www.seavest.co.za/inv/fpdf16/inv-preview.php?Id=39999" TargetMode="External"/><Relationship Id="rId_hyperlink_248" Type="http://schemas.openxmlformats.org/officeDocument/2006/relationships/hyperlink" Target="http://www.seavest.co.za/inv/fpdf16/inv-preview.php?Id=44981" TargetMode="External"/><Relationship Id="rId_hyperlink_249" Type="http://schemas.openxmlformats.org/officeDocument/2006/relationships/hyperlink" Target="http://www.seavest.co.za/inv/fpdf16/inv-preview.php?Id=44980" TargetMode="External"/><Relationship Id="rId_hyperlink_250" Type="http://schemas.openxmlformats.org/officeDocument/2006/relationships/hyperlink" Target="http://www.seavest.co.za/inv/fpdf16/inv-preview.php?Id=44869" TargetMode="External"/><Relationship Id="rId_hyperlink_251" Type="http://schemas.openxmlformats.org/officeDocument/2006/relationships/hyperlink" Target="http://www.seavest.co.za/inv/fpdf16/inv-preview.php?Id=44986" TargetMode="External"/><Relationship Id="rId_hyperlink_252" Type="http://schemas.openxmlformats.org/officeDocument/2006/relationships/hyperlink" Target="http://www.seavest.co.za/inv/fpdf16/inv-preview.php?Id=44979" TargetMode="External"/><Relationship Id="rId_hyperlink_253" Type="http://schemas.openxmlformats.org/officeDocument/2006/relationships/hyperlink" Target="http://www.seavest.co.za/inv/fpdf16/inv-preview.php?Id=44974" TargetMode="External"/><Relationship Id="rId_hyperlink_254" Type="http://schemas.openxmlformats.org/officeDocument/2006/relationships/hyperlink" Target="http://www.seavest.co.za/inv/fpdf16/inv-preview.php?Id=44785" TargetMode="External"/><Relationship Id="rId_hyperlink_255" Type="http://schemas.openxmlformats.org/officeDocument/2006/relationships/hyperlink" Target="http://www.seavest.co.za/inv/fpdf16/inv-preview.php?Id=42185" TargetMode="External"/><Relationship Id="rId_hyperlink_256" Type="http://schemas.openxmlformats.org/officeDocument/2006/relationships/hyperlink" Target="http://www.seavest.co.za/inv/fpdf16/inv-preview.php?Id=42253" TargetMode="External"/><Relationship Id="rId_hyperlink_257" Type="http://schemas.openxmlformats.org/officeDocument/2006/relationships/hyperlink" Target="http://www.seavest.co.za/inv/fpdf16/inv-preview.php?Id=42300" TargetMode="External"/><Relationship Id="rId_hyperlink_258" Type="http://schemas.openxmlformats.org/officeDocument/2006/relationships/hyperlink" Target="http://www.seavest.co.za/inv/fpdf16/inv-preview.php?Id=40755" TargetMode="External"/><Relationship Id="rId_hyperlink_259" Type="http://schemas.openxmlformats.org/officeDocument/2006/relationships/hyperlink" Target="http://www.seavest.co.za/inv/fpdf16/inv-preview.php?Id=40498" TargetMode="External"/><Relationship Id="rId_hyperlink_260" Type="http://schemas.openxmlformats.org/officeDocument/2006/relationships/hyperlink" Target="http://www.seavest.co.za/inv/fpdf16/inv-preview.php?Id=40325" TargetMode="External"/><Relationship Id="rId_hyperlink_261" Type="http://schemas.openxmlformats.org/officeDocument/2006/relationships/hyperlink" Target="http://www.seavest.co.za/inv/fpdf16/inv-preview.php?Id=40377" TargetMode="External"/><Relationship Id="rId_hyperlink_262" Type="http://schemas.openxmlformats.org/officeDocument/2006/relationships/hyperlink" Target="http://www.seavest.co.za/inv/fpdf16/inv-preview.php?Id=42427" TargetMode="External"/><Relationship Id="rId_hyperlink_263" Type="http://schemas.openxmlformats.org/officeDocument/2006/relationships/hyperlink" Target="http://www.seavest.co.za/inv/fpdf16/inv-preview.php?Id=43043" TargetMode="External"/><Relationship Id="rId_hyperlink_264" Type="http://schemas.openxmlformats.org/officeDocument/2006/relationships/hyperlink" Target="http://www.seavest.co.za/inv/fpdf16/inv-preview.php?Id=42657" TargetMode="External"/><Relationship Id="rId_hyperlink_265" Type="http://schemas.openxmlformats.org/officeDocument/2006/relationships/hyperlink" Target="http://www.seavest.co.za/inv/fpdf16/inv-preview.php?Id=42966" TargetMode="External"/><Relationship Id="rId_hyperlink_266" Type="http://schemas.openxmlformats.org/officeDocument/2006/relationships/hyperlink" Target="http://www.seavest.co.za/inv/fpdf16/inv-preview.php?Id=43205" TargetMode="External"/><Relationship Id="rId_hyperlink_267" Type="http://schemas.openxmlformats.org/officeDocument/2006/relationships/hyperlink" Target="http://www.seavest.co.za/inv/fpdf16/inv-preview.php?Id=43271" TargetMode="External"/><Relationship Id="rId_hyperlink_268" Type="http://schemas.openxmlformats.org/officeDocument/2006/relationships/hyperlink" Target="http://www.seavest.co.za/inv/fpdf16/inv-preview.php?Id=44607" TargetMode="External"/><Relationship Id="rId_hyperlink_269" Type="http://schemas.openxmlformats.org/officeDocument/2006/relationships/hyperlink" Target="http://www.seavest.co.za/inv/fpdf16/inv-preview.php?Id=44599" TargetMode="External"/><Relationship Id="rId_hyperlink_270" Type="http://schemas.openxmlformats.org/officeDocument/2006/relationships/hyperlink" Target="http://www.seavest.co.za/inv/fpdf16/inv-preview.php?Id=43794" TargetMode="External"/><Relationship Id="rId_hyperlink_271" Type="http://schemas.openxmlformats.org/officeDocument/2006/relationships/hyperlink" Target="http://www.seavest.co.za/inv/fpdf16/inv-preview.php?Id=44151" TargetMode="External"/><Relationship Id="rId_hyperlink_272" Type="http://schemas.openxmlformats.org/officeDocument/2006/relationships/hyperlink" Target="http://www.seavest.co.za/inv/fpdf16/inv-preview.php?Id=44231" TargetMode="External"/><Relationship Id="rId_hyperlink_273" Type="http://schemas.openxmlformats.org/officeDocument/2006/relationships/hyperlink" Target="http://www.seavest.co.za/inv/fpdf16/inv-preview.php?Id=43863" TargetMode="External"/><Relationship Id="rId_hyperlink_274" Type="http://schemas.openxmlformats.org/officeDocument/2006/relationships/hyperlink" Target="http://www.seavest.co.za/inv/fpdf16/inv-preview.php?Id=42495" TargetMode="External"/><Relationship Id="rId_hyperlink_275" Type="http://schemas.openxmlformats.org/officeDocument/2006/relationships/hyperlink" Target="http://www.seavest.co.za/inv/fpdf16/inv-preview.php?Id=44969" TargetMode="External"/><Relationship Id="rId_hyperlink_276" Type="http://schemas.openxmlformats.org/officeDocument/2006/relationships/hyperlink" Target="http://www.seavest.co.za/inv/fpdf16/inv-preview.php?Id=44965" TargetMode="External"/><Relationship Id="rId_hyperlink_277" Type="http://schemas.openxmlformats.org/officeDocument/2006/relationships/hyperlink" Target="http://www.seavest.co.za/inv/fpdf16/inv-preview.php?Id=44957" TargetMode="External"/><Relationship Id="rId_hyperlink_278" Type="http://schemas.openxmlformats.org/officeDocument/2006/relationships/hyperlink" Target="http://www.seavest.co.za/inv/fpdf16/inv-preview.php?Id=44806" TargetMode="External"/><Relationship Id="rId_hyperlink_279" Type="http://schemas.openxmlformats.org/officeDocument/2006/relationships/hyperlink" Target="http://www.seavest.co.za/inv/fpdf16/inv-preview.php?Id=43371" TargetMode="External"/><Relationship Id="rId_hyperlink_280" Type="http://schemas.openxmlformats.org/officeDocument/2006/relationships/hyperlink" Target="http://www.seavest.co.za/inv/fpdf16/inv-preview.php?Id=42776" TargetMode="External"/><Relationship Id="rId_hyperlink_281" Type="http://schemas.openxmlformats.org/officeDocument/2006/relationships/hyperlink" Target="http://www.seavest.co.za/inv/fpdf16/inv-preview.php?Id=43449" TargetMode="External"/><Relationship Id="rId_hyperlink_282" Type="http://schemas.openxmlformats.org/officeDocument/2006/relationships/hyperlink" Target="http://www.seavest.co.za/inv/fpdf16/inv-preview.php?Id=43543" TargetMode="External"/><Relationship Id="rId_hyperlink_283" Type="http://schemas.openxmlformats.org/officeDocument/2006/relationships/hyperlink" Target="http://www.seavest.co.za/inv/fpdf16/inv-preview.php?Id=40472" TargetMode="External"/><Relationship Id="rId_hyperlink_284" Type="http://schemas.openxmlformats.org/officeDocument/2006/relationships/hyperlink" Target="http://www.seavest.co.za/inv/fpdf16/inv-preview.php?Id=40531" TargetMode="External"/><Relationship Id="rId_hyperlink_285" Type="http://schemas.openxmlformats.org/officeDocument/2006/relationships/hyperlink" Target="http://www.seavest.co.za/inv/fpdf16/inv-preview.php?Id=42918" TargetMode="External"/><Relationship Id="rId_hyperlink_286" Type="http://schemas.openxmlformats.org/officeDocument/2006/relationships/hyperlink" Target="http://www.seavest.co.za/inv/fpdf16/inv-preview.php?Id=44445" TargetMode="External"/><Relationship Id="rId_hyperlink_287" Type="http://schemas.openxmlformats.org/officeDocument/2006/relationships/hyperlink" Target="http://www.seavest.co.za/inv/fpdf16/inv-preview.php?Id=44416" TargetMode="External"/><Relationship Id="rId_hyperlink_288" Type="http://schemas.openxmlformats.org/officeDocument/2006/relationships/hyperlink" Target="http://www.seavest.co.za/inv/fpdf16/inv-preview.php?Id=44442" TargetMode="External"/><Relationship Id="rId_hyperlink_289" Type="http://schemas.openxmlformats.org/officeDocument/2006/relationships/hyperlink" Target="http://www.seavest.co.za/inv/fpdf16/inv-preview.php?Id=43855" TargetMode="External"/><Relationship Id="rId_hyperlink_290" Type="http://schemas.openxmlformats.org/officeDocument/2006/relationships/hyperlink" Target="http://www.seavest.co.za/inv/fpdf16/inv-preview.php?Id=43075" TargetMode="External"/><Relationship Id="rId_hyperlink_291" Type="http://schemas.openxmlformats.org/officeDocument/2006/relationships/hyperlink" Target="http://www.seavest.co.za/inv/fpdf16/inv-preview.php?Id=43645" TargetMode="External"/><Relationship Id="rId_hyperlink_292" Type="http://schemas.openxmlformats.org/officeDocument/2006/relationships/hyperlink" Target="http://www.seavest.co.za/inv/fpdf16/inv-preview.php?Id=44230" TargetMode="External"/><Relationship Id="rId_hyperlink_293" Type="http://schemas.openxmlformats.org/officeDocument/2006/relationships/hyperlink" Target="http://www.seavest.co.za/inv/fpdf16/inv-preview.php?Id=44202" TargetMode="External"/><Relationship Id="rId_hyperlink_294" Type="http://schemas.openxmlformats.org/officeDocument/2006/relationships/hyperlink" Target="http://www.seavest.co.za/inv/fpdf16/inv-preview.php?Id=44139" TargetMode="External"/><Relationship Id="rId_hyperlink_295" Type="http://schemas.openxmlformats.org/officeDocument/2006/relationships/hyperlink" Target="http://www.seavest.co.za/inv/fpdf16/inv-preview.php?Id=44185" TargetMode="External"/><Relationship Id="rId_hyperlink_296" Type="http://schemas.openxmlformats.org/officeDocument/2006/relationships/hyperlink" Target="http://www.seavest.co.za/inv/fpdf16/inv-preview.php?Id=40151" TargetMode="External"/><Relationship Id="rId_hyperlink_297" Type="http://schemas.openxmlformats.org/officeDocument/2006/relationships/hyperlink" Target="http://www.seavest.co.za/inv/fpdf16/inv-preview.php?Id=39516" TargetMode="External"/><Relationship Id="rId_hyperlink_298" Type="http://schemas.openxmlformats.org/officeDocument/2006/relationships/hyperlink" Target="http://www.seavest.co.za/inv/fpdf16/inv-preview.php?Id=42126" TargetMode="External"/><Relationship Id="rId_hyperlink_299" Type="http://schemas.openxmlformats.org/officeDocument/2006/relationships/hyperlink" Target="http://www.seavest.co.za/inv/fpdf16/inv-preview.php?Id=44819" TargetMode="External"/><Relationship Id="rId_hyperlink_300" Type="http://schemas.openxmlformats.org/officeDocument/2006/relationships/hyperlink" Target="http://www.seavest.co.za/inv/fpdf16/inv-preview.php?Id=40412" TargetMode="External"/><Relationship Id="rId_hyperlink_301" Type="http://schemas.openxmlformats.org/officeDocument/2006/relationships/hyperlink" Target="http://www.seavest.co.za/inv/fpdf16/inv-preview.php?Id=43313" TargetMode="External"/><Relationship Id="rId_hyperlink_302" Type="http://schemas.openxmlformats.org/officeDocument/2006/relationships/hyperlink" Target="http://www.seavest.co.za/inv/fpdf16/inv-preview.php?Id=43460" TargetMode="External"/><Relationship Id="rId_hyperlink_303" Type="http://schemas.openxmlformats.org/officeDocument/2006/relationships/hyperlink" Target="http://www.seavest.co.za/inv/fpdf16/inv-preview.php?Id=43551" TargetMode="External"/><Relationship Id="rId_hyperlink_304" Type="http://schemas.openxmlformats.org/officeDocument/2006/relationships/hyperlink" Target="http://www.seavest.co.za/inv/fpdf16/inv-preview.php?Id=40543" TargetMode="External"/><Relationship Id="rId_hyperlink_305" Type="http://schemas.openxmlformats.org/officeDocument/2006/relationships/hyperlink" Target="http://www.seavest.co.za/inv/fpdf16/inv-preview.php?Id=43455" TargetMode="External"/><Relationship Id="rId_hyperlink_306" Type="http://schemas.openxmlformats.org/officeDocument/2006/relationships/hyperlink" Target="http://www.seavest.co.za/inv/fpdf16/inv-preview.php?Id=44433" TargetMode="External"/><Relationship Id="rId_hyperlink_307" Type="http://schemas.openxmlformats.org/officeDocument/2006/relationships/hyperlink" Target="http://www.seavest.co.za/inv/fpdf16/inv-preview.php?Id=43882" TargetMode="External"/><Relationship Id="rId_hyperlink_308" Type="http://schemas.openxmlformats.org/officeDocument/2006/relationships/hyperlink" Target="http://www.seavest.co.za/inv/fpdf16/inv-preview.php?Id=43850" TargetMode="External"/><Relationship Id="rId_hyperlink_309" Type="http://schemas.openxmlformats.org/officeDocument/2006/relationships/hyperlink" Target="http://www.seavest.co.za/inv/fpdf16/inv-preview.php?Id=43872" TargetMode="External"/><Relationship Id="rId_hyperlink_310" Type="http://schemas.openxmlformats.org/officeDocument/2006/relationships/hyperlink" Target="http://www.seavest.co.za/inv/fpdf16/inv-preview.php?Id=43879" TargetMode="External"/><Relationship Id="rId_hyperlink_311" Type="http://schemas.openxmlformats.org/officeDocument/2006/relationships/hyperlink" Target="http://www.seavest.co.za/inv/fpdf16/inv-preview.php?Id=43883" TargetMode="External"/><Relationship Id="rId_hyperlink_312" Type="http://schemas.openxmlformats.org/officeDocument/2006/relationships/hyperlink" Target="http://www.seavest.co.za/inv/fpdf16/inv-preview.php?Id=41315" TargetMode="External"/><Relationship Id="rId_hyperlink_313" Type="http://schemas.openxmlformats.org/officeDocument/2006/relationships/hyperlink" Target="http://www.seavest.co.za/inv/fpdf16/inv-preview.php?Id=42194" TargetMode="External"/><Relationship Id="rId_hyperlink_314" Type="http://schemas.openxmlformats.org/officeDocument/2006/relationships/hyperlink" Target="http://www.seavest.co.za/inv/fpdf16/inv-preview.php?Id=42764" TargetMode="External"/><Relationship Id="rId_hyperlink_315" Type="http://schemas.openxmlformats.org/officeDocument/2006/relationships/hyperlink" Target="http://www.seavest.co.za/inv/fpdf16/inv-preview.php?Id=43541" TargetMode="External"/><Relationship Id="rId_hyperlink_316" Type="http://schemas.openxmlformats.org/officeDocument/2006/relationships/hyperlink" Target="http://www.seavest.co.za/inv/fpdf16/inv-preview.php?Id=42349" TargetMode="External"/><Relationship Id="rId_hyperlink_317" Type="http://schemas.openxmlformats.org/officeDocument/2006/relationships/hyperlink" Target="http://www.seavest.co.za/inv/fpdf16/inv-preview.php?Id=43336" TargetMode="External"/><Relationship Id="rId_hyperlink_318" Type="http://schemas.openxmlformats.org/officeDocument/2006/relationships/hyperlink" Target="http://www.seavest.co.za/inv/fpdf16/inv-preview.php?Id=43707" TargetMode="External"/><Relationship Id="rId_hyperlink_319" Type="http://schemas.openxmlformats.org/officeDocument/2006/relationships/hyperlink" Target="http://www.seavest.co.za/inv/fpdf16/inv-preview.php?Id=44234" TargetMode="External"/><Relationship Id="rId_hyperlink_320" Type="http://schemas.openxmlformats.org/officeDocument/2006/relationships/hyperlink" Target="http://www.seavest.co.za/inv/fpdf16/inv-preview.php?Id=44272" TargetMode="External"/><Relationship Id="rId_hyperlink_321" Type="http://schemas.openxmlformats.org/officeDocument/2006/relationships/hyperlink" Target="http://www.seavest.co.za/inv/fpdf16/inv-preview.php?Id=44233" TargetMode="External"/><Relationship Id="rId_hyperlink_322" Type="http://schemas.openxmlformats.org/officeDocument/2006/relationships/hyperlink" Target="http://www.seavest.co.za/inv/fpdf16/inv-preview.php?Id=42785" TargetMode="External"/><Relationship Id="rId_hyperlink_323" Type="http://schemas.openxmlformats.org/officeDocument/2006/relationships/hyperlink" Target="http://www.seavest.co.za/inv/fpdf16/inv-preview.php?Id=42823" TargetMode="External"/><Relationship Id="rId_hyperlink_324" Type="http://schemas.openxmlformats.org/officeDocument/2006/relationships/hyperlink" Target="http://www.seavest.co.za/inv/fpdf16/inv-preview.php?Id=44989" TargetMode="External"/><Relationship Id="rId_hyperlink_325" Type="http://schemas.openxmlformats.org/officeDocument/2006/relationships/hyperlink" Target="http://www.seavest.co.za/inv/fpdf16/inv-preview.php?Id=44993" TargetMode="External"/><Relationship Id="rId_hyperlink_326" Type="http://schemas.openxmlformats.org/officeDocument/2006/relationships/hyperlink" Target="http://www.seavest.co.za/inv/fpdf16/inv-preview.php?Id=45001" TargetMode="External"/><Relationship Id="rId_hyperlink_327" Type="http://schemas.openxmlformats.org/officeDocument/2006/relationships/hyperlink" Target="http://www.seavest.co.za/inv/fpdf16/inv-preview.php?Id=44996" TargetMode="External"/><Relationship Id="rId_hyperlink_328" Type="http://schemas.openxmlformats.org/officeDocument/2006/relationships/hyperlink" Target="http://www.seavest.co.za/inv/fpdf16/inv-preview.php?Id=44476" TargetMode="External"/><Relationship Id="rId_hyperlink_329" Type="http://schemas.openxmlformats.org/officeDocument/2006/relationships/hyperlink" Target="http://www.seavest.co.za/inv/fpdf16/inv-preview.php?Id=45005" TargetMode="External"/><Relationship Id="rId_hyperlink_330" Type="http://schemas.openxmlformats.org/officeDocument/2006/relationships/hyperlink" Target="http://www.seavest.co.za/inv/fpdf16/inv-preview.php?Id=43078" TargetMode="External"/><Relationship Id="rId_hyperlink_331" Type="http://schemas.openxmlformats.org/officeDocument/2006/relationships/hyperlink" Target="http://www.seavest.co.za/inv/fpdf16/inv-preview.php?Id=42740" TargetMode="External"/><Relationship Id="rId_hyperlink_332" Type="http://schemas.openxmlformats.org/officeDocument/2006/relationships/hyperlink" Target="http://www.seavest.co.za/inv/fpdf16/inv-preview.php?Id=43285" TargetMode="External"/><Relationship Id="rId_hyperlink_333" Type="http://schemas.openxmlformats.org/officeDocument/2006/relationships/hyperlink" Target="http://www.seavest.co.za/inv/fpdf16/inv-preview.php?Id=43289" TargetMode="External"/><Relationship Id="rId_hyperlink_334" Type="http://schemas.openxmlformats.org/officeDocument/2006/relationships/hyperlink" Target="http://www.seavest.co.za/inv/fpdf16/inv-preview.php?Id=40671" TargetMode="External"/><Relationship Id="rId_hyperlink_335" Type="http://schemas.openxmlformats.org/officeDocument/2006/relationships/hyperlink" Target="http://www.seavest.co.za/inv/fpdf16/inv-preview.php?Id=40706" TargetMode="External"/><Relationship Id="rId_hyperlink_336" Type="http://schemas.openxmlformats.org/officeDocument/2006/relationships/hyperlink" Target="http://www.seavest.co.za/inv/fpdf16/inv-preview.php?Id=41429" TargetMode="External"/><Relationship Id="rId_hyperlink_337" Type="http://schemas.openxmlformats.org/officeDocument/2006/relationships/hyperlink" Target="http://www.seavest.co.za/inv/fpdf16/inv-preview.php?Id=41511" TargetMode="External"/><Relationship Id="rId_hyperlink_338" Type="http://schemas.openxmlformats.org/officeDocument/2006/relationships/hyperlink" Target="http://www.seavest.co.za/inv/fpdf16/inv-preview.php?Id=43487" TargetMode="External"/><Relationship Id="rId_hyperlink_339" Type="http://schemas.openxmlformats.org/officeDocument/2006/relationships/hyperlink" Target="http://www.seavest.co.za/inv/fpdf16/inv-preview.php?Id=43489" TargetMode="External"/><Relationship Id="rId_hyperlink_340" Type="http://schemas.openxmlformats.org/officeDocument/2006/relationships/hyperlink" Target="http://www.seavest.co.za/inv/fpdf16/inv-preview.php?Id=41060" TargetMode="External"/><Relationship Id="rId_hyperlink_341" Type="http://schemas.openxmlformats.org/officeDocument/2006/relationships/hyperlink" Target="http://www.seavest.co.za/inv/fpdf16/inv-preview.php?Id=41053" TargetMode="External"/><Relationship Id="rId_hyperlink_342" Type="http://schemas.openxmlformats.org/officeDocument/2006/relationships/hyperlink" Target="http://www.seavest.co.za/inv/fpdf16/inv-preview.php?Id=42114" TargetMode="External"/><Relationship Id="rId_hyperlink_343" Type="http://schemas.openxmlformats.org/officeDocument/2006/relationships/hyperlink" Target="http://www.seavest.co.za/inv/fpdf16/inv-preview.php?Id=42360" TargetMode="External"/><Relationship Id="rId_hyperlink_344" Type="http://schemas.openxmlformats.org/officeDocument/2006/relationships/hyperlink" Target="http://www.seavest.co.za/inv/fpdf16/inv-preview.php?Id=42439" TargetMode="External"/><Relationship Id="rId_hyperlink_345" Type="http://schemas.openxmlformats.org/officeDocument/2006/relationships/hyperlink" Target="http://www.seavest.co.za/inv/fpdf16/inv-preview.php?Id=42528" TargetMode="External"/><Relationship Id="rId_hyperlink_346" Type="http://schemas.openxmlformats.org/officeDocument/2006/relationships/hyperlink" Target="http://www.seavest.co.za/inv/fpdf16/inv-preview.php?Id=44455" TargetMode="External"/><Relationship Id="rId_hyperlink_347" Type="http://schemas.openxmlformats.org/officeDocument/2006/relationships/hyperlink" Target="http://www.seavest.co.za/inv/fpdf16/inv-preview.php?Id=41002" TargetMode="External"/><Relationship Id="rId_hyperlink_348" Type="http://schemas.openxmlformats.org/officeDocument/2006/relationships/hyperlink" Target="http://www.seavest.co.za/inv/fpdf16/inv-preview.php?Id=44245" TargetMode="External"/><Relationship Id="rId_hyperlink_349" Type="http://schemas.openxmlformats.org/officeDocument/2006/relationships/hyperlink" Target="http://www.seavest.co.za/inv/fpdf16/inv-preview.php?Id=44864" TargetMode="External"/><Relationship Id="rId_hyperlink_350" Type="http://schemas.openxmlformats.org/officeDocument/2006/relationships/hyperlink" Target="http://www.seavest.co.za/inv/fpdf16/inv-preview.php?Id=45006" TargetMode="External"/><Relationship Id="rId_hyperlink_351" Type="http://schemas.openxmlformats.org/officeDocument/2006/relationships/hyperlink" Target="http://www.seavest.co.za/inv/fpdf16/inv-preview.php?Id=45002" TargetMode="External"/><Relationship Id="rId_hyperlink_352" Type="http://schemas.openxmlformats.org/officeDocument/2006/relationships/hyperlink" Target="http://www.seavest.co.za/inv/fpdf16/inv-preview.php?Id=44920" TargetMode="External"/><Relationship Id="rId_hyperlink_353" Type="http://schemas.openxmlformats.org/officeDocument/2006/relationships/hyperlink" Target="http://www.seavest.co.za/inv/fpdf16/inv-preview.php?Id=44040" TargetMode="External"/><Relationship Id="rId_hyperlink_354" Type="http://schemas.openxmlformats.org/officeDocument/2006/relationships/hyperlink" Target="http://www.seavest.co.za/inv/fpdf16/inv-preview.php?Id=44052" TargetMode="External"/><Relationship Id="rId_hyperlink_355" Type="http://schemas.openxmlformats.org/officeDocument/2006/relationships/hyperlink" Target="http://www.seavest.co.za/inv/fpdf16/inv-preview.php?Id=43688" TargetMode="External"/><Relationship Id="rId_hyperlink_356" Type="http://schemas.openxmlformats.org/officeDocument/2006/relationships/hyperlink" Target="http://www.seavest.co.za/inv/fpdf16/inv-preview.php?Id=43815" TargetMode="External"/><Relationship Id="rId_hyperlink_357" Type="http://schemas.openxmlformats.org/officeDocument/2006/relationships/hyperlink" Target="http://www.seavest.co.za/inv/fpdf16/inv-preview.php?Id=43959" TargetMode="External"/><Relationship Id="rId_hyperlink_358" Type="http://schemas.openxmlformats.org/officeDocument/2006/relationships/hyperlink" Target="http://www.seavest.co.za/inv/fpdf16/inv-preview.php?Id=44033" TargetMode="External"/><Relationship Id="rId_hyperlink_359" Type="http://schemas.openxmlformats.org/officeDocument/2006/relationships/hyperlink" Target="http://www.seavest.co.za/inv/fpdf16/inv-preview.php?Id=44034" TargetMode="External"/><Relationship Id="rId_hyperlink_360" Type="http://schemas.openxmlformats.org/officeDocument/2006/relationships/hyperlink" Target="http://www.seavest.co.za/inv/fpdf16/inv-preview.php?Id=44048" TargetMode="External"/><Relationship Id="rId_hyperlink_361" Type="http://schemas.openxmlformats.org/officeDocument/2006/relationships/hyperlink" Target="http://www.seavest.co.za/inv/fpdf16/inv-preview.php?Id=41738" TargetMode="External"/><Relationship Id="rId_hyperlink_362" Type="http://schemas.openxmlformats.org/officeDocument/2006/relationships/hyperlink" Target="http://www.seavest.co.za/inv/fpdf16/inv-preview.php?Id=42168" TargetMode="External"/><Relationship Id="rId_hyperlink_363" Type="http://schemas.openxmlformats.org/officeDocument/2006/relationships/hyperlink" Target="http://www.seavest.co.za/inv/fpdf16/inv-preview.php?Id=42450" TargetMode="External"/><Relationship Id="rId_hyperlink_364" Type="http://schemas.openxmlformats.org/officeDocument/2006/relationships/hyperlink" Target="http://www.seavest.co.za/inv/fpdf16/inv-preview.php?Id=42985" TargetMode="External"/><Relationship Id="rId_hyperlink_365" Type="http://schemas.openxmlformats.org/officeDocument/2006/relationships/hyperlink" Target="http://www.seavest.co.za/inv/fpdf16/inv-preview.php?Id=42994" TargetMode="External"/><Relationship Id="rId_hyperlink_366" Type="http://schemas.openxmlformats.org/officeDocument/2006/relationships/hyperlink" Target="http://www.seavest.co.za/inv/fpdf16/inv-preview.php?Id=43354" TargetMode="External"/><Relationship Id="rId_hyperlink_367" Type="http://schemas.openxmlformats.org/officeDocument/2006/relationships/hyperlink" Target="http://www.seavest.co.za/inv/fpdf16/inv-preview.php?Id=40399" TargetMode="External"/><Relationship Id="rId_hyperlink_368" Type="http://schemas.openxmlformats.org/officeDocument/2006/relationships/hyperlink" Target="http://www.seavest.co.za/inv/fpdf16/inv-preview.php?Id=43130" TargetMode="External"/><Relationship Id="rId_hyperlink_369" Type="http://schemas.openxmlformats.org/officeDocument/2006/relationships/hyperlink" Target="http://www.seavest.co.za/inv/fpdf16/inv-preview.php?Id=43204" TargetMode="External"/><Relationship Id="rId_hyperlink_370" Type="http://schemas.openxmlformats.org/officeDocument/2006/relationships/hyperlink" Target="http://www.seavest.co.za/inv/fpdf16/inv-preview.php?Id=43387" TargetMode="External"/><Relationship Id="rId_hyperlink_371" Type="http://schemas.openxmlformats.org/officeDocument/2006/relationships/hyperlink" Target="http://www.seavest.co.za/inv/fpdf16/inv-preview.php?Id=42734" TargetMode="External"/><Relationship Id="rId_hyperlink_372" Type="http://schemas.openxmlformats.org/officeDocument/2006/relationships/hyperlink" Target="http://www.seavest.co.za/inv/fpdf16/inv-preview.php?Id=42989" TargetMode="External"/><Relationship Id="rId_hyperlink_373" Type="http://schemas.openxmlformats.org/officeDocument/2006/relationships/hyperlink" Target="http://www.seavest.co.za/inv/fpdf16/inv-preview.php?Id=43241" TargetMode="External"/><Relationship Id="rId_hyperlink_374" Type="http://schemas.openxmlformats.org/officeDocument/2006/relationships/hyperlink" Target="http://www.seavest.co.za/inv/fpdf16/inv-preview.php?Id=43484" TargetMode="External"/><Relationship Id="rId_hyperlink_375" Type="http://schemas.openxmlformats.org/officeDocument/2006/relationships/hyperlink" Target="http://www.seavest.co.za/inv/fpdf16/inv-preview.php?Id=39792" TargetMode="External"/><Relationship Id="rId_hyperlink_376" Type="http://schemas.openxmlformats.org/officeDocument/2006/relationships/hyperlink" Target="http://www.seavest.co.za/inv/fpdf16/inv-preview.php?Id=39800" TargetMode="External"/><Relationship Id="rId_hyperlink_377" Type="http://schemas.openxmlformats.org/officeDocument/2006/relationships/hyperlink" Target="http://www.seavest.co.za/inv/fpdf16/inv-preview.php?Id=39802" TargetMode="External"/><Relationship Id="rId_hyperlink_378" Type="http://schemas.openxmlformats.org/officeDocument/2006/relationships/hyperlink" Target="http://www.seavest.co.za/inv/fpdf16/inv-preview.php?Id=39807" TargetMode="External"/><Relationship Id="rId_hyperlink_379" Type="http://schemas.openxmlformats.org/officeDocument/2006/relationships/hyperlink" Target="http://www.seavest.co.za/inv/fpdf16/inv-preview.php?Id=39818" TargetMode="External"/><Relationship Id="rId_hyperlink_380" Type="http://schemas.openxmlformats.org/officeDocument/2006/relationships/hyperlink" Target="http://www.seavest.co.za/inv/fpdf16/inv-preview.php?Id=39820" TargetMode="External"/><Relationship Id="rId_hyperlink_381" Type="http://schemas.openxmlformats.org/officeDocument/2006/relationships/hyperlink" Target="http://www.seavest.co.za/inv/fpdf16/inv-preview.php?Id=39839" TargetMode="External"/><Relationship Id="rId_hyperlink_382" Type="http://schemas.openxmlformats.org/officeDocument/2006/relationships/hyperlink" Target="http://www.seavest.co.za/inv/fpdf16/inv-preview.php?Id=42537" TargetMode="External"/><Relationship Id="rId_hyperlink_383" Type="http://schemas.openxmlformats.org/officeDocument/2006/relationships/hyperlink" Target="http://www.seavest.co.za/inv/fpdf16/inv-preview.php?Id=44085" TargetMode="External"/><Relationship Id="rId_hyperlink_384" Type="http://schemas.openxmlformats.org/officeDocument/2006/relationships/hyperlink" Target="http://www.seavest.co.za/inv/fpdf16/inv-preview.php?Id=44826" TargetMode="External"/><Relationship Id="rId_hyperlink_385" Type="http://schemas.openxmlformats.org/officeDocument/2006/relationships/hyperlink" Target="http://www.seavest.co.za/inv/fpdf16/inv-preview.php?Id=44834" TargetMode="External"/><Relationship Id="rId_hyperlink_386" Type="http://schemas.openxmlformats.org/officeDocument/2006/relationships/hyperlink" Target="http://www.seavest.co.za/inv/fpdf16/inv-preview.php?Id=43237" TargetMode="External"/><Relationship Id="rId_hyperlink_387" Type="http://schemas.openxmlformats.org/officeDocument/2006/relationships/hyperlink" Target="http://www.seavest.co.za/inv/fpdf16/inv-preview.php?Id=40688" TargetMode="External"/><Relationship Id="rId_hyperlink_388" Type="http://schemas.openxmlformats.org/officeDocument/2006/relationships/hyperlink" Target="http://www.seavest.co.za/inv/fpdf16/inv-preview.php?Id=40839" TargetMode="External"/><Relationship Id="rId_hyperlink_389" Type="http://schemas.openxmlformats.org/officeDocument/2006/relationships/hyperlink" Target="http://www.seavest.co.za/inv/fpdf16/inv-preview.php?Id=40771" TargetMode="External"/><Relationship Id="rId_hyperlink_390" Type="http://schemas.openxmlformats.org/officeDocument/2006/relationships/hyperlink" Target="http://www.seavest.co.za/inv/fpdf16/inv-preview.php?Id=43437" TargetMode="External"/><Relationship Id="rId_hyperlink_391" Type="http://schemas.openxmlformats.org/officeDocument/2006/relationships/hyperlink" Target="http://www.seavest.co.za/inv/fpdf16/inv-preview.php?Id=42863" TargetMode="External"/><Relationship Id="rId_hyperlink_392" Type="http://schemas.openxmlformats.org/officeDocument/2006/relationships/hyperlink" Target="http://www.seavest.co.za/inv/fpdf16/inv-preview.php?Id=43383" TargetMode="External"/><Relationship Id="rId_hyperlink_393" Type="http://schemas.openxmlformats.org/officeDocument/2006/relationships/hyperlink" Target="http://www.seavest.co.za/inv/fpdf16/inv-preview.php?Id=44636" TargetMode="External"/><Relationship Id="rId_hyperlink_394" Type="http://schemas.openxmlformats.org/officeDocument/2006/relationships/hyperlink" Target="http://www.seavest.co.za/inv/fpdf16/inv-preview.php?Id=44470" TargetMode="External"/><Relationship Id="rId_hyperlink_395" Type="http://schemas.openxmlformats.org/officeDocument/2006/relationships/hyperlink" Target="http://www.seavest.co.za/inv/fpdf16/inv-preview.php?Id=43753" TargetMode="External"/><Relationship Id="rId_hyperlink_396" Type="http://schemas.openxmlformats.org/officeDocument/2006/relationships/hyperlink" Target="http://www.seavest.co.za/inv/fpdf16/inv-preview.php?Id=39227" TargetMode="External"/><Relationship Id="rId_hyperlink_397" Type="http://schemas.openxmlformats.org/officeDocument/2006/relationships/hyperlink" Target="http://www.seavest.co.za/inv/fpdf16/inv-preview.php?Id=42975" TargetMode="External"/><Relationship Id="rId_hyperlink_398" Type="http://schemas.openxmlformats.org/officeDocument/2006/relationships/hyperlink" Target="http://www.seavest.co.za/inv/fpdf16/inv-preview.php?Id=42602" TargetMode="External"/><Relationship Id="rId_hyperlink_399" Type="http://schemas.openxmlformats.org/officeDocument/2006/relationships/hyperlink" Target="http://www.seavest.co.za/inv/fpdf16/inv-preview.php?Id=42669" TargetMode="External"/><Relationship Id="rId_hyperlink_400" Type="http://schemas.openxmlformats.org/officeDocument/2006/relationships/hyperlink" Target="http://www.seavest.co.za/inv/fpdf16/inv-preview.php?Id=42861" TargetMode="External"/><Relationship Id="rId_hyperlink_401" Type="http://schemas.openxmlformats.org/officeDocument/2006/relationships/hyperlink" Target="http://www.seavest.co.za/inv/fpdf16/inv-preview.php?Id=42552" TargetMode="External"/><Relationship Id="rId_hyperlink_402" Type="http://schemas.openxmlformats.org/officeDocument/2006/relationships/hyperlink" Target="http://www.seavest.co.za/inv/fpdf16/inv-preview.php?Id=44793" TargetMode="External"/><Relationship Id="rId_hyperlink_403" Type="http://schemas.openxmlformats.org/officeDocument/2006/relationships/hyperlink" Target="http://www.seavest.co.za/inv/fpdf16/inv-preview.php?Id=45014" TargetMode="External"/><Relationship Id="rId_hyperlink_404" Type="http://schemas.openxmlformats.org/officeDocument/2006/relationships/hyperlink" Target="http://www.seavest.co.za/inv/fpdf16/inv-preview.php?Id=42123" TargetMode="External"/><Relationship Id="rId_hyperlink_405" Type="http://schemas.openxmlformats.org/officeDocument/2006/relationships/hyperlink" Target="http://www.seavest.co.za/inv/fpdf16/inv-preview.php?Id=40122" TargetMode="External"/><Relationship Id="rId_hyperlink_406" Type="http://schemas.openxmlformats.org/officeDocument/2006/relationships/hyperlink" Target="http://www.seavest.co.za/inv/fpdf16/inv-preview.php?Id=42795" TargetMode="External"/><Relationship Id="rId_hyperlink_407" Type="http://schemas.openxmlformats.org/officeDocument/2006/relationships/hyperlink" Target="http://www.seavest.co.za/inv/fpdf16/inv-preview.php?Id=43644" TargetMode="External"/><Relationship Id="rId_hyperlink_408" Type="http://schemas.openxmlformats.org/officeDocument/2006/relationships/hyperlink" Target="http://www.seavest.co.za/inv/fpdf16/inv-preview.php?Id=44631" TargetMode="External"/><Relationship Id="rId_hyperlink_409" Type="http://schemas.openxmlformats.org/officeDocument/2006/relationships/hyperlink" Target="http://www.seavest.co.za/inv/fpdf16/inv-preview.php?Id=44649" TargetMode="External"/><Relationship Id="rId_hyperlink_410" Type="http://schemas.openxmlformats.org/officeDocument/2006/relationships/hyperlink" Target="http://www.seavest.co.za/inv/fpdf16/inv-preview.php?Id=41586" TargetMode="External"/><Relationship Id="rId_hyperlink_411" Type="http://schemas.openxmlformats.org/officeDocument/2006/relationships/hyperlink" Target="http://www.seavest.co.za/inv/fpdf16/inv-preview.php?Id=41509" TargetMode="External"/><Relationship Id="rId_hyperlink_412" Type="http://schemas.openxmlformats.org/officeDocument/2006/relationships/hyperlink" Target="http://www.seavest.co.za/inv/fpdf16/inv-preview.php?Id=41047" TargetMode="External"/><Relationship Id="rId_hyperlink_413" Type="http://schemas.openxmlformats.org/officeDocument/2006/relationships/hyperlink" Target="http://www.seavest.co.za/inv/fpdf16/inv-preview.php?Id=41609" TargetMode="External"/><Relationship Id="rId_hyperlink_414" Type="http://schemas.openxmlformats.org/officeDocument/2006/relationships/hyperlink" Target="http://www.seavest.co.za/inv/fpdf16/inv-preview.php?Id=44377" TargetMode="External"/><Relationship Id="rId_hyperlink_415" Type="http://schemas.openxmlformats.org/officeDocument/2006/relationships/hyperlink" Target="http://www.seavest.co.za/inv/fpdf16/inv-preview.php?Id=38991" TargetMode="External"/><Relationship Id="rId_hyperlink_416" Type="http://schemas.openxmlformats.org/officeDocument/2006/relationships/hyperlink" Target="http://www.seavest.co.za/inv/fpdf16/inv-preview.php?Id=42469" TargetMode="External"/><Relationship Id="rId_hyperlink_417" Type="http://schemas.openxmlformats.org/officeDocument/2006/relationships/hyperlink" Target="http://www.seavest.co.za/inv/fpdf16/inv-preview.php?Id=43342" TargetMode="External"/><Relationship Id="rId_hyperlink_418" Type="http://schemas.openxmlformats.org/officeDocument/2006/relationships/hyperlink" Target="http://www.seavest.co.za/inv/fpdf16/inv-preview.php?Id=43912" TargetMode="External"/><Relationship Id="rId_hyperlink_419" Type="http://schemas.openxmlformats.org/officeDocument/2006/relationships/hyperlink" Target="http://www.seavest.co.za/inv/fpdf16/inv-preview.php?Id=42275" TargetMode="External"/><Relationship Id="rId_hyperlink_420" Type="http://schemas.openxmlformats.org/officeDocument/2006/relationships/hyperlink" Target="http://www.seavest.co.za/inv/fpdf16/inv-preview.php?Id=42311" TargetMode="External"/><Relationship Id="rId_hyperlink_421" Type="http://schemas.openxmlformats.org/officeDocument/2006/relationships/hyperlink" Target="http://www.seavest.co.za/inv/fpdf16/inv-preview.php?Id=42341" TargetMode="External"/><Relationship Id="rId_hyperlink_422" Type="http://schemas.openxmlformats.org/officeDocument/2006/relationships/hyperlink" Target="http://www.seavest.co.za/inv/fpdf16/inv-preview.php?Id=42506" TargetMode="External"/><Relationship Id="rId_hyperlink_423" Type="http://schemas.openxmlformats.org/officeDocument/2006/relationships/hyperlink" Target="http://www.seavest.co.za/inv/fpdf16/inv-preview.php?Id=43143" TargetMode="External"/><Relationship Id="rId_hyperlink_424" Type="http://schemas.openxmlformats.org/officeDocument/2006/relationships/hyperlink" Target="http://www.seavest.co.za/inv/fpdf16/inv-preview.php?Id=43144" TargetMode="External"/><Relationship Id="rId_hyperlink_425" Type="http://schemas.openxmlformats.org/officeDocument/2006/relationships/hyperlink" Target="http://www.seavest.co.za/inv/fpdf16/inv-preview.php?Id=43125" TargetMode="External"/><Relationship Id="rId_hyperlink_426" Type="http://schemas.openxmlformats.org/officeDocument/2006/relationships/hyperlink" Target="http://www.seavest.co.za/inv/fpdf16/inv-preview.php?Id=43369" TargetMode="External"/><Relationship Id="rId_hyperlink_427" Type="http://schemas.openxmlformats.org/officeDocument/2006/relationships/hyperlink" Target="http://www.seavest.co.za/inv/fpdf16/inv-preview.php?Id=43173" TargetMode="External"/><Relationship Id="rId_hyperlink_428" Type="http://schemas.openxmlformats.org/officeDocument/2006/relationships/hyperlink" Target="http://www.seavest.co.za/inv/fpdf16/inv-preview.php?Id=43187" TargetMode="External"/><Relationship Id="rId_hyperlink_429" Type="http://schemas.openxmlformats.org/officeDocument/2006/relationships/hyperlink" Target="http://www.seavest.co.za/inv/fpdf16/inv-preview.php?Id=43372" TargetMode="External"/><Relationship Id="rId_hyperlink_430" Type="http://schemas.openxmlformats.org/officeDocument/2006/relationships/hyperlink" Target="http://www.seavest.co.za/inv/fpdf16/inv-preview.php?Id=43400" TargetMode="External"/><Relationship Id="rId_hyperlink_431" Type="http://schemas.openxmlformats.org/officeDocument/2006/relationships/hyperlink" Target="http://www.seavest.co.za/inv/fpdf16/inv-preview.php?Id=43429" TargetMode="External"/><Relationship Id="rId_hyperlink_432" Type="http://schemas.openxmlformats.org/officeDocument/2006/relationships/hyperlink" Target="http://www.seavest.co.za/inv/fpdf16/inv-preview.php?Id=43457" TargetMode="External"/><Relationship Id="rId_hyperlink_433" Type="http://schemas.openxmlformats.org/officeDocument/2006/relationships/hyperlink" Target="http://www.seavest.co.za/inv/fpdf16/inv-preview.php?Id=43466" TargetMode="External"/><Relationship Id="rId_hyperlink_434" Type="http://schemas.openxmlformats.org/officeDocument/2006/relationships/hyperlink" Target="http://www.seavest.co.za/inv/fpdf16/inv-preview.php?Id=43480" TargetMode="External"/><Relationship Id="rId_hyperlink_435" Type="http://schemas.openxmlformats.org/officeDocument/2006/relationships/hyperlink" Target="http://www.seavest.co.za/inv/fpdf16/inv-preview.php?Id=43574" TargetMode="External"/><Relationship Id="rId_hyperlink_436" Type="http://schemas.openxmlformats.org/officeDocument/2006/relationships/hyperlink" Target="http://www.seavest.co.za/inv/fpdf16/inv-preview.php?Id=43593" TargetMode="External"/><Relationship Id="rId_hyperlink_437" Type="http://schemas.openxmlformats.org/officeDocument/2006/relationships/hyperlink" Target="http://www.seavest.co.za/inv/fpdf16/inv-preview.php?Id=43692" TargetMode="External"/><Relationship Id="rId_hyperlink_438" Type="http://schemas.openxmlformats.org/officeDocument/2006/relationships/hyperlink" Target="http://www.seavest.co.za/inv/fpdf16/inv-preview.php?Id=43732" TargetMode="External"/><Relationship Id="rId_hyperlink_439" Type="http://schemas.openxmlformats.org/officeDocument/2006/relationships/hyperlink" Target="http://www.seavest.co.za/inv/fpdf16/inv-preview.php?Id=43745" TargetMode="External"/><Relationship Id="rId_hyperlink_440" Type="http://schemas.openxmlformats.org/officeDocument/2006/relationships/hyperlink" Target="http://www.seavest.co.za/inv/fpdf16/inv-preview.php?Id=43768" TargetMode="External"/><Relationship Id="rId_hyperlink_441" Type="http://schemas.openxmlformats.org/officeDocument/2006/relationships/hyperlink" Target="http://www.seavest.co.za/inv/fpdf16/inv-preview.php?Id=43769" TargetMode="External"/><Relationship Id="rId_hyperlink_442" Type="http://schemas.openxmlformats.org/officeDocument/2006/relationships/hyperlink" Target="http://www.seavest.co.za/inv/fpdf16/inv-preview.php?Id=43925" TargetMode="External"/><Relationship Id="rId_hyperlink_443" Type="http://schemas.openxmlformats.org/officeDocument/2006/relationships/hyperlink" Target="http://www.seavest.co.za/inv/fpdf16/inv-preview.php?Id=44255" TargetMode="External"/><Relationship Id="rId_hyperlink_444" Type="http://schemas.openxmlformats.org/officeDocument/2006/relationships/hyperlink" Target="http://www.seavest.co.za/inv/fpdf16/inv-preview.php?Id=40053" TargetMode="External"/><Relationship Id="rId_hyperlink_445" Type="http://schemas.openxmlformats.org/officeDocument/2006/relationships/hyperlink" Target="http://www.seavest.co.za/inv/fpdf16/inv-preview.php?Id=43008" TargetMode="External"/><Relationship Id="rId_hyperlink_446" Type="http://schemas.openxmlformats.org/officeDocument/2006/relationships/hyperlink" Target="http://www.seavest.co.za/inv/fpdf16/inv-preview.php?Id=42815" TargetMode="External"/><Relationship Id="rId_hyperlink_447" Type="http://schemas.openxmlformats.org/officeDocument/2006/relationships/hyperlink" Target="http://www.seavest.co.za/inv/fpdf16/inv-preview.php?Id=42170" TargetMode="External"/><Relationship Id="rId_hyperlink_448" Type="http://schemas.openxmlformats.org/officeDocument/2006/relationships/hyperlink" Target="http://www.seavest.co.za/inv/fpdf16/inv-preview.php?Id=42195" TargetMode="External"/><Relationship Id="rId_hyperlink_449" Type="http://schemas.openxmlformats.org/officeDocument/2006/relationships/hyperlink" Target="http://www.seavest.co.za/inv/fpdf16/inv-preview.php?Id=44846" TargetMode="External"/><Relationship Id="rId_hyperlink_450" Type="http://schemas.openxmlformats.org/officeDocument/2006/relationships/hyperlink" Target="http://www.seavest.co.za/inv/fpdf16/inv-preview.php?Id=44880" TargetMode="External"/><Relationship Id="rId_hyperlink_451" Type="http://schemas.openxmlformats.org/officeDocument/2006/relationships/hyperlink" Target="http://www.seavest.co.za/inv/fpdf16/inv-preview.php?Id=40469" TargetMode="External"/><Relationship Id="rId_hyperlink_452" Type="http://schemas.openxmlformats.org/officeDocument/2006/relationships/hyperlink" Target="http://www.seavest.co.za/inv/fpdf16/inv-preview.php?Id=43518" TargetMode="External"/><Relationship Id="rId_hyperlink_453" Type="http://schemas.openxmlformats.org/officeDocument/2006/relationships/hyperlink" Target="http://www.seavest.co.za/inv/fpdf16/inv-preview.php?Id=43619" TargetMode="External"/><Relationship Id="rId_hyperlink_454" Type="http://schemas.openxmlformats.org/officeDocument/2006/relationships/hyperlink" Target="http://www.seavest.co.za/inv/fpdf16/inv-preview.php?Id=42540" TargetMode="External"/><Relationship Id="rId_hyperlink_455" Type="http://schemas.openxmlformats.org/officeDocument/2006/relationships/hyperlink" Target="http://www.seavest.co.za/inv/fpdf16/inv-preview.php?Id=43159" TargetMode="External"/><Relationship Id="rId_hyperlink_456" Type="http://schemas.openxmlformats.org/officeDocument/2006/relationships/hyperlink" Target="http://www.seavest.co.za/inv/fpdf16/inv-preview.php?Id=43359" TargetMode="External"/><Relationship Id="rId_hyperlink_457" Type="http://schemas.openxmlformats.org/officeDocument/2006/relationships/hyperlink" Target="http://www.seavest.co.za/inv/fpdf16/inv-preview.php?Id=42589" TargetMode="External"/><Relationship Id="rId_hyperlink_458" Type="http://schemas.openxmlformats.org/officeDocument/2006/relationships/hyperlink" Target="http://www.seavest.co.za/inv/fpdf16/inv-preview.php?Id=43255" TargetMode="External"/><Relationship Id="rId_hyperlink_459" Type="http://schemas.openxmlformats.org/officeDocument/2006/relationships/hyperlink" Target="http://www.seavest.co.za/inv/fpdf16/inv-preview.php?Id=39904" TargetMode="External"/><Relationship Id="rId_hyperlink_460" Type="http://schemas.openxmlformats.org/officeDocument/2006/relationships/hyperlink" Target="http://www.seavest.co.za/inv/fpdf16/inv-preview.php?Id=40715" TargetMode="External"/><Relationship Id="rId_hyperlink_461" Type="http://schemas.openxmlformats.org/officeDocument/2006/relationships/hyperlink" Target="http://www.seavest.co.za/inv/fpdf16/inv-preview.php?Id=40917" TargetMode="External"/><Relationship Id="rId_hyperlink_462" Type="http://schemas.openxmlformats.org/officeDocument/2006/relationships/hyperlink" Target="http://www.seavest.co.za/inv/fpdf16/inv-preview.php?Id=43926" TargetMode="External"/><Relationship Id="rId_hyperlink_463" Type="http://schemas.openxmlformats.org/officeDocument/2006/relationships/hyperlink" Target="http://www.seavest.co.za/inv/fpdf16/inv-preview.php?Id=43822" TargetMode="External"/><Relationship Id="rId_hyperlink_464" Type="http://schemas.openxmlformats.org/officeDocument/2006/relationships/hyperlink" Target="http://www.seavest.co.za/inv/fpdf16/inv-preview.php?Id=43869" TargetMode="External"/><Relationship Id="rId_hyperlink_465" Type="http://schemas.openxmlformats.org/officeDocument/2006/relationships/hyperlink" Target="http://www.seavest.co.za/inv/fpdf16/inv-preview.php?Id=44116" TargetMode="External"/><Relationship Id="rId_hyperlink_466" Type="http://schemas.openxmlformats.org/officeDocument/2006/relationships/hyperlink" Target="http://www.seavest.co.za/inv/fpdf16/inv-preview.php?Id=39427" TargetMode="External"/><Relationship Id="rId_hyperlink_467" Type="http://schemas.openxmlformats.org/officeDocument/2006/relationships/hyperlink" Target="http://www.seavest.co.za/inv/fpdf16/inv-preview.php?Id=39553" TargetMode="External"/><Relationship Id="rId_hyperlink_468" Type="http://schemas.openxmlformats.org/officeDocument/2006/relationships/hyperlink" Target="http://www.seavest.co.za/inv/fpdf16/inv-preview.php?Id=39556" TargetMode="External"/><Relationship Id="rId_hyperlink_469" Type="http://schemas.openxmlformats.org/officeDocument/2006/relationships/hyperlink" Target="http://www.seavest.co.za/inv/fpdf16/inv-preview.php?Id=42197" TargetMode="External"/><Relationship Id="rId_hyperlink_470" Type="http://schemas.openxmlformats.org/officeDocument/2006/relationships/hyperlink" Target="http://www.seavest.co.za/inv/fpdf16/inv-preview.php?Id=42220" TargetMode="External"/><Relationship Id="rId_hyperlink_471" Type="http://schemas.openxmlformats.org/officeDocument/2006/relationships/hyperlink" Target="http://www.seavest.co.za/inv/fpdf16/inv-preview.php?Id=43655" TargetMode="External"/><Relationship Id="rId_hyperlink_472" Type="http://schemas.openxmlformats.org/officeDocument/2006/relationships/hyperlink" Target="http://www.seavest.co.za/inv/fpdf16/inv-preview.php?Id=43641" TargetMode="External"/><Relationship Id="rId_hyperlink_473" Type="http://schemas.openxmlformats.org/officeDocument/2006/relationships/hyperlink" Target="http://www.seavest.co.za/inv/fpdf16/inv-preview.php?Id=43690" TargetMode="External"/><Relationship Id="rId_hyperlink_474" Type="http://schemas.openxmlformats.org/officeDocument/2006/relationships/hyperlink" Target="http://www.seavest.co.za/inv/fpdf16/inv-preview.php?Id=43669" TargetMode="External"/><Relationship Id="rId_hyperlink_475" Type="http://schemas.openxmlformats.org/officeDocument/2006/relationships/hyperlink" Target="http://www.seavest.co.za/inv/fpdf16/inv-preview.php?Id=40622" TargetMode="External"/><Relationship Id="rId_hyperlink_476" Type="http://schemas.openxmlformats.org/officeDocument/2006/relationships/hyperlink" Target="http://www.seavest.co.za/inv/fpdf16/inv-preview.php?Id=40627" TargetMode="External"/><Relationship Id="rId_hyperlink_477" Type="http://schemas.openxmlformats.org/officeDocument/2006/relationships/hyperlink" Target="http://www.seavest.co.za/inv/fpdf16/inv-preview.php?Id=40657" TargetMode="External"/><Relationship Id="rId_hyperlink_478" Type="http://schemas.openxmlformats.org/officeDocument/2006/relationships/hyperlink" Target="http://www.seavest.co.za/inv/fpdf16/inv-preview.php?Id=43495" TargetMode="External"/><Relationship Id="rId_hyperlink_479" Type="http://schemas.openxmlformats.org/officeDocument/2006/relationships/hyperlink" Target="http://www.seavest.co.za/inv/fpdf16/inv-preview.php?Id=44648" TargetMode="External"/><Relationship Id="rId_hyperlink_480" Type="http://schemas.openxmlformats.org/officeDocument/2006/relationships/hyperlink" Target="http://www.seavest.co.za/inv/fpdf16/inv-preview.php?Id=44633" TargetMode="External"/><Relationship Id="rId_hyperlink_481" Type="http://schemas.openxmlformats.org/officeDocument/2006/relationships/hyperlink" Target="http://www.seavest.co.za/inv/fpdf16/inv-preview.php?Id=44652" TargetMode="External"/><Relationship Id="rId_hyperlink_482" Type="http://schemas.openxmlformats.org/officeDocument/2006/relationships/hyperlink" Target="http://www.seavest.co.za/inv/fpdf16/inv-preview.php?Id=44646" TargetMode="External"/><Relationship Id="rId_hyperlink_483" Type="http://schemas.openxmlformats.org/officeDocument/2006/relationships/hyperlink" Target="http://www.seavest.co.za/inv/fpdf16/inv-preview.php?Id=44635" TargetMode="External"/><Relationship Id="rId_hyperlink_484" Type="http://schemas.openxmlformats.org/officeDocument/2006/relationships/hyperlink" Target="http://www.seavest.co.za/inv/fpdf16/inv-preview.php?Id=40960" TargetMode="External"/><Relationship Id="rId_hyperlink_485" Type="http://schemas.openxmlformats.org/officeDocument/2006/relationships/hyperlink" Target="http://www.seavest.co.za/inv/fpdf16/inv-preview.php?Id=41440" TargetMode="External"/><Relationship Id="rId_hyperlink_486" Type="http://schemas.openxmlformats.org/officeDocument/2006/relationships/hyperlink" Target="http://www.seavest.co.za/inv/fpdf16/inv-preview.php?Id=41492" TargetMode="External"/><Relationship Id="rId_hyperlink_487" Type="http://schemas.openxmlformats.org/officeDocument/2006/relationships/hyperlink" Target="http://www.seavest.co.za/inv/fpdf16/inv-preview.php?Id=39137" TargetMode="External"/><Relationship Id="rId_hyperlink_488" Type="http://schemas.openxmlformats.org/officeDocument/2006/relationships/hyperlink" Target="http://www.seavest.co.za/inv/fpdf16/inv-preview.php?Id=43380" TargetMode="External"/><Relationship Id="rId_hyperlink_489" Type="http://schemas.openxmlformats.org/officeDocument/2006/relationships/hyperlink" Target="http://www.seavest.co.za/inv/fpdf16/inv-preview.php?Id=43714" TargetMode="External"/><Relationship Id="rId_hyperlink_490" Type="http://schemas.openxmlformats.org/officeDocument/2006/relationships/hyperlink" Target="http://www.seavest.co.za/inv/fpdf16/inv-preview.php?Id=43632" TargetMode="External"/><Relationship Id="rId_hyperlink_491" Type="http://schemas.openxmlformats.org/officeDocument/2006/relationships/hyperlink" Target="http://www.seavest.co.za/inv/fpdf16/inv-preview.php?Id=43706" TargetMode="External"/><Relationship Id="rId_hyperlink_492" Type="http://schemas.openxmlformats.org/officeDocument/2006/relationships/hyperlink" Target="http://www.seavest.co.za/inv/fpdf16/inv-preview.php?Id=43760" TargetMode="External"/><Relationship Id="rId_hyperlink_493" Type="http://schemas.openxmlformats.org/officeDocument/2006/relationships/hyperlink" Target="http://www.seavest.co.za/inv/fpdf16/inv-preview.php?Id=43867" TargetMode="External"/><Relationship Id="rId_hyperlink_494" Type="http://schemas.openxmlformats.org/officeDocument/2006/relationships/hyperlink" Target="http://www.seavest.co.za/inv/fpdf16/inv-preview.php?Id=43903" TargetMode="External"/><Relationship Id="rId_hyperlink_495" Type="http://schemas.openxmlformats.org/officeDocument/2006/relationships/hyperlink" Target="http://www.seavest.co.za/inv/fpdf16/inv-preview.php?Id=41354" TargetMode="External"/><Relationship Id="rId_hyperlink_496" Type="http://schemas.openxmlformats.org/officeDocument/2006/relationships/hyperlink" Target="http://www.seavest.co.za/inv/fpdf16/inv-preview.php?Id=44323" TargetMode="External"/><Relationship Id="rId_hyperlink_497" Type="http://schemas.openxmlformats.org/officeDocument/2006/relationships/hyperlink" Target="http://www.seavest.co.za/inv/fpdf16/inv-preview.php?Id=44290" TargetMode="External"/><Relationship Id="rId_hyperlink_498" Type="http://schemas.openxmlformats.org/officeDocument/2006/relationships/hyperlink" Target="http://www.seavest.co.za/inv/fpdf16/inv-preview.php?Id=42264" TargetMode="External"/><Relationship Id="rId_hyperlink_499" Type="http://schemas.openxmlformats.org/officeDocument/2006/relationships/hyperlink" Target="http://www.seavest.co.za/inv/fpdf16/inv-preview.php?Id=42944" TargetMode="External"/><Relationship Id="rId_hyperlink_500" Type="http://schemas.openxmlformats.org/officeDocument/2006/relationships/hyperlink" Target="http://www.seavest.co.za/inv/fpdf16/inv-preview.php?Id=43098" TargetMode="External"/><Relationship Id="rId_hyperlink_501" Type="http://schemas.openxmlformats.org/officeDocument/2006/relationships/hyperlink" Target="http://www.seavest.co.za/inv/fpdf16/inv-preview.php?Id=42788" TargetMode="External"/><Relationship Id="rId_hyperlink_502" Type="http://schemas.openxmlformats.org/officeDocument/2006/relationships/hyperlink" Target="http://www.seavest.co.za/inv/fpdf16/inv-preview.php?Id=40051" TargetMode="External"/><Relationship Id="rId_hyperlink_503" Type="http://schemas.openxmlformats.org/officeDocument/2006/relationships/hyperlink" Target="http://www.seavest.co.za/inv/fpdf16/inv-preview.php?Id=43182" TargetMode="External"/><Relationship Id="rId_hyperlink_504" Type="http://schemas.openxmlformats.org/officeDocument/2006/relationships/hyperlink" Target="http://www.seavest.co.za/inv/fpdf16/inv-preview.php?Id=44659" TargetMode="External"/><Relationship Id="rId_hyperlink_505" Type="http://schemas.openxmlformats.org/officeDocument/2006/relationships/hyperlink" Target="http://www.seavest.co.za/inv/fpdf16/inv-preview.php?Id=44154" TargetMode="External"/><Relationship Id="rId_hyperlink_506" Type="http://schemas.openxmlformats.org/officeDocument/2006/relationships/hyperlink" Target="http://www.seavest.co.za/inv/fpdf16/inv-preview.php?Id=44328" TargetMode="External"/><Relationship Id="rId_hyperlink_507" Type="http://schemas.openxmlformats.org/officeDocument/2006/relationships/hyperlink" Target="http://www.seavest.co.za/inv/fpdf16/inv-preview.php?Id=44329" TargetMode="External"/><Relationship Id="rId_hyperlink_508" Type="http://schemas.openxmlformats.org/officeDocument/2006/relationships/hyperlink" Target="http://www.seavest.co.za/inv/fpdf16/inv-preview.php?Id=43007" TargetMode="External"/><Relationship Id="rId_hyperlink_509" Type="http://schemas.openxmlformats.org/officeDocument/2006/relationships/hyperlink" Target="http://www.seavest.co.za/inv/fpdf16/inv-preview.php?Id=45021" TargetMode="External"/><Relationship Id="rId_hyperlink_510" Type="http://schemas.openxmlformats.org/officeDocument/2006/relationships/hyperlink" Target="http://www.seavest.co.za/inv/fpdf16/inv-preview.php?Id=45016" TargetMode="External"/><Relationship Id="rId_hyperlink_511" Type="http://schemas.openxmlformats.org/officeDocument/2006/relationships/hyperlink" Target="http://www.seavest.co.za/inv/fpdf16/inv-preview.php?Id=45012" TargetMode="External"/><Relationship Id="rId_hyperlink_512" Type="http://schemas.openxmlformats.org/officeDocument/2006/relationships/hyperlink" Target="http://www.seavest.co.za/inv/fpdf16/inv-preview.php?Id=39614" TargetMode="External"/><Relationship Id="rId_hyperlink_513" Type="http://schemas.openxmlformats.org/officeDocument/2006/relationships/hyperlink" Target="http://www.seavest.co.za/inv/fpdf16/inv-preview.php?Id=39649" TargetMode="External"/><Relationship Id="rId_hyperlink_514" Type="http://schemas.openxmlformats.org/officeDocument/2006/relationships/hyperlink" Target="http://www.seavest.co.za/inv/fpdf16/inv-preview.php?Id=40815" TargetMode="External"/><Relationship Id="rId_hyperlink_515" Type="http://schemas.openxmlformats.org/officeDocument/2006/relationships/hyperlink" Target="http://www.seavest.co.za/inv/fpdf16/inv-preview.php?Id=43520" TargetMode="External"/><Relationship Id="rId_hyperlink_516" Type="http://schemas.openxmlformats.org/officeDocument/2006/relationships/hyperlink" Target="http://www.seavest.co.za/inv/fpdf16/inv-preview.php?Id=42941" TargetMode="External"/><Relationship Id="rId_hyperlink_517" Type="http://schemas.openxmlformats.org/officeDocument/2006/relationships/hyperlink" Target="http://www.seavest.co.za/inv/fpdf16/inv-preview.php?Id=43516" TargetMode="External"/><Relationship Id="rId_hyperlink_518" Type="http://schemas.openxmlformats.org/officeDocument/2006/relationships/hyperlink" Target="http://www.seavest.co.za/inv/fpdf16/inv-preview.php?Id=43527" TargetMode="External"/><Relationship Id="rId_hyperlink_519" Type="http://schemas.openxmlformats.org/officeDocument/2006/relationships/hyperlink" Target="http://www.seavest.co.za/inv/fpdf16/inv-preview.php?Id=44660" TargetMode="External"/><Relationship Id="rId_hyperlink_520" Type="http://schemas.openxmlformats.org/officeDocument/2006/relationships/hyperlink" Target="http://www.seavest.co.za/inv/fpdf16/inv-preview.php?Id=44656" TargetMode="External"/><Relationship Id="rId_hyperlink_521" Type="http://schemas.openxmlformats.org/officeDocument/2006/relationships/hyperlink" Target="http://www.seavest.co.za/inv/fpdf16/inv-preview.php?Id=41620" TargetMode="External"/><Relationship Id="rId_hyperlink_522" Type="http://schemas.openxmlformats.org/officeDocument/2006/relationships/hyperlink" Target="http://www.seavest.co.za/inv/fpdf16/inv-preview.php?Id=41627" TargetMode="External"/><Relationship Id="rId_hyperlink_523" Type="http://schemas.openxmlformats.org/officeDocument/2006/relationships/hyperlink" Target="http://www.seavest.co.za/inv/fpdf16/inv-preview.php?Id=44273" TargetMode="External"/><Relationship Id="rId_hyperlink_524" Type="http://schemas.openxmlformats.org/officeDocument/2006/relationships/hyperlink" Target="http://www.seavest.co.za/inv/fpdf16/inv-preview.php?Id=40330" TargetMode="External"/><Relationship Id="rId_hyperlink_525" Type="http://schemas.openxmlformats.org/officeDocument/2006/relationships/hyperlink" Target="http://www.seavest.co.za/inv/fpdf16/inv-preview.php?Id=40008" TargetMode="External"/><Relationship Id="rId_hyperlink_526" Type="http://schemas.openxmlformats.org/officeDocument/2006/relationships/hyperlink" Target="http://www.seavest.co.za/inv/fpdf16/inv-preview.php?Id=45013" TargetMode="External"/><Relationship Id="rId_hyperlink_527" Type="http://schemas.openxmlformats.org/officeDocument/2006/relationships/hyperlink" Target="http://www.seavest.co.za/inv/fpdf16/inv-preview.php?Id=44994" TargetMode="External"/><Relationship Id="rId_hyperlink_528" Type="http://schemas.openxmlformats.org/officeDocument/2006/relationships/hyperlink" Target="http://www.seavest.co.za/inv/fpdf16/inv-preview.php?Id=45030" TargetMode="External"/><Relationship Id="rId_hyperlink_529" Type="http://schemas.openxmlformats.org/officeDocument/2006/relationships/hyperlink" Target="http://www.seavest.co.za/inv/fpdf16/inv-preview.php?Id=43471" TargetMode="External"/><Relationship Id="rId_hyperlink_530" Type="http://schemas.openxmlformats.org/officeDocument/2006/relationships/hyperlink" Target="http://www.seavest.co.za/inv/fpdf16/inv-preview.php?Id=43607" TargetMode="External"/><Relationship Id="rId_hyperlink_531" Type="http://schemas.openxmlformats.org/officeDocument/2006/relationships/hyperlink" Target="http://www.seavest.co.za/inv/fpdf16/inv-preview.php?Id=43667" TargetMode="External"/><Relationship Id="rId_hyperlink_532" Type="http://schemas.openxmlformats.org/officeDocument/2006/relationships/hyperlink" Target="http://www.seavest.co.za/inv/fpdf16/inv-preview.php?Id=42858" TargetMode="External"/><Relationship Id="rId_hyperlink_533" Type="http://schemas.openxmlformats.org/officeDocument/2006/relationships/hyperlink" Target="http://www.seavest.co.za/inv/fpdf16/inv-preview.php?Id=44632" TargetMode="External"/><Relationship Id="rId_hyperlink_534" Type="http://schemas.openxmlformats.org/officeDocument/2006/relationships/hyperlink" Target="http://www.seavest.co.za/inv/fpdf16/inv-preview.php?Id=44029" TargetMode="External"/><Relationship Id="rId_hyperlink_535" Type="http://schemas.openxmlformats.org/officeDocument/2006/relationships/hyperlink" Target="http://www.seavest.co.za/inv/fpdf16/inv-preview.php?Id=44666" TargetMode="External"/><Relationship Id="rId_hyperlink_536" Type="http://schemas.openxmlformats.org/officeDocument/2006/relationships/hyperlink" Target="http://www.seavest.co.za/inv/fpdf16/inv-preview.php?Id=41381" TargetMode="External"/><Relationship Id="rId_hyperlink_537" Type="http://schemas.openxmlformats.org/officeDocument/2006/relationships/hyperlink" Target="http://www.seavest.co.za/inv/fpdf16/inv-preview.php?Id=39951" TargetMode="External"/><Relationship Id="rId_hyperlink_538" Type="http://schemas.openxmlformats.org/officeDocument/2006/relationships/hyperlink" Target="http://www.seavest.co.za/inv/fpdf16/inv-preview.php?Id=45036" TargetMode="External"/><Relationship Id="rId_hyperlink_539" Type="http://schemas.openxmlformats.org/officeDocument/2006/relationships/hyperlink" Target="http://www.seavest.co.za/inv/fpdf16/inv-preview.php?Id=44881" TargetMode="External"/><Relationship Id="rId_hyperlink_540" Type="http://schemas.openxmlformats.org/officeDocument/2006/relationships/hyperlink" Target="http://www.seavest.co.za/inv/fpdf16/inv-preview.php?Id=44888" TargetMode="External"/><Relationship Id="rId_hyperlink_541" Type="http://schemas.openxmlformats.org/officeDocument/2006/relationships/hyperlink" Target="http://www.seavest.co.za/inv/fpdf16/inv-preview.php?Id=44827" TargetMode="External"/><Relationship Id="rId_hyperlink_542" Type="http://schemas.openxmlformats.org/officeDocument/2006/relationships/hyperlink" Target="http://www.seavest.co.za/inv/fpdf16/inv-preview.php?Id=44740" TargetMode="External"/><Relationship Id="rId_hyperlink_543" Type="http://schemas.openxmlformats.org/officeDocument/2006/relationships/hyperlink" Target="http://www.seavest.co.za/inv/fpdf16/inv-preview.php?Id=44644" TargetMode="External"/><Relationship Id="rId_hyperlink_544" Type="http://schemas.openxmlformats.org/officeDocument/2006/relationships/hyperlink" Target="http://www.seavest.co.za/inv/fpdf16/inv-preview.php?Id=44678" TargetMode="External"/><Relationship Id="rId_hyperlink_545" Type="http://schemas.openxmlformats.org/officeDocument/2006/relationships/hyperlink" Target="http://www.seavest.co.za/inv/fpdf16/inv-preview.php?Id=40796" TargetMode="External"/><Relationship Id="rId_hyperlink_546" Type="http://schemas.openxmlformats.org/officeDocument/2006/relationships/hyperlink" Target="http://www.seavest.co.za/inv/fpdf16/inv-preview.php?Id=41661" TargetMode="External"/><Relationship Id="rId_hyperlink_547" Type="http://schemas.openxmlformats.org/officeDocument/2006/relationships/hyperlink" Target="http://www.seavest.co.za/inv/fpdf16/inv-preview.php?Id=43955" TargetMode="External"/><Relationship Id="rId_hyperlink_548" Type="http://schemas.openxmlformats.org/officeDocument/2006/relationships/hyperlink" Target="http://www.seavest.co.za/inv/fpdf16/inv-preview.php?Id=43929" TargetMode="External"/><Relationship Id="rId_hyperlink_549" Type="http://schemas.openxmlformats.org/officeDocument/2006/relationships/hyperlink" Target="http://www.seavest.co.za/inv/fpdf16/inv-preview.php?Id=43789" TargetMode="External"/><Relationship Id="rId_hyperlink_550" Type="http://schemas.openxmlformats.org/officeDocument/2006/relationships/hyperlink" Target="http://www.seavest.co.za/inv/fpdf16/inv-preview.php?Id=43956" TargetMode="External"/><Relationship Id="rId_hyperlink_551" Type="http://schemas.openxmlformats.org/officeDocument/2006/relationships/hyperlink" Target="http://www.seavest.co.za/inv/fpdf16/inv-preview.php?Id=42907" TargetMode="External"/><Relationship Id="rId_hyperlink_552" Type="http://schemas.openxmlformats.org/officeDocument/2006/relationships/hyperlink" Target="http://www.seavest.co.za/inv/fpdf16/inv-preview.php?Id=42911" TargetMode="External"/><Relationship Id="rId_hyperlink_553" Type="http://schemas.openxmlformats.org/officeDocument/2006/relationships/hyperlink" Target="http://www.seavest.co.za/inv/fpdf16/inv-preview.php?Id=45034" TargetMode="External"/><Relationship Id="rId_hyperlink_554" Type="http://schemas.openxmlformats.org/officeDocument/2006/relationships/hyperlink" Target="http://www.seavest.co.za/inv/fpdf16/inv-preview.php?Id=45049" TargetMode="External"/><Relationship Id="rId_hyperlink_555" Type="http://schemas.openxmlformats.org/officeDocument/2006/relationships/hyperlink" Target="http://www.seavest.co.za/inv/fpdf16/inv-preview.php?Id=40776" TargetMode="External"/><Relationship Id="rId_hyperlink_556" Type="http://schemas.openxmlformats.org/officeDocument/2006/relationships/hyperlink" Target="http://www.seavest.co.za/inv/fpdf16/inv-preview.php?Id=44757" TargetMode="External"/><Relationship Id="rId_hyperlink_557" Type="http://schemas.openxmlformats.org/officeDocument/2006/relationships/hyperlink" Target="http://www.seavest.co.za/inv/fpdf16/inv-preview.php?Id=44861" TargetMode="External"/><Relationship Id="rId_hyperlink_558" Type="http://schemas.openxmlformats.org/officeDocument/2006/relationships/hyperlink" Target="http://www.seavest.co.za/inv/fpdf16/inv-preview.php?Id=44898" TargetMode="External"/><Relationship Id="rId_hyperlink_559" Type="http://schemas.openxmlformats.org/officeDocument/2006/relationships/hyperlink" Target="http://www.seavest.co.za/inv/fpdf16/inv-preview.php?Id=41935" TargetMode="External"/><Relationship Id="rId_hyperlink_560" Type="http://schemas.openxmlformats.org/officeDocument/2006/relationships/hyperlink" Target="http://www.seavest.co.za/inv/fpdf16/inv-preview.php?Id=39375" TargetMode="External"/><Relationship Id="rId_hyperlink_561" Type="http://schemas.openxmlformats.org/officeDocument/2006/relationships/hyperlink" Target="http://www.seavest.co.za/inv/fpdf16/inv-preview.php?Id=41689" TargetMode="External"/><Relationship Id="rId_hyperlink_562" Type="http://schemas.openxmlformats.org/officeDocument/2006/relationships/hyperlink" Target="http://www.seavest.co.za/inv/fpdf16/inv-preview.php?Id=41690" TargetMode="External"/><Relationship Id="rId_hyperlink_563" Type="http://schemas.openxmlformats.org/officeDocument/2006/relationships/hyperlink" Target="http://www.seavest.co.za/inv/fpdf16/inv-preview.php?Id=41691" TargetMode="External"/><Relationship Id="rId_hyperlink_564" Type="http://schemas.openxmlformats.org/officeDocument/2006/relationships/hyperlink" Target="http://www.seavest.co.za/inv/fpdf16/inv-preview.php?Id=40997" TargetMode="External"/><Relationship Id="rId_hyperlink_565" Type="http://schemas.openxmlformats.org/officeDocument/2006/relationships/hyperlink" Target="http://www.seavest.co.za/inv/fpdf16/inv-preview.php?Id=43725" TargetMode="External"/><Relationship Id="rId_hyperlink_566" Type="http://schemas.openxmlformats.org/officeDocument/2006/relationships/hyperlink" Target="http://www.seavest.co.za/inv/fpdf16/inv-preview.php?Id=43758" TargetMode="External"/><Relationship Id="rId_hyperlink_567" Type="http://schemas.openxmlformats.org/officeDocument/2006/relationships/hyperlink" Target="http://www.seavest.co.za/inv/fpdf16/inv-preview.php?Id=43779" TargetMode="External"/><Relationship Id="rId_hyperlink_568" Type="http://schemas.openxmlformats.org/officeDocument/2006/relationships/hyperlink" Target="http://www.seavest.co.za/inv/fpdf16/inv-preview.php?Id=43950" TargetMode="External"/><Relationship Id="rId_hyperlink_569" Type="http://schemas.openxmlformats.org/officeDocument/2006/relationships/hyperlink" Target="http://www.seavest.co.za/inv/fpdf16/inv-preview.php?Id=43927" TargetMode="External"/><Relationship Id="rId_hyperlink_570" Type="http://schemas.openxmlformats.org/officeDocument/2006/relationships/hyperlink" Target="http://www.seavest.co.za/inv/fpdf16/inv-preview.php?Id=44267" TargetMode="External"/><Relationship Id="rId_hyperlink_571" Type="http://schemas.openxmlformats.org/officeDocument/2006/relationships/hyperlink" Target="http://www.seavest.co.za/inv/fpdf16/inv-preview.php?Id=44337" TargetMode="External"/><Relationship Id="rId_hyperlink_572" Type="http://schemas.openxmlformats.org/officeDocument/2006/relationships/hyperlink" Target="http://www.seavest.co.za/inv/fpdf16/inv-preview.php?Id=44298" TargetMode="External"/><Relationship Id="rId_hyperlink_573" Type="http://schemas.openxmlformats.org/officeDocument/2006/relationships/hyperlink" Target="http://www.seavest.co.za/inv/fpdf16/inv-preview.php?Id=44299" TargetMode="External"/><Relationship Id="rId_hyperlink_574" Type="http://schemas.openxmlformats.org/officeDocument/2006/relationships/hyperlink" Target="http://www.seavest.co.za/inv/fpdf16/inv-preview.php?Id=44342" TargetMode="External"/><Relationship Id="rId_hyperlink_575" Type="http://schemas.openxmlformats.org/officeDocument/2006/relationships/hyperlink" Target="http://www.seavest.co.za/inv/fpdf16/inv-preview.php?Id=44343" TargetMode="External"/><Relationship Id="rId_hyperlink_576" Type="http://schemas.openxmlformats.org/officeDocument/2006/relationships/hyperlink" Target="http://www.seavest.co.za/inv/fpdf16/inv-preview.php?Id=42671" TargetMode="External"/><Relationship Id="rId_hyperlink_577" Type="http://schemas.openxmlformats.org/officeDocument/2006/relationships/hyperlink" Target="http://www.seavest.co.za/inv/fpdf16/inv-preview.php?Id=43097" TargetMode="External"/><Relationship Id="rId_hyperlink_578" Type="http://schemas.openxmlformats.org/officeDocument/2006/relationships/hyperlink" Target="http://www.seavest.co.za/inv/fpdf16/inv-preview.php?Id=43118" TargetMode="External"/><Relationship Id="rId_hyperlink_579" Type="http://schemas.openxmlformats.org/officeDocument/2006/relationships/hyperlink" Target="http://www.seavest.co.za/inv/fpdf16/inv-preview.php?Id=39771" TargetMode="External"/><Relationship Id="rId_hyperlink_580" Type="http://schemas.openxmlformats.org/officeDocument/2006/relationships/hyperlink" Target="http://www.seavest.co.za/inv/fpdf16/inv-preview.php?Id=39799" TargetMode="External"/><Relationship Id="rId_hyperlink_581" Type="http://schemas.openxmlformats.org/officeDocument/2006/relationships/hyperlink" Target="http://www.seavest.co.za/inv/fpdf16/inv-preview.php?Id=39844" TargetMode="External"/><Relationship Id="rId_hyperlink_582" Type="http://schemas.openxmlformats.org/officeDocument/2006/relationships/hyperlink" Target="http://www.seavest.co.za/inv/fpdf16/inv-preview.php?Id=42620" TargetMode="External"/><Relationship Id="rId_hyperlink_583" Type="http://schemas.openxmlformats.org/officeDocument/2006/relationships/hyperlink" Target="http://www.seavest.co.za/inv/fpdf16/inv-preview.php?Id=41630" TargetMode="External"/><Relationship Id="rId_hyperlink_584" Type="http://schemas.openxmlformats.org/officeDocument/2006/relationships/hyperlink" Target="http://www.seavest.co.za/inv/fpdf16/inv-preview.php?Id=43507" TargetMode="External"/><Relationship Id="rId_hyperlink_585" Type="http://schemas.openxmlformats.org/officeDocument/2006/relationships/hyperlink" Target="http://www.seavest.co.za/inv/fpdf16/inv-preview.php?Id=43540" TargetMode="External"/><Relationship Id="rId_hyperlink_586" Type="http://schemas.openxmlformats.org/officeDocument/2006/relationships/hyperlink" Target="http://www.seavest.co.za/inv/fpdf16/inv-preview.php?Id=41977" TargetMode="External"/><Relationship Id="rId_hyperlink_587" Type="http://schemas.openxmlformats.org/officeDocument/2006/relationships/hyperlink" Target="http://www.seavest.co.za/inv/fpdf16/inv-preview.php?Id=41461" TargetMode="External"/><Relationship Id="rId_hyperlink_588" Type="http://schemas.openxmlformats.org/officeDocument/2006/relationships/hyperlink" Target="http://www.seavest.co.za/inv/fpdf16/inv-preview.php?Id=44359" TargetMode="External"/><Relationship Id="rId_hyperlink_589" Type="http://schemas.openxmlformats.org/officeDocument/2006/relationships/hyperlink" Target="http://www.seavest.co.za/inv/fpdf16/inv-preview.php?Id=44339" TargetMode="External"/><Relationship Id="rId_hyperlink_590" Type="http://schemas.openxmlformats.org/officeDocument/2006/relationships/hyperlink" Target="http://www.seavest.co.za/inv/fpdf16/inv-preview.php?Id=44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7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0</v>
      </c>
      <c r="G2">
        <v>0</v>
      </c>
      <c r="H2">
        <v>0</v>
      </c>
      <c r="I2">
        <v>23351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9999999.99</v>
      </c>
      <c r="G4">
        <v>9430.959999999999</v>
      </c>
      <c r="H4">
        <v>72304.03</v>
      </c>
      <c r="I4">
        <v>25432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1705.5</v>
      </c>
      <c r="G5">
        <v>0</v>
      </c>
      <c r="H5">
        <v>1705.5</v>
      </c>
      <c r="I5">
        <v>24728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21</v>
      </c>
      <c r="E6"/>
      <c r="F6">
        <v>0</v>
      </c>
      <c r="G6">
        <v>0</v>
      </c>
      <c r="H6">
        <v>0</v>
      </c>
      <c r="I6">
        <v>24727</v>
      </c>
      <c r="J6"/>
      <c r="K6">
        <v>1</v>
      </c>
      <c r="L6" t="str">
        <f>Hyperlink("","Click for Invoice PDF")</f>
        <v>0</v>
      </c>
      <c r="M6"/>
    </row>
    <row r="7" spans="1:215">
      <c r="A7" t="s">
        <v>23</v>
      </c>
      <c r="B7"/>
      <c r="C7" t="s">
        <v>14</v>
      </c>
      <c r="D7" t="s">
        <v>24</v>
      </c>
      <c r="E7"/>
      <c r="F7">
        <v>0</v>
      </c>
      <c r="G7">
        <v>0</v>
      </c>
      <c r="H7">
        <v>0</v>
      </c>
      <c r="I7">
        <v>24670</v>
      </c>
      <c r="J7"/>
      <c r="K7">
        <v>1</v>
      </c>
      <c r="L7" t="str">
        <f>Hyperlink("","Click for Invoice PDF")</f>
        <v>0</v>
      </c>
      <c r="M7"/>
    </row>
    <row r="8" spans="1:215">
      <c r="A8" t="s">
        <v>25</v>
      </c>
      <c r="B8"/>
      <c r="C8" t="s">
        <v>14</v>
      </c>
      <c r="D8" t="s">
        <v>26</v>
      </c>
      <c r="E8"/>
      <c r="F8">
        <v>29061.86</v>
      </c>
      <c r="G8">
        <v>0</v>
      </c>
      <c r="H8">
        <v>29061.86</v>
      </c>
      <c r="I8">
        <v>25001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0</v>
      </c>
      <c r="G9">
        <v>0</v>
      </c>
      <c r="H9">
        <v>0</v>
      </c>
      <c r="I9">
        <v>23942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0</v>
      </c>
      <c r="G10">
        <v>0</v>
      </c>
      <c r="H10">
        <v>0</v>
      </c>
      <c r="I10">
        <v>22923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30</v>
      </c>
      <c r="E11"/>
      <c r="F11">
        <v>0</v>
      </c>
      <c r="G11">
        <v>0</v>
      </c>
      <c r="H11">
        <v>0</v>
      </c>
      <c r="I11">
        <v>24167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32</v>
      </c>
      <c r="B12"/>
      <c r="C12" t="s">
        <v>14</v>
      </c>
      <c r="D12" t="s">
        <v>33</v>
      </c>
      <c r="E12"/>
      <c r="F12">
        <v>8641.559999999999</v>
      </c>
      <c r="G12">
        <v>0</v>
      </c>
      <c r="H12">
        <v>8641.559999999999</v>
      </c>
      <c r="I12">
        <v>24777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35</v>
      </c>
      <c r="E13"/>
      <c r="F13">
        <v>7489.6</v>
      </c>
      <c r="G13">
        <v>1123.44</v>
      </c>
      <c r="H13">
        <v>8613.040000000001</v>
      </c>
      <c r="I13">
        <v>23812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36</v>
      </c>
      <c r="B14"/>
      <c r="C14" t="s">
        <v>14</v>
      </c>
      <c r="D14" t="s">
        <v>19</v>
      </c>
      <c r="E14"/>
      <c r="F14">
        <v>26353.26</v>
      </c>
      <c r="G14">
        <v>0</v>
      </c>
      <c r="H14">
        <v>26353.26</v>
      </c>
      <c r="I14">
        <v>24445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37</v>
      </c>
      <c r="B15"/>
      <c r="C15" t="s">
        <v>14</v>
      </c>
      <c r="D15" t="s">
        <v>38</v>
      </c>
      <c r="E15"/>
      <c r="F15">
        <v>0</v>
      </c>
      <c r="G15">
        <v>0</v>
      </c>
      <c r="H15">
        <v>0</v>
      </c>
      <c r="I15">
        <v>24347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39</v>
      </c>
      <c r="B16"/>
      <c r="C16" t="s">
        <v>14</v>
      </c>
      <c r="D16" t="s">
        <v>26</v>
      </c>
      <c r="E16"/>
      <c r="F16">
        <v>11223.8</v>
      </c>
      <c r="G16">
        <v>0</v>
      </c>
      <c r="H16">
        <v>11223.8</v>
      </c>
      <c r="I16">
        <v>24076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40</v>
      </c>
      <c r="B17"/>
      <c r="C17" t="s">
        <v>14</v>
      </c>
      <c r="D17" t="s">
        <v>41</v>
      </c>
      <c r="E17"/>
      <c r="F17">
        <v>774.5</v>
      </c>
      <c r="G17">
        <v>0</v>
      </c>
      <c r="H17">
        <v>774.5</v>
      </c>
      <c r="I17">
        <v>24729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42</v>
      </c>
      <c r="B18"/>
      <c r="C18" t="s">
        <v>14</v>
      </c>
      <c r="D18" t="s">
        <v>43</v>
      </c>
      <c r="E18"/>
      <c r="F18">
        <v>0</v>
      </c>
      <c r="G18">
        <v>0</v>
      </c>
      <c r="H18">
        <v>0</v>
      </c>
      <c r="I18">
        <v>23842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44</v>
      </c>
      <c r="B19"/>
      <c r="C19" t="s">
        <v>14</v>
      </c>
      <c r="D19" t="s">
        <v>45</v>
      </c>
      <c r="E19"/>
      <c r="F19">
        <v>137141.2</v>
      </c>
      <c r="G19">
        <v>0</v>
      </c>
      <c r="H19">
        <v>137141.2</v>
      </c>
      <c r="I19">
        <v>23787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46</v>
      </c>
      <c r="B20"/>
      <c r="C20" t="s">
        <v>14</v>
      </c>
      <c r="D20" t="s">
        <v>47</v>
      </c>
      <c r="E20"/>
      <c r="F20">
        <v>9999999.99</v>
      </c>
      <c r="G20">
        <v>0</v>
      </c>
      <c r="H20">
        <v>0</v>
      </c>
      <c r="I20">
        <v>25635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48</v>
      </c>
      <c r="B21"/>
      <c r="C21" t="s">
        <v>14</v>
      </c>
      <c r="D21" t="s">
        <v>21</v>
      </c>
      <c r="E21"/>
      <c r="F21">
        <v>7172.8</v>
      </c>
      <c r="G21">
        <v>0</v>
      </c>
      <c r="H21">
        <v>7172.8</v>
      </c>
      <c r="I21">
        <v>24853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49</v>
      </c>
      <c r="B22"/>
      <c r="C22" t="s">
        <v>14</v>
      </c>
      <c r="D22" t="s">
        <v>50</v>
      </c>
      <c r="E22"/>
      <c r="F22">
        <v>1735.52</v>
      </c>
      <c r="G22">
        <v>0</v>
      </c>
      <c r="H22">
        <v>1735.52</v>
      </c>
      <c r="I22">
        <v>24333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51</v>
      </c>
      <c r="B23"/>
      <c r="C23" t="s">
        <v>14</v>
      </c>
      <c r="D23" t="s">
        <v>52</v>
      </c>
      <c r="E23"/>
      <c r="F23">
        <v>0</v>
      </c>
      <c r="G23">
        <v>0</v>
      </c>
      <c r="H23">
        <v>0</v>
      </c>
      <c r="I23">
        <v>24714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53</v>
      </c>
      <c r="B24"/>
      <c r="C24" t="s">
        <v>14</v>
      </c>
      <c r="D24" t="s">
        <v>54</v>
      </c>
      <c r="E24"/>
      <c r="F24">
        <v>360</v>
      </c>
      <c r="G24">
        <v>0</v>
      </c>
      <c r="H24">
        <v>360</v>
      </c>
      <c r="I24">
        <v>24695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55</v>
      </c>
      <c r="B25"/>
      <c r="C25" t="s">
        <v>14</v>
      </c>
      <c r="D25" t="s">
        <v>21</v>
      </c>
      <c r="E25"/>
      <c r="F25">
        <v>3547.49</v>
      </c>
      <c r="G25">
        <v>0</v>
      </c>
      <c r="H25">
        <v>3547.49</v>
      </c>
      <c r="I25">
        <v>24757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56</v>
      </c>
      <c r="B26"/>
      <c r="C26" t="s">
        <v>14</v>
      </c>
      <c r="D26" t="s">
        <v>19</v>
      </c>
      <c r="E26"/>
      <c r="F26">
        <v>2382.92</v>
      </c>
      <c r="G26">
        <v>0</v>
      </c>
      <c r="H26">
        <v>2382.92</v>
      </c>
      <c r="I26">
        <v>24992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57</v>
      </c>
      <c r="B27"/>
      <c r="C27" t="s">
        <v>14</v>
      </c>
      <c r="D27" t="s">
        <v>58</v>
      </c>
      <c r="E27"/>
      <c r="F27">
        <v>9999999.99</v>
      </c>
      <c r="G27">
        <v>0</v>
      </c>
      <c r="H27">
        <v>13901.12</v>
      </c>
      <c r="I27">
        <v>25442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59</v>
      </c>
      <c r="B28"/>
      <c r="C28" t="s">
        <v>14</v>
      </c>
      <c r="D28" t="s">
        <v>60</v>
      </c>
      <c r="E28"/>
      <c r="F28">
        <v>9999999.99</v>
      </c>
      <c r="G28">
        <v>0</v>
      </c>
      <c r="H28">
        <v>0</v>
      </c>
      <c r="I28">
        <v>25036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61</v>
      </c>
      <c r="B29"/>
      <c r="C29" t="s">
        <v>62</v>
      </c>
      <c r="D29" t="s">
        <v>63</v>
      </c>
      <c r="E29"/>
      <c r="F29">
        <v>170.1</v>
      </c>
      <c r="G29">
        <v>0</v>
      </c>
      <c r="H29">
        <v>170.1</v>
      </c>
      <c r="I29">
        <v>24173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64</v>
      </c>
      <c r="B30"/>
      <c r="C30" t="s">
        <v>62</v>
      </c>
      <c r="D30" t="s">
        <v>65</v>
      </c>
      <c r="E30"/>
      <c r="F30">
        <v>0</v>
      </c>
      <c r="G30">
        <v>0</v>
      </c>
      <c r="H30">
        <v>0</v>
      </c>
      <c r="I30">
        <v>24168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66</v>
      </c>
      <c r="B31"/>
      <c r="C31" t="s">
        <v>67</v>
      </c>
      <c r="D31" t="s">
        <v>68</v>
      </c>
      <c r="E31"/>
      <c r="F31">
        <v>600.21</v>
      </c>
      <c r="G31">
        <v>0</v>
      </c>
      <c r="H31">
        <v>600.21</v>
      </c>
      <c r="I31">
        <v>24784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69</v>
      </c>
      <c r="B32"/>
      <c r="C32" t="s">
        <v>67</v>
      </c>
      <c r="D32" t="s">
        <v>70</v>
      </c>
      <c r="E32"/>
      <c r="F32">
        <v>6892</v>
      </c>
      <c r="G32">
        <v>0</v>
      </c>
      <c r="H32">
        <v>6892</v>
      </c>
      <c r="I32">
        <v>24685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71</v>
      </c>
      <c r="B33"/>
      <c r="C33" t="s">
        <v>67</v>
      </c>
      <c r="D33" t="s">
        <v>72</v>
      </c>
      <c r="E33" t="s">
        <v>73</v>
      </c>
      <c r="F33">
        <v>9999999.99</v>
      </c>
      <c r="G33">
        <v>0</v>
      </c>
      <c r="H33">
        <v>8804</v>
      </c>
      <c r="I33">
        <v>25474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74</v>
      </c>
      <c r="B34"/>
      <c r="C34" t="s">
        <v>67</v>
      </c>
      <c r="D34" t="s">
        <v>75</v>
      </c>
      <c r="E34"/>
      <c r="F34">
        <v>9999999.99</v>
      </c>
      <c r="G34">
        <v>0</v>
      </c>
      <c r="H34">
        <v>13868.17</v>
      </c>
      <c r="I34">
        <v>24324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76</v>
      </c>
      <c r="B35"/>
      <c r="C35" t="s">
        <v>67</v>
      </c>
      <c r="D35" t="s">
        <v>77</v>
      </c>
      <c r="E35"/>
      <c r="F35">
        <v>33568.95</v>
      </c>
      <c r="G35">
        <v>0</v>
      </c>
      <c r="H35">
        <v>33568.95</v>
      </c>
      <c r="I35">
        <v>19598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78</v>
      </c>
      <c r="B36"/>
      <c r="C36" t="s">
        <v>67</v>
      </c>
      <c r="D36" t="s">
        <v>79</v>
      </c>
      <c r="E36"/>
      <c r="F36">
        <v>8880.48</v>
      </c>
      <c r="G36">
        <v>0</v>
      </c>
      <c r="H36">
        <v>8880.48</v>
      </c>
      <c r="I36">
        <v>25249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80</v>
      </c>
      <c r="B37"/>
      <c r="C37" t="s">
        <v>67</v>
      </c>
      <c r="D37" t="s">
        <v>81</v>
      </c>
      <c r="E37" t="s">
        <v>82</v>
      </c>
      <c r="F37">
        <v>4768.02</v>
      </c>
      <c r="G37">
        <v>0</v>
      </c>
      <c r="H37">
        <v>4768.02</v>
      </c>
      <c r="I37">
        <v>0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83</v>
      </c>
      <c r="B38"/>
      <c r="C38" t="s">
        <v>67</v>
      </c>
      <c r="D38" t="s">
        <v>72</v>
      </c>
      <c r="E38"/>
      <c r="F38">
        <v>9999999.99</v>
      </c>
      <c r="G38">
        <v>0</v>
      </c>
      <c r="H38">
        <v>3005</v>
      </c>
      <c r="I38">
        <v>25331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84</v>
      </c>
      <c r="B39"/>
      <c r="C39" t="s">
        <v>67</v>
      </c>
      <c r="D39" t="s">
        <v>85</v>
      </c>
      <c r="E39"/>
      <c r="F39">
        <v>662.4</v>
      </c>
      <c r="G39">
        <v>0</v>
      </c>
      <c r="H39">
        <v>662.4</v>
      </c>
      <c r="I39">
        <v>20053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86</v>
      </c>
      <c r="B40"/>
      <c r="C40" t="s">
        <v>67</v>
      </c>
      <c r="D40" t="s">
        <v>72</v>
      </c>
      <c r="E40"/>
      <c r="F40">
        <v>2989</v>
      </c>
      <c r="G40">
        <v>0</v>
      </c>
      <c r="H40">
        <v>2989</v>
      </c>
      <c r="I40">
        <v>20269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87</v>
      </c>
      <c r="B41"/>
      <c r="C41" t="s">
        <v>67</v>
      </c>
      <c r="D41" t="s">
        <v>88</v>
      </c>
      <c r="E41"/>
      <c r="F41">
        <v>2182.5</v>
      </c>
      <c r="G41">
        <v>0</v>
      </c>
      <c r="H41">
        <v>2182.5</v>
      </c>
      <c r="I41">
        <v>23387</v>
      </c>
      <c r="J41"/>
      <c r="K41">
        <v>114</v>
      </c>
      <c r="L41" t="str">
        <f>Hyperlink("http://www.seavest.co.za/inv/fpdf16/inv-preview.php?Id=43010","Click for Invoice PDF")</f>
        <v>Click for Invoice PDF</v>
      </c>
      <c r="M41"/>
    </row>
    <row r="42" spans="1:215">
      <c r="A42" t="s">
        <v>89</v>
      </c>
      <c r="B42"/>
      <c r="C42" t="s">
        <v>67</v>
      </c>
      <c r="D42" t="s">
        <v>72</v>
      </c>
      <c r="E42"/>
      <c r="F42">
        <v>0</v>
      </c>
      <c r="G42">
        <v>0</v>
      </c>
      <c r="H42">
        <v>0</v>
      </c>
      <c r="I42">
        <v>21029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90</v>
      </c>
      <c r="B43"/>
      <c r="C43" t="s">
        <v>67</v>
      </c>
      <c r="D43" t="s">
        <v>91</v>
      </c>
      <c r="E43"/>
      <c r="F43">
        <v>7694.2</v>
      </c>
      <c r="G43">
        <v>0</v>
      </c>
      <c r="H43">
        <v>7694.2</v>
      </c>
      <c r="I43">
        <v>25270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92</v>
      </c>
      <c r="B44"/>
      <c r="C44" t="s">
        <v>67</v>
      </c>
      <c r="D44" t="s">
        <v>93</v>
      </c>
      <c r="E44"/>
      <c r="F44">
        <v>0</v>
      </c>
      <c r="G44">
        <v>0</v>
      </c>
      <c r="H44">
        <v>0</v>
      </c>
      <c r="I44">
        <v>24584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94</v>
      </c>
      <c r="B45"/>
      <c r="C45" t="s">
        <v>67</v>
      </c>
      <c r="D45" t="s">
        <v>95</v>
      </c>
      <c r="E45"/>
      <c r="F45">
        <v>0</v>
      </c>
      <c r="G45">
        <v>0</v>
      </c>
      <c r="H45">
        <v>0</v>
      </c>
      <c r="I45">
        <v>24765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96</v>
      </c>
      <c r="B46"/>
      <c r="C46" t="s">
        <v>67</v>
      </c>
      <c r="D46" t="s">
        <v>97</v>
      </c>
      <c r="E46"/>
      <c r="F46">
        <v>2670</v>
      </c>
      <c r="G46">
        <v>0</v>
      </c>
      <c r="H46">
        <v>2670</v>
      </c>
      <c r="I46">
        <v>24146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98</v>
      </c>
      <c r="B47"/>
      <c r="C47" t="s">
        <v>67</v>
      </c>
      <c r="D47" t="s">
        <v>99</v>
      </c>
      <c r="E47"/>
      <c r="F47">
        <v>7912.52</v>
      </c>
      <c r="G47">
        <v>0</v>
      </c>
      <c r="H47">
        <v>7912.52</v>
      </c>
      <c r="I47">
        <v>24651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100</v>
      </c>
      <c r="B48"/>
      <c r="C48" t="s">
        <v>67</v>
      </c>
      <c r="D48" t="s">
        <v>101</v>
      </c>
      <c r="E48"/>
      <c r="F48">
        <v>0</v>
      </c>
      <c r="G48">
        <v>0</v>
      </c>
      <c r="H48">
        <v>0</v>
      </c>
      <c r="I48">
        <v>23879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102</v>
      </c>
      <c r="B49"/>
      <c r="C49" t="s">
        <v>67</v>
      </c>
      <c r="D49" t="s">
        <v>97</v>
      </c>
      <c r="E49"/>
      <c r="F49">
        <v>6469.52</v>
      </c>
      <c r="G49">
        <v>0</v>
      </c>
      <c r="H49">
        <v>6469.52</v>
      </c>
      <c r="I49">
        <v>24863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103</v>
      </c>
      <c r="B50"/>
      <c r="C50" t="s">
        <v>67</v>
      </c>
      <c r="D50" t="s">
        <v>104</v>
      </c>
      <c r="E50"/>
      <c r="F50">
        <v>3150</v>
      </c>
      <c r="G50">
        <v>0</v>
      </c>
      <c r="H50">
        <v>3150</v>
      </c>
      <c r="I50">
        <v>25905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105</v>
      </c>
      <c r="B51"/>
      <c r="C51" t="s">
        <v>67</v>
      </c>
      <c r="D51" t="s">
        <v>106</v>
      </c>
      <c r="E51"/>
      <c r="F51">
        <v>977.5599999999999</v>
      </c>
      <c r="G51">
        <v>0</v>
      </c>
      <c r="H51">
        <v>977.5599999999999</v>
      </c>
      <c r="I51">
        <v>24638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107</v>
      </c>
      <c r="B52"/>
      <c r="C52" t="s">
        <v>67</v>
      </c>
      <c r="D52" t="s">
        <v>72</v>
      </c>
      <c r="E52"/>
      <c r="F52">
        <v>9999999.99</v>
      </c>
      <c r="G52">
        <v>0</v>
      </c>
      <c r="H52">
        <v>1079.52</v>
      </c>
      <c r="I52">
        <v>25400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108</v>
      </c>
      <c r="B53"/>
      <c r="C53" t="s">
        <v>67</v>
      </c>
      <c r="D53" t="s">
        <v>109</v>
      </c>
      <c r="E53" t="s">
        <v>110</v>
      </c>
      <c r="F53">
        <v>0</v>
      </c>
      <c r="G53">
        <v>0</v>
      </c>
      <c r="H53">
        <v>0</v>
      </c>
      <c r="I53">
        <v>21701</v>
      </c>
      <c r="J53"/>
      <c r="K53">
        <v>499</v>
      </c>
      <c r="L53" t="str">
        <f>Hyperlink("http://www.seavest.co.za/inv/fpdf16/inv-preview.php?Id=41294","Click for Invoice PDF")</f>
        <v>Click for Invoice PDF</v>
      </c>
      <c r="M53"/>
    </row>
    <row r="54" spans="1:215">
      <c r="A54" t="s">
        <v>111</v>
      </c>
      <c r="B54"/>
      <c r="C54" t="s">
        <v>67</v>
      </c>
      <c r="D54" t="s">
        <v>112</v>
      </c>
      <c r="E54"/>
      <c r="F54">
        <v>0</v>
      </c>
      <c r="G54">
        <v>0</v>
      </c>
      <c r="H54">
        <v>0</v>
      </c>
      <c r="I54">
        <v>23692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113</v>
      </c>
      <c r="B55"/>
      <c r="C55" t="s">
        <v>67</v>
      </c>
      <c r="D55" t="s">
        <v>114</v>
      </c>
      <c r="E55"/>
      <c r="F55">
        <v>3936.5</v>
      </c>
      <c r="G55">
        <v>590.48</v>
      </c>
      <c r="H55">
        <v>4526.98</v>
      </c>
      <c r="I55">
        <v>23466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115</v>
      </c>
      <c r="B56"/>
      <c r="C56" t="s">
        <v>67</v>
      </c>
      <c r="D56" t="s">
        <v>116</v>
      </c>
      <c r="E56"/>
      <c r="F56">
        <v>49401</v>
      </c>
      <c r="G56">
        <v>0</v>
      </c>
      <c r="H56">
        <v>49401</v>
      </c>
      <c r="I56">
        <v>24383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117</v>
      </c>
      <c r="B57"/>
      <c r="C57" t="s">
        <v>67</v>
      </c>
      <c r="D57" t="s">
        <v>118</v>
      </c>
      <c r="E57"/>
      <c r="F57">
        <v>13566.1</v>
      </c>
      <c r="G57">
        <v>2034.92</v>
      </c>
      <c r="H57">
        <v>15601.02</v>
      </c>
      <c r="I57">
        <v>23574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119</v>
      </c>
      <c r="B58"/>
      <c r="C58" t="s">
        <v>67</v>
      </c>
      <c r="D58" t="s">
        <v>120</v>
      </c>
      <c r="E58"/>
      <c r="F58">
        <v>6782.82</v>
      </c>
      <c r="G58">
        <v>0</v>
      </c>
      <c r="H58">
        <v>6782.82</v>
      </c>
      <c r="I58">
        <v>25669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121</v>
      </c>
      <c r="B59"/>
      <c r="C59" t="s">
        <v>67</v>
      </c>
      <c r="D59" t="s">
        <v>122</v>
      </c>
      <c r="E59"/>
      <c r="F59">
        <v>0</v>
      </c>
      <c r="G59">
        <v>0</v>
      </c>
      <c r="H59">
        <v>0</v>
      </c>
      <c r="I59">
        <v>23760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123</v>
      </c>
      <c r="B60"/>
      <c r="C60" t="s">
        <v>67</v>
      </c>
      <c r="D60" t="s">
        <v>114</v>
      </c>
      <c r="E60"/>
      <c r="F60">
        <v>0</v>
      </c>
      <c r="G60">
        <v>0</v>
      </c>
      <c r="H60">
        <v>0</v>
      </c>
      <c r="I60">
        <v>23475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124</v>
      </c>
      <c r="B61"/>
      <c r="C61" t="s">
        <v>67</v>
      </c>
      <c r="D61" t="s">
        <v>125</v>
      </c>
      <c r="E61"/>
      <c r="F61">
        <v>92955.67999999999</v>
      </c>
      <c r="G61">
        <v>0</v>
      </c>
      <c r="H61">
        <v>92955.67999999999</v>
      </c>
      <c r="I61">
        <v>25032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126</v>
      </c>
      <c r="B62"/>
      <c r="C62" t="s">
        <v>67</v>
      </c>
      <c r="D62" t="s">
        <v>127</v>
      </c>
      <c r="E62"/>
      <c r="F62">
        <v>6657.1</v>
      </c>
      <c r="G62">
        <v>0</v>
      </c>
      <c r="H62">
        <v>6657.1</v>
      </c>
      <c r="I62">
        <v>25798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128</v>
      </c>
      <c r="B63"/>
      <c r="C63" t="s">
        <v>67</v>
      </c>
      <c r="D63" t="s">
        <v>72</v>
      </c>
      <c r="E63"/>
      <c r="F63">
        <v>4512.24</v>
      </c>
      <c r="G63">
        <v>0</v>
      </c>
      <c r="H63">
        <v>4512.24</v>
      </c>
      <c r="I63">
        <v>24396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129</v>
      </c>
      <c r="B64"/>
      <c r="C64" t="s">
        <v>67</v>
      </c>
      <c r="D64" t="s">
        <v>130</v>
      </c>
      <c r="E64"/>
      <c r="F64">
        <v>3985.08</v>
      </c>
      <c r="G64">
        <v>0</v>
      </c>
      <c r="H64">
        <v>3985.08</v>
      </c>
      <c r="I64">
        <v>24673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131</v>
      </c>
      <c r="B65"/>
      <c r="C65" t="s">
        <v>67</v>
      </c>
      <c r="D65" t="s">
        <v>132</v>
      </c>
      <c r="E65"/>
      <c r="F65">
        <v>9999999.99</v>
      </c>
      <c r="G65">
        <v>833.46</v>
      </c>
      <c r="H65">
        <v>6389.86</v>
      </c>
      <c r="I65">
        <v>24124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133</v>
      </c>
      <c r="B66"/>
      <c r="C66" t="s">
        <v>67</v>
      </c>
      <c r="D66" t="s">
        <v>134</v>
      </c>
      <c r="E66"/>
      <c r="F66">
        <v>9999999.99</v>
      </c>
      <c r="G66">
        <v>0</v>
      </c>
      <c r="H66">
        <v>0</v>
      </c>
      <c r="I66">
        <v>23749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135</v>
      </c>
      <c r="B67"/>
      <c r="C67" t="s">
        <v>67</v>
      </c>
      <c r="D67" t="s">
        <v>136</v>
      </c>
      <c r="E67"/>
      <c r="F67">
        <v>5331.5</v>
      </c>
      <c r="G67">
        <v>0</v>
      </c>
      <c r="H67">
        <v>5331.5</v>
      </c>
      <c r="I67">
        <v>24261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137</v>
      </c>
      <c r="B68"/>
      <c r="C68" t="s">
        <v>67</v>
      </c>
      <c r="D68" t="s">
        <v>138</v>
      </c>
      <c r="E68"/>
      <c r="F68">
        <v>14624.9</v>
      </c>
      <c r="G68">
        <v>2193.74</v>
      </c>
      <c r="H68">
        <v>16818.64</v>
      </c>
      <c r="I68">
        <v>24121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139</v>
      </c>
      <c r="B69"/>
      <c r="C69" t="s">
        <v>67</v>
      </c>
      <c r="D69" t="s">
        <v>140</v>
      </c>
      <c r="E69"/>
      <c r="F69">
        <v>6245.4</v>
      </c>
      <c r="G69">
        <v>0</v>
      </c>
      <c r="H69">
        <v>6245.4</v>
      </c>
      <c r="I69">
        <v>24554</v>
      </c>
      <c r="J69"/>
      <c r="K69">
        <v>1</v>
      </c>
      <c r="L69" t="str">
        <f>Hyperlink("","Click for Invoice PDF")</f>
        <v>0</v>
      </c>
      <c r="M69"/>
    </row>
    <row r="70" spans="1:215">
      <c r="A70" t="s">
        <v>141</v>
      </c>
      <c r="B70"/>
      <c r="C70" t="s">
        <v>67</v>
      </c>
      <c r="D70" t="s">
        <v>142</v>
      </c>
      <c r="E70"/>
      <c r="F70">
        <v>5570.8</v>
      </c>
      <c r="G70">
        <v>0</v>
      </c>
      <c r="H70">
        <v>5570.8</v>
      </c>
      <c r="I70">
        <v>25261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143</v>
      </c>
      <c r="B71"/>
      <c r="C71" t="s">
        <v>67</v>
      </c>
      <c r="D71" t="s">
        <v>144</v>
      </c>
      <c r="E71"/>
      <c r="F71">
        <v>9999999.99</v>
      </c>
      <c r="G71">
        <v>0</v>
      </c>
      <c r="H71">
        <v>3662.46</v>
      </c>
      <c r="I71">
        <v>25309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145</v>
      </c>
      <c r="B72"/>
      <c r="C72" t="s">
        <v>67</v>
      </c>
      <c r="D72" t="s">
        <v>146</v>
      </c>
      <c r="E72"/>
      <c r="F72">
        <v>9999999.99</v>
      </c>
      <c r="G72">
        <v>0</v>
      </c>
      <c r="H72">
        <v>7784.4</v>
      </c>
      <c r="I72">
        <v>25057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147</v>
      </c>
      <c r="B73"/>
      <c r="C73" t="s">
        <v>67</v>
      </c>
      <c r="D73" t="s">
        <v>148</v>
      </c>
      <c r="E73"/>
      <c r="F73">
        <v>0</v>
      </c>
      <c r="G73">
        <v>0</v>
      </c>
      <c r="H73">
        <v>0</v>
      </c>
      <c r="I73">
        <v>24595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149</v>
      </c>
      <c r="B74"/>
      <c r="C74" t="s">
        <v>67</v>
      </c>
      <c r="D74" t="s">
        <v>70</v>
      </c>
      <c r="E74"/>
      <c r="F74">
        <v>6703.6</v>
      </c>
      <c r="G74">
        <v>0</v>
      </c>
      <c r="H74">
        <v>6703.6</v>
      </c>
      <c r="I74">
        <v>24585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150</v>
      </c>
      <c r="B75"/>
      <c r="C75" t="s">
        <v>67</v>
      </c>
      <c r="D75" t="s">
        <v>151</v>
      </c>
      <c r="E75"/>
      <c r="F75">
        <v>10596</v>
      </c>
      <c r="G75">
        <v>0</v>
      </c>
      <c r="H75">
        <v>10596</v>
      </c>
      <c r="I75">
        <v>24425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152</v>
      </c>
      <c r="B76"/>
      <c r="C76" t="s">
        <v>67</v>
      </c>
      <c r="D76" t="s">
        <v>72</v>
      </c>
      <c r="E76"/>
      <c r="F76">
        <v>4309</v>
      </c>
      <c r="G76">
        <v>0</v>
      </c>
      <c r="H76">
        <v>4309</v>
      </c>
      <c r="I76">
        <v>25374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153</v>
      </c>
      <c r="B77"/>
      <c r="C77" t="s">
        <v>67</v>
      </c>
      <c r="D77" t="s">
        <v>95</v>
      </c>
      <c r="E77"/>
      <c r="F77">
        <v>0</v>
      </c>
      <c r="G77">
        <v>0</v>
      </c>
      <c r="H77">
        <v>0</v>
      </c>
      <c r="I77">
        <v>24485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154</v>
      </c>
      <c r="B78"/>
      <c r="C78" t="s">
        <v>67</v>
      </c>
      <c r="D78" t="s">
        <v>148</v>
      </c>
      <c r="E78"/>
      <c r="F78">
        <v>0</v>
      </c>
      <c r="G78">
        <v>0</v>
      </c>
      <c r="H78">
        <v>0</v>
      </c>
      <c r="I78">
        <v>24593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155</v>
      </c>
      <c r="B79"/>
      <c r="C79" t="s">
        <v>67</v>
      </c>
      <c r="D79" t="s">
        <v>156</v>
      </c>
      <c r="E79"/>
      <c r="F79">
        <v>12256</v>
      </c>
      <c r="G79">
        <v>0</v>
      </c>
      <c r="H79">
        <v>12256</v>
      </c>
      <c r="I79">
        <v>24680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157</v>
      </c>
      <c r="B80"/>
      <c r="C80" t="s">
        <v>67</v>
      </c>
      <c r="D80" t="s">
        <v>146</v>
      </c>
      <c r="E80"/>
      <c r="F80">
        <v>0</v>
      </c>
      <c r="G80">
        <v>0</v>
      </c>
      <c r="H80">
        <v>0</v>
      </c>
      <c r="I80">
        <v>24720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158</v>
      </c>
      <c r="B81"/>
      <c r="C81" t="s">
        <v>67</v>
      </c>
      <c r="D81" t="s">
        <v>159</v>
      </c>
      <c r="E81"/>
      <c r="F81">
        <v>7430.68</v>
      </c>
      <c r="G81">
        <v>0</v>
      </c>
      <c r="H81">
        <v>7430.68</v>
      </c>
      <c r="I81">
        <v>25059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160</v>
      </c>
      <c r="B82"/>
      <c r="C82" t="s">
        <v>67</v>
      </c>
      <c r="D82" t="s">
        <v>134</v>
      </c>
      <c r="E82"/>
      <c r="F82">
        <v>0</v>
      </c>
      <c r="G82">
        <v>0</v>
      </c>
      <c r="H82">
        <v>0</v>
      </c>
      <c r="I82">
        <v>24738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161</v>
      </c>
      <c r="B83"/>
      <c r="C83" t="s">
        <v>67</v>
      </c>
      <c r="D83" t="s">
        <v>162</v>
      </c>
      <c r="E83"/>
      <c r="F83">
        <v>9999999.99</v>
      </c>
      <c r="G83">
        <v>0</v>
      </c>
      <c r="H83">
        <v>1105.9</v>
      </c>
      <c r="I83">
        <v>25071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163</v>
      </c>
      <c r="B84"/>
      <c r="C84" t="s">
        <v>67</v>
      </c>
      <c r="D84" t="s">
        <v>120</v>
      </c>
      <c r="E84"/>
      <c r="F84">
        <v>9999999.99</v>
      </c>
      <c r="G84">
        <v>0</v>
      </c>
      <c r="H84">
        <v>20158.84</v>
      </c>
      <c r="I84">
        <v>25485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164</v>
      </c>
      <c r="B85"/>
      <c r="C85" t="s">
        <v>67</v>
      </c>
      <c r="D85" t="s">
        <v>165</v>
      </c>
      <c r="E85"/>
      <c r="F85">
        <v>4522.68</v>
      </c>
      <c r="G85">
        <v>0</v>
      </c>
      <c r="H85">
        <v>4522.68</v>
      </c>
      <c r="I85">
        <v>25532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166</v>
      </c>
      <c r="B86"/>
      <c r="C86" t="s">
        <v>67</v>
      </c>
      <c r="D86" t="s">
        <v>167</v>
      </c>
      <c r="E86"/>
      <c r="F86">
        <v>9999999.99</v>
      </c>
      <c r="G86">
        <v>0</v>
      </c>
      <c r="H86">
        <v>5812.3</v>
      </c>
      <c r="I86">
        <v>25772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168</v>
      </c>
      <c r="B87"/>
      <c r="C87" t="s">
        <v>67</v>
      </c>
      <c r="D87" t="s">
        <v>72</v>
      </c>
      <c r="E87"/>
      <c r="F87">
        <v>5776.72</v>
      </c>
      <c r="G87">
        <v>0</v>
      </c>
      <c r="H87">
        <v>5776.72</v>
      </c>
      <c r="I87">
        <v>25345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169</v>
      </c>
      <c r="B88"/>
      <c r="C88" t="s">
        <v>67</v>
      </c>
      <c r="D88" t="s">
        <v>70</v>
      </c>
      <c r="E88"/>
      <c r="F88">
        <v>0</v>
      </c>
      <c r="G88">
        <v>0</v>
      </c>
      <c r="H88">
        <v>0</v>
      </c>
      <c r="I88">
        <v>25338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170</v>
      </c>
      <c r="B89"/>
      <c r="C89" t="s">
        <v>67</v>
      </c>
      <c r="D89" t="s">
        <v>171</v>
      </c>
      <c r="E89"/>
      <c r="F89">
        <v>2823.4</v>
      </c>
      <c r="G89">
        <v>0</v>
      </c>
      <c r="H89">
        <v>2823.4</v>
      </c>
      <c r="I89">
        <v>25306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172</v>
      </c>
      <c r="B90"/>
      <c r="C90" t="s">
        <v>67</v>
      </c>
      <c r="D90" t="s">
        <v>173</v>
      </c>
      <c r="E90"/>
      <c r="F90">
        <v>0</v>
      </c>
      <c r="G90">
        <v>0</v>
      </c>
      <c r="H90">
        <v>0</v>
      </c>
      <c r="I90">
        <v>25705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174</v>
      </c>
      <c r="B91"/>
      <c r="C91" t="s">
        <v>67</v>
      </c>
      <c r="D91" t="s">
        <v>165</v>
      </c>
      <c r="E91"/>
      <c r="F91">
        <v>9999999.99</v>
      </c>
      <c r="G91">
        <v>0</v>
      </c>
      <c r="H91">
        <v>1102.68</v>
      </c>
      <c r="I91">
        <v>25231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175</v>
      </c>
      <c r="B92"/>
      <c r="C92" t="s">
        <v>14</v>
      </c>
      <c r="D92" t="s">
        <v>21</v>
      </c>
      <c r="E92" t="s">
        <v>176</v>
      </c>
      <c r="F92">
        <v>3377.59</v>
      </c>
      <c r="G92">
        <v>506.64</v>
      </c>
      <c r="H92">
        <v>3884.23</v>
      </c>
      <c r="I92">
        <v>0</v>
      </c>
      <c r="J92" t="s">
        <v>177</v>
      </c>
      <c r="K92">
        <v>196</v>
      </c>
      <c r="L92" t="str">
        <f>Hyperlink("http://www.seavest.co.za/inv/fpdf16/inv-preview.php?Id=43964","Click for Invoice PDF")</f>
        <v>Click for Invoice PDF</v>
      </c>
      <c r="M92"/>
    </row>
    <row r="93" spans="1:215">
      <c r="A93" t="s">
        <v>178</v>
      </c>
      <c r="B93"/>
      <c r="C93" t="s">
        <v>67</v>
      </c>
      <c r="D93" t="s">
        <v>72</v>
      </c>
      <c r="E93" t="s">
        <v>73</v>
      </c>
      <c r="F93">
        <v>5572.52</v>
      </c>
      <c r="G93">
        <v>780.15</v>
      </c>
      <c r="H93">
        <v>6352.67</v>
      </c>
      <c r="I93">
        <v>25387</v>
      </c>
      <c r="J93" t="s">
        <v>179</v>
      </c>
      <c r="K93">
        <v>1</v>
      </c>
      <c r="L93" t="str">
        <f>Hyperlink("http://www.seavest.co.za/inv/fpdf16/inv-preview.php?Id=44692","Click for Invoice PDF")</f>
        <v>Click for Invoice PDF</v>
      </c>
      <c r="M93"/>
    </row>
    <row r="94" spans="1:215">
      <c r="A94" t="s">
        <v>180</v>
      </c>
      <c r="B94"/>
      <c r="C94" t="s">
        <v>67</v>
      </c>
      <c r="D94" t="s">
        <v>72</v>
      </c>
      <c r="E94" t="s">
        <v>73</v>
      </c>
      <c r="F94">
        <v>8931.9</v>
      </c>
      <c r="G94">
        <v>1250.47</v>
      </c>
      <c r="H94">
        <v>10182.37</v>
      </c>
      <c r="I94">
        <v>25392</v>
      </c>
      <c r="J94" t="s">
        <v>179</v>
      </c>
      <c r="K94">
        <v>1</v>
      </c>
      <c r="L94" t="str">
        <f>Hyperlink("http://www.seavest.co.za/inv/fpdf16/inv-preview.php?Id=44699","Click for Invoice PDF")</f>
        <v>Click for Invoice PDF</v>
      </c>
      <c r="M94"/>
    </row>
    <row r="95" spans="1:215">
      <c r="A95" t="s">
        <v>181</v>
      </c>
      <c r="B95"/>
      <c r="C95" t="s">
        <v>67</v>
      </c>
      <c r="D95" t="s">
        <v>182</v>
      </c>
      <c r="E95" t="s">
        <v>183</v>
      </c>
      <c r="F95">
        <v>7427</v>
      </c>
      <c r="G95">
        <v>1114.05</v>
      </c>
      <c r="H95">
        <v>8541.049999999999</v>
      </c>
      <c r="I95">
        <v>24957</v>
      </c>
      <c r="J95" t="s">
        <v>184</v>
      </c>
      <c r="K95">
        <v>34</v>
      </c>
      <c r="L95" t="str">
        <f>Hyperlink("http://www.seavest.co.za/inv/fpdf16/inv-preview.php?Id=44305","Click for Invoice PDF")</f>
        <v>Click for Invoice PDF</v>
      </c>
      <c r="M95"/>
    </row>
    <row r="96" spans="1:215">
      <c r="A96" t="s">
        <v>185</v>
      </c>
      <c r="B96"/>
      <c r="C96" t="s">
        <v>14</v>
      </c>
      <c r="D96" t="s">
        <v>186</v>
      </c>
      <c r="E96" t="s">
        <v>176</v>
      </c>
      <c r="F96">
        <v>5120.1</v>
      </c>
      <c r="G96">
        <v>768.02</v>
      </c>
      <c r="H96">
        <v>5888.12</v>
      </c>
      <c r="I96">
        <v>23859</v>
      </c>
      <c r="J96" t="s">
        <v>187</v>
      </c>
      <c r="K96">
        <v>231</v>
      </c>
      <c r="L96" t="str">
        <f>Hyperlink("http://www.seavest.co.za/inv/fpdf16/inv-preview.php?Id=42777","Click for Invoice PDF")</f>
        <v>Click for Invoice PDF</v>
      </c>
      <c r="M96"/>
    </row>
    <row r="97" spans="1:215">
      <c r="A97" t="s">
        <v>188</v>
      </c>
      <c r="B97"/>
      <c r="C97" t="s">
        <v>14</v>
      </c>
      <c r="D97" t="s">
        <v>189</v>
      </c>
      <c r="E97" t="s">
        <v>176</v>
      </c>
      <c r="F97">
        <v>6466.62</v>
      </c>
      <c r="G97">
        <v>969.99</v>
      </c>
      <c r="H97">
        <v>7436.61</v>
      </c>
      <c r="I97">
        <v>24241</v>
      </c>
      <c r="J97" t="s">
        <v>187</v>
      </c>
      <c r="K97">
        <v>230</v>
      </c>
      <c r="L97" t="str">
        <f>Hyperlink("http://www.seavest.co.za/inv/fpdf16/inv-preview.php?Id=43702","Click for Invoice PDF")</f>
        <v>Click for Invoice PDF</v>
      </c>
      <c r="M97"/>
    </row>
    <row r="98" spans="1:215">
      <c r="A98" t="s">
        <v>190</v>
      </c>
      <c r="B98"/>
      <c r="C98" t="s">
        <v>14</v>
      </c>
      <c r="D98" t="s">
        <v>191</v>
      </c>
      <c r="E98" t="s">
        <v>176</v>
      </c>
      <c r="F98">
        <v>4626.2</v>
      </c>
      <c r="G98">
        <v>693.9299999999999</v>
      </c>
      <c r="H98">
        <v>5320.13</v>
      </c>
      <c r="I98">
        <v>24242</v>
      </c>
      <c r="J98" t="s">
        <v>187</v>
      </c>
      <c r="K98">
        <v>230</v>
      </c>
      <c r="L98" t="str">
        <f>Hyperlink("http://www.seavest.co.za/inv/fpdf16/inv-preview.php?Id=43718","Click for Invoice PDF")</f>
        <v>Click for Invoice PDF</v>
      </c>
      <c r="M98"/>
    </row>
    <row r="99" spans="1:215">
      <c r="A99" t="s">
        <v>192</v>
      </c>
      <c r="B99"/>
      <c r="C99" t="s">
        <v>67</v>
      </c>
      <c r="D99" t="s">
        <v>130</v>
      </c>
      <c r="E99" t="s">
        <v>73</v>
      </c>
      <c r="F99">
        <v>2972.5</v>
      </c>
      <c r="G99">
        <v>445.88</v>
      </c>
      <c r="H99">
        <v>3418.38</v>
      </c>
      <c r="I99">
        <v>20180</v>
      </c>
      <c r="J99" t="s">
        <v>193</v>
      </c>
      <c r="K99">
        <v>34</v>
      </c>
      <c r="L99" t="str">
        <f>Hyperlink("http://www.seavest.co.za/inv/fpdf16/inv-preview.php?Id=39936","Click for Invoice PDF")</f>
        <v>Click for Invoice PDF</v>
      </c>
      <c r="M99"/>
    </row>
    <row r="100" spans="1:215">
      <c r="A100" t="s">
        <v>194</v>
      </c>
      <c r="B100"/>
      <c r="C100" t="s">
        <v>67</v>
      </c>
      <c r="D100" t="s">
        <v>195</v>
      </c>
      <c r="E100" t="s">
        <v>196</v>
      </c>
      <c r="F100">
        <v>0</v>
      </c>
      <c r="G100">
        <v>0</v>
      </c>
      <c r="H100">
        <v>0</v>
      </c>
      <c r="I100">
        <v>22669</v>
      </c>
      <c r="J100" t="s">
        <v>197</v>
      </c>
      <c r="K100">
        <v>308</v>
      </c>
      <c r="L100" t="str">
        <f>Hyperlink("http://www.seavest.co.za/inv/fpdf16/inv-preview.php?Id=42214","Click for Invoice PDF")</f>
        <v>Click for Invoice PDF</v>
      </c>
      <c r="M100"/>
    </row>
    <row r="101" spans="1:215">
      <c r="A101" t="s">
        <v>198</v>
      </c>
      <c r="B101" t="s">
        <v>199</v>
      </c>
      <c r="C101" t="s">
        <v>67</v>
      </c>
      <c r="D101" t="s">
        <v>200</v>
      </c>
      <c r="E101" t="s">
        <v>73</v>
      </c>
      <c r="F101">
        <v>6904.85</v>
      </c>
      <c r="G101">
        <v>1035.73</v>
      </c>
      <c r="H101">
        <v>7940.58</v>
      </c>
      <c r="I101">
        <v>22781</v>
      </c>
      <c r="J101" t="s">
        <v>197</v>
      </c>
      <c r="K101">
        <v>362</v>
      </c>
      <c r="L101" t="str">
        <f>Hyperlink("http://www.seavest.co.za/inv/fpdf16/inv-preview.php?Id=42316","Click for Invoice PDF")</f>
        <v>Click for Invoice PDF</v>
      </c>
      <c r="M101"/>
    </row>
    <row r="102" spans="1:215">
      <c r="A102" t="s">
        <v>201</v>
      </c>
      <c r="B102"/>
      <c r="C102" t="s">
        <v>67</v>
      </c>
      <c r="D102" t="s">
        <v>202</v>
      </c>
      <c r="E102" t="s">
        <v>183</v>
      </c>
      <c r="F102">
        <v>5188.02</v>
      </c>
      <c r="G102">
        <v>778.2</v>
      </c>
      <c r="H102">
        <v>5966.22</v>
      </c>
      <c r="I102">
        <v>22428</v>
      </c>
      <c r="J102" t="s">
        <v>203</v>
      </c>
      <c r="K102">
        <v>404</v>
      </c>
      <c r="L102" t="str">
        <f>Hyperlink("http://www.seavest.co.za/inv/fpdf16/inv-preview.php?Id=41951","Click for Invoice PDF")</f>
        <v>Click for Invoice PDF</v>
      </c>
      <c r="M102"/>
    </row>
    <row r="103" spans="1:215">
      <c r="A103" t="s">
        <v>204</v>
      </c>
      <c r="B103"/>
      <c r="C103" t="s">
        <v>14</v>
      </c>
      <c r="D103" t="s">
        <v>205</v>
      </c>
      <c r="E103" t="s">
        <v>176</v>
      </c>
      <c r="F103">
        <v>15184.5</v>
      </c>
      <c r="G103">
        <v>2277.68</v>
      </c>
      <c r="H103">
        <v>17462.18</v>
      </c>
      <c r="I103">
        <v>25169</v>
      </c>
      <c r="J103" t="s">
        <v>206</v>
      </c>
      <c r="K103">
        <v>78</v>
      </c>
      <c r="L103" t="str">
        <f>Hyperlink("http://www.seavest.co.za/inv/fpdf16/inv-preview.php?Id=44501","Click for Invoice PDF")</f>
        <v>Click for Invoice PDF</v>
      </c>
      <c r="M103"/>
    </row>
    <row r="104" spans="1:215">
      <c r="A104" t="s">
        <v>207</v>
      </c>
      <c r="B104"/>
      <c r="C104" t="s">
        <v>67</v>
      </c>
      <c r="D104" t="s">
        <v>208</v>
      </c>
      <c r="E104" t="s">
        <v>209</v>
      </c>
      <c r="F104">
        <v>5396.3</v>
      </c>
      <c r="G104">
        <v>809.45</v>
      </c>
      <c r="H104">
        <v>6205.75</v>
      </c>
      <c r="I104">
        <v>0</v>
      </c>
      <c r="J104" t="s">
        <v>210</v>
      </c>
      <c r="K104">
        <v>231</v>
      </c>
      <c r="L104" t="str">
        <f>Hyperlink("http://www.seavest.co.za/inv/fpdf16/inv-preview.php?Id=43490","Click for Invoice PDF")</f>
        <v>Click for Invoice PDF</v>
      </c>
      <c r="M104"/>
    </row>
    <row r="105" spans="1:215">
      <c r="A105" t="s">
        <v>211</v>
      </c>
      <c r="B105"/>
      <c r="C105" t="s">
        <v>67</v>
      </c>
      <c r="D105" t="s">
        <v>212</v>
      </c>
      <c r="E105" t="s">
        <v>82</v>
      </c>
      <c r="F105">
        <v>11308.53</v>
      </c>
      <c r="G105">
        <v>1696.28</v>
      </c>
      <c r="H105">
        <v>13004.81</v>
      </c>
      <c r="I105">
        <v>24247</v>
      </c>
      <c r="J105" t="s">
        <v>210</v>
      </c>
      <c r="K105">
        <v>229</v>
      </c>
      <c r="L105" t="str">
        <f>Hyperlink("http://www.seavest.co.za/inv/fpdf16/inv-preview.php?Id=43637","Click for Invoice PDF")</f>
        <v>Click for Invoice PDF</v>
      </c>
      <c r="M105"/>
    </row>
    <row r="106" spans="1:215">
      <c r="A106" t="s">
        <v>213</v>
      </c>
      <c r="B106"/>
      <c r="C106" t="s">
        <v>67</v>
      </c>
      <c r="D106" t="s">
        <v>72</v>
      </c>
      <c r="E106" t="s">
        <v>73</v>
      </c>
      <c r="F106">
        <v>4725.9</v>
      </c>
      <c r="G106">
        <v>708.89</v>
      </c>
      <c r="H106">
        <v>5434.79</v>
      </c>
      <c r="I106">
        <v>24144</v>
      </c>
      <c r="J106" t="s">
        <v>210</v>
      </c>
      <c r="K106">
        <v>231</v>
      </c>
      <c r="L106" t="str">
        <f>Hyperlink("http://www.seavest.co.za/inv/fpdf16/inv-preview.php?Id=43652","Click for Invoice PDF")</f>
        <v>Click for Invoice PDF</v>
      </c>
      <c r="M106"/>
    </row>
    <row r="107" spans="1:215">
      <c r="A107" t="s">
        <v>214</v>
      </c>
      <c r="B107"/>
      <c r="C107" t="s">
        <v>14</v>
      </c>
      <c r="D107" t="s">
        <v>54</v>
      </c>
      <c r="E107" t="s">
        <v>176</v>
      </c>
      <c r="F107">
        <v>5547.84</v>
      </c>
      <c r="G107">
        <v>832.1799999999999</v>
      </c>
      <c r="H107">
        <v>6380.02</v>
      </c>
      <c r="I107">
        <v>22807</v>
      </c>
      <c r="J107" t="s">
        <v>215</v>
      </c>
      <c r="K107">
        <v>247</v>
      </c>
      <c r="L107" t="str">
        <f>Hyperlink("http://www.seavest.co.za/inv/fpdf16/inv-preview.php?Id=42361","Click for Invoice PDF")</f>
        <v>Click for Invoice PDF</v>
      </c>
      <c r="M107"/>
    </row>
    <row r="108" spans="1:215">
      <c r="A108" t="s">
        <v>216</v>
      </c>
      <c r="B108"/>
      <c r="C108" t="s">
        <v>67</v>
      </c>
      <c r="D108" t="s">
        <v>217</v>
      </c>
      <c r="E108" t="s">
        <v>218</v>
      </c>
      <c r="F108">
        <v>7043.78</v>
      </c>
      <c r="G108">
        <v>1056.57</v>
      </c>
      <c r="H108">
        <v>8100.35</v>
      </c>
      <c r="I108">
        <v>25668</v>
      </c>
      <c r="J108" t="s">
        <v>219</v>
      </c>
      <c r="K108">
        <v>20</v>
      </c>
      <c r="L108" t="str">
        <f>Hyperlink("http://www.seavest.co.za/inv/fpdf16/inv-preview.php?Id=44922","Click for Invoice PDF")</f>
        <v>Click for Invoice PDF</v>
      </c>
      <c r="M108"/>
    </row>
    <row r="109" spans="1:215">
      <c r="A109" t="s">
        <v>220</v>
      </c>
      <c r="B109"/>
      <c r="C109" t="s">
        <v>67</v>
      </c>
      <c r="D109" t="s">
        <v>221</v>
      </c>
      <c r="E109" t="s">
        <v>73</v>
      </c>
      <c r="F109">
        <v>9452</v>
      </c>
      <c r="G109">
        <v>1417.8</v>
      </c>
      <c r="H109">
        <v>10869.8</v>
      </c>
      <c r="I109">
        <v>25617</v>
      </c>
      <c r="J109" t="s">
        <v>219</v>
      </c>
      <c r="K109">
        <v>20</v>
      </c>
      <c r="L109" t="str">
        <f>Hyperlink("http://www.seavest.co.za/inv/fpdf16/inv-preview.php?Id=44917","Click for Invoice PDF")</f>
        <v>Click for Invoice PDF</v>
      </c>
      <c r="M109"/>
    </row>
    <row r="110" spans="1:215">
      <c r="A110" t="s">
        <v>222</v>
      </c>
      <c r="B110"/>
      <c r="C110" t="s">
        <v>14</v>
      </c>
      <c r="D110" t="s">
        <v>223</v>
      </c>
      <c r="E110" t="s">
        <v>176</v>
      </c>
      <c r="F110">
        <v>12776.72</v>
      </c>
      <c r="G110">
        <v>1916.51</v>
      </c>
      <c r="H110">
        <v>14693.23</v>
      </c>
      <c r="I110">
        <v>25578</v>
      </c>
      <c r="J110" t="s">
        <v>219</v>
      </c>
      <c r="K110">
        <v>28</v>
      </c>
      <c r="L110" t="str">
        <f>Hyperlink("http://www.seavest.co.za/inv/fpdf16/inv-preview.php?Id=44845","Click for Invoice PDF")</f>
        <v>Click for Invoice PDF</v>
      </c>
      <c r="M110"/>
    </row>
    <row r="111" spans="1:215">
      <c r="A111" t="s">
        <v>224</v>
      </c>
      <c r="B111"/>
      <c r="C111" t="s">
        <v>67</v>
      </c>
      <c r="D111" t="s">
        <v>225</v>
      </c>
      <c r="E111" t="s">
        <v>196</v>
      </c>
      <c r="F111">
        <v>741</v>
      </c>
      <c r="G111">
        <v>111.15</v>
      </c>
      <c r="H111">
        <v>852.15</v>
      </c>
      <c r="I111">
        <v>21406</v>
      </c>
      <c r="J111" t="s">
        <v>226</v>
      </c>
      <c r="K111">
        <v>551</v>
      </c>
      <c r="L111" t="str">
        <f>Hyperlink("http://www.seavest.co.za/inv/fpdf16/inv-preview.php?Id=41007","Click for Invoice PDF")</f>
        <v>Click for Invoice PDF</v>
      </c>
      <c r="M111"/>
    </row>
    <row r="112" spans="1:215">
      <c r="A112" t="s">
        <v>227</v>
      </c>
      <c r="B112"/>
      <c r="C112" t="s">
        <v>14</v>
      </c>
      <c r="D112" t="s">
        <v>228</v>
      </c>
      <c r="E112" t="s">
        <v>176</v>
      </c>
      <c r="F112">
        <v>9010.32</v>
      </c>
      <c r="G112">
        <v>1351.55</v>
      </c>
      <c r="H112">
        <v>10361.87</v>
      </c>
      <c r="I112">
        <v>25409</v>
      </c>
      <c r="J112" t="s">
        <v>229</v>
      </c>
      <c r="K112">
        <v>70</v>
      </c>
      <c r="L112" t="str">
        <f>Hyperlink("http://www.seavest.co.za/inv/fpdf16/inv-preview.php?Id=44665","Click for Invoice PDF")</f>
        <v>Click for Invoice PDF</v>
      </c>
      <c r="M112"/>
    </row>
    <row r="113" spans="1:215">
      <c r="A113" t="s">
        <v>230</v>
      </c>
      <c r="B113"/>
      <c r="C113" t="s">
        <v>14</v>
      </c>
      <c r="D113" t="s">
        <v>231</v>
      </c>
      <c r="E113" t="s">
        <v>176</v>
      </c>
      <c r="F113">
        <v>5962.75</v>
      </c>
      <c r="G113">
        <v>894.41</v>
      </c>
      <c r="H113">
        <v>6857.16</v>
      </c>
      <c r="I113">
        <v>24045</v>
      </c>
      <c r="J113" t="s">
        <v>232</v>
      </c>
      <c r="K113">
        <v>258</v>
      </c>
      <c r="L113" t="str">
        <f>Hyperlink("http://www.seavest.co.za/inv/fpdf16/inv-preview.php?Id=43575","Click for Invoice PDF")</f>
        <v>Click for Invoice PDF</v>
      </c>
      <c r="M113"/>
    </row>
    <row r="114" spans="1:215">
      <c r="A114" t="s">
        <v>233</v>
      </c>
      <c r="B114"/>
      <c r="C114" t="s">
        <v>14</v>
      </c>
      <c r="D114" t="s">
        <v>234</v>
      </c>
      <c r="E114" t="s">
        <v>176</v>
      </c>
      <c r="F114">
        <v>10213.76</v>
      </c>
      <c r="G114">
        <v>1532.06</v>
      </c>
      <c r="H114">
        <v>11745.82</v>
      </c>
      <c r="I114">
        <v>25015</v>
      </c>
      <c r="J114" t="s">
        <v>235</v>
      </c>
      <c r="K114">
        <v>132</v>
      </c>
      <c r="L114" t="str">
        <f>Hyperlink("http://www.seavest.co.za/inv/fpdf16/inv-preview.php?Id=44212","Click for Invoice PDF")</f>
        <v>Click for Invoice PDF</v>
      </c>
      <c r="M114"/>
    </row>
    <row r="115" spans="1:215">
      <c r="A115" t="s">
        <v>236</v>
      </c>
      <c r="B115"/>
      <c r="C115" t="s">
        <v>67</v>
      </c>
      <c r="D115" t="s">
        <v>237</v>
      </c>
      <c r="E115" t="s">
        <v>238</v>
      </c>
      <c r="F115">
        <v>1914.84</v>
      </c>
      <c r="G115">
        <v>287.23</v>
      </c>
      <c r="H115">
        <v>2202.07</v>
      </c>
      <c r="I115">
        <v>25018</v>
      </c>
      <c r="J115" t="s">
        <v>235</v>
      </c>
      <c r="K115">
        <v>135</v>
      </c>
      <c r="L115" t="str">
        <f>Hyperlink("http://www.seavest.co.za/inv/fpdf16/inv-preview.php?Id=44372","Click for Invoice PDF")</f>
        <v>Click for Invoice PDF</v>
      </c>
      <c r="M115"/>
    </row>
    <row r="116" spans="1:215">
      <c r="A116" t="s">
        <v>239</v>
      </c>
      <c r="B116"/>
      <c r="C116" t="s">
        <v>14</v>
      </c>
      <c r="D116" t="s">
        <v>240</v>
      </c>
      <c r="E116" t="s">
        <v>110</v>
      </c>
      <c r="F116">
        <v>4065.6</v>
      </c>
      <c r="G116">
        <v>609.84</v>
      </c>
      <c r="H116">
        <v>4675.44</v>
      </c>
      <c r="I116">
        <v>21266</v>
      </c>
      <c r="J116" t="s">
        <v>241</v>
      </c>
      <c r="K116">
        <v>588</v>
      </c>
      <c r="L116" t="str">
        <f>Hyperlink("http://www.seavest.co.za/inv/fpdf16/inv-preview.php?Id=40932","Click for Invoice PDF")</f>
        <v>Click for Invoice PDF</v>
      </c>
      <c r="M116"/>
    </row>
    <row r="117" spans="1:215">
      <c r="A117" t="s">
        <v>242</v>
      </c>
      <c r="B117" t="s">
        <v>243</v>
      </c>
      <c r="C117" t="s">
        <v>67</v>
      </c>
      <c r="D117" t="s">
        <v>244</v>
      </c>
      <c r="E117" t="s">
        <v>238</v>
      </c>
      <c r="F117">
        <v>3789.9</v>
      </c>
      <c r="G117">
        <v>568.49</v>
      </c>
      <c r="H117">
        <v>4358.39</v>
      </c>
      <c r="I117">
        <v>21271</v>
      </c>
      <c r="J117" t="s">
        <v>241</v>
      </c>
      <c r="K117">
        <v>532</v>
      </c>
      <c r="L117" t="str">
        <f>Hyperlink("http://www.seavest.co.za/inv/fpdf16/inv-preview.php?Id=40928","Click for Invoice PDF")</f>
        <v>Click for Invoice PDF</v>
      </c>
      <c r="M117"/>
    </row>
    <row r="118" spans="1:215">
      <c r="A118" t="s">
        <v>245</v>
      </c>
      <c r="B118"/>
      <c r="C118" t="s">
        <v>67</v>
      </c>
      <c r="D118" t="s">
        <v>79</v>
      </c>
      <c r="E118" t="s">
        <v>196</v>
      </c>
      <c r="F118">
        <v>21600</v>
      </c>
      <c r="G118">
        <v>3240</v>
      </c>
      <c r="H118">
        <v>24840</v>
      </c>
      <c r="I118">
        <v>24237</v>
      </c>
      <c r="J118" t="s">
        <v>246</v>
      </c>
      <c r="K118">
        <v>230</v>
      </c>
      <c r="L118" t="str">
        <f>Hyperlink("http://www.seavest.co.za/inv/fpdf16/inv-preview.php?Id=43709","Click for Invoice PDF")</f>
        <v>Click for Invoice PDF</v>
      </c>
      <c r="M118"/>
    </row>
    <row r="119" spans="1:215">
      <c r="A119" t="s">
        <v>247</v>
      </c>
      <c r="B119"/>
      <c r="C119" t="s">
        <v>14</v>
      </c>
      <c r="D119" t="s">
        <v>248</v>
      </c>
      <c r="E119" t="s">
        <v>176</v>
      </c>
      <c r="F119">
        <v>11887.08</v>
      </c>
      <c r="G119">
        <v>1783.06</v>
      </c>
      <c r="H119">
        <v>13670.14</v>
      </c>
      <c r="I119">
        <v>24766</v>
      </c>
      <c r="J119" t="s">
        <v>249</v>
      </c>
      <c r="K119">
        <v>166</v>
      </c>
      <c r="L119" t="str">
        <f>Hyperlink("http://www.seavest.co.za/inv/fpdf16/inv-preview.php?Id=44075","Click for Invoice PDF")</f>
        <v>Click for Invoice PDF</v>
      </c>
      <c r="M119"/>
    </row>
    <row r="120" spans="1:215">
      <c r="A120" t="s">
        <v>250</v>
      </c>
      <c r="B120"/>
      <c r="C120" t="s">
        <v>14</v>
      </c>
      <c r="D120" t="s">
        <v>251</v>
      </c>
      <c r="E120" t="s">
        <v>176</v>
      </c>
      <c r="F120">
        <v>1955.36</v>
      </c>
      <c r="G120">
        <v>293.3</v>
      </c>
      <c r="H120">
        <v>2248.66</v>
      </c>
      <c r="I120">
        <v>24755</v>
      </c>
      <c r="J120" t="s">
        <v>249</v>
      </c>
      <c r="K120">
        <v>166</v>
      </c>
      <c r="L120" t="str">
        <f>Hyperlink("http://www.seavest.co.za/inv/fpdf16/inv-preview.php?Id=44097","Click for Invoice PDF")</f>
        <v>Click for Invoice PDF</v>
      </c>
      <c r="M120"/>
    </row>
    <row r="121" spans="1:215">
      <c r="A121" t="s">
        <v>252</v>
      </c>
      <c r="B121"/>
      <c r="C121" t="s">
        <v>67</v>
      </c>
      <c r="D121" t="s">
        <v>75</v>
      </c>
      <c r="E121" t="s">
        <v>209</v>
      </c>
      <c r="F121">
        <v>2250</v>
      </c>
      <c r="G121">
        <v>337.5</v>
      </c>
      <c r="H121">
        <v>2587.5</v>
      </c>
      <c r="I121">
        <v>24748</v>
      </c>
      <c r="J121" t="s">
        <v>249</v>
      </c>
      <c r="K121">
        <v>146</v>
      </c>
      <c r="L121" t="str">
        <f>Hyperlink("http://www.seavest.co.za/inv/fpdf16/inv-preview.php?Id=44119","Click for Invoice PDF")</f>
        <v>Click for Invoice PDF</v>
      </c>
      <c r="M121"/>
    </row>
    <row r="122" spans="1:215">
      <c r="A122" t="s">
        <v>253</v>
      </c>
      <c r="B122"/>
      <c r="C122" t="s">
        <v>67</v>
      </c>
      <c r="D122" t="s">
        <v>254</v>
      </c>
      <c r="E122" t="s">
        <v>73</v>
      </c>
      <c r="F122">
        <v>14767.22</v>
      </c>
      <c r="G122">
        <v>2215.08</v>
      </c>
      <c r="H122">
        <v>16982.3</v>
      </c>
      <c r="I122">
        <v>22798</v>
      </c>
      <c r="J122" t="s">
        <v>255</v>
      </c>
      <c r="K122">
        <v>218</v>
      </c>
      <c r="L122" t="str">
        <f>Hyperlink("http://www.seavest.co.za/inv/fpdf16/inv-preview.php?Id=42340","Click for Invoice PDF")</f>
        <v>Click for Invoice PDF</v>
      </c>
      <c r="M122"/>
    </row>
    <row r="123" spans="1:215">
      <c r="A123" t="s">
        <v>256</v>
      </c>
      <c r="B123"/>
      <c r="C123" t="s">
        <v>67</v>
      </c>
      <c r="D123" t="s">
        <v>217</v>
      </c>
      <c r="E123" t="s">
        <v>183</v>
      </c>
      <c r="F123">
        <v>0</v>
      </c>
      <c r="G123">
        <v>0</v>
      </c>
      <c r="H123">
        <v>0</v>
      </c>
      <c r="I123">
        <v>22802</v>
      </c>
      <c r="J123" t="s">
        <v>255</v>
      </c>
      <c r="K123">
        <v>308</v>
      </c>
      <c r="L123" t="str">
        <f>Hyperlink("http://www.seavest.co.za/inv/fpdf16/inv-preview.php?Id=42353","Click for Invoice PDF")</f>
        <v>Click for Invoice PDF</v>
      </c>
      <c r="M123"/>
    </row>
    <row r="124" spans="1:215">
      <c r="A124" t="s">
        <v>257</v>
      </c>
      <c r="B124"/>
      <c r="C124" t="s">
        <v>67</v>
      </c>
      <c r="D124" t="s">
        <v>258</v>
      </c>
      <c r="E124" t="s">
        <v>259</v>
      </c>
      <c r="F124">
        <v>2654.4</v>
      </c>
      <c r="G124">
        <v>398.16</v>
      </c>
      <c r="H124">
        <v>3052.56</v>
      </c>
      <c r="I124">
        <v>19790</v>
      </c>
      <c r="J124" t="s">
        <v>260</v>
      </c>
      <c r="K124">
        <v>62</v>
      </c>
      <c r="L124" t="str">
        <f>Hyperlink("http://www.seavest.co.za/inv/fpdf16/inv-preview.php?Id=39476","Click for Invoice PDF")</f>
        <v>Click for Invoice PDF</v>
      </c>
      <c r="M124"/>
    </row>
    <row r="125" spans="1:215">
      <c r="A125" t="s">
        <v>261</v>
      </c>
      <c r="B125"/>
      <c r="C125" t="s">
        <v>67</v>
      </c>
      <c r="D125" t="s">
        <v>262</v>
      </c>
      <c r="E125" t="s">
        <v>259</v>
      </c>
      <c r="F125">
        <v>14495.5</v>
      </c>
      <c r="G125">
        <v>2174.33</v>
      </c>
      <c r="H125">
        <v>16669.83</v>
      </c>
      <c r="I125">
        <v>22444</v>
      </c>
      <c r="J125" t="s">
        <v>263</v>
      </c>
      <c r="K125">
        <v>431</v>
      </c>
      <c r="L125" t="str">
        <f>Hyperlink("http://www.seavest.co.za/inv/fpdf16/inv-preview.php?Id=41992","Click for Invoice PDF")</f>
        <v>Click for Invoice PDF</v>
      </c>
      <c r="M125"/>
    </row>
    <row r="126" spans="1:215">
      <c r="A126" t="s">
        <v>264</v>
      </c>
      <c r="B126"/>
      <c r="C126" t="s">
        <v>14</v>
      </c>
      <c r="D126" t="s">
        <v>265</v>
      </c>
      <c r="E126" t="s">
        <v>176</v>
      </c>
      <c r="F126">
        <v>10740.92</v>
      </c>
      <c r="G126">
        <v>1611.14</v>
      </c>
      <c r="H126">
        <v>12352.06</v>
      </c>
      <c r="I126">
        <v>25406</v>
      </c>
      <c r="J126" t="s">
        <v>266</v>
      </c>
      <c r="K126">
        <v>76</v>
      </c>
      <c r="L126" t="str">
        <f>Hyperlink("http://www.seavest.co.za/inv/fpdf16/inv-preview.php?Id=44589","Click for Invoice PDF")</f>
        <v>Click for Invoice PDF</v>
      </c>
      <c r="M126"/>
    </row>
    <row r="127" spans="1:215">
      <c r="A127" t="s">
        <v>267</v>
      </c>
      <c r="B127"/>
      <c r="C127" t="s">
        <v>14</v>
      </c>
      <c r="D127" t="s">
        <v>33</v>
      </c>
      <c r="E127" t="s">
        <v>176</v>
      </c>
      <c r="F127">
        <v>5309.86</v>
      </c>
      <c r="G127">
        <v>796.48</v>
      </c>
      <c r="H127">
        <v>6106.34</v>
      </c>
      <c r="I127">
        <v>25407</v>
      </c>
      <c r="J127" t="s">
        <v>266</v>
      </c>
      <c r="K127">
        <v>76</v>
      </c>
      <c r="L127" t="str">
        <f>Hyperlink("http://www.seavest.co.za/inv/fpdf16/inv-preview.php?Id=44669","Click for Invoice PDF")</f>
        <v>Click for Invoice PDF</v>
      </c>
      <c r="M127"/>
    </row>
    <row r="128" spans="1:215">
      <c r="A128" t="s">
        <v>268</v>
      </c>
      <c r="B128"/>
      <c r="C128" t="s">
        <v>67</v>
      </c>
      <c r="D128" t="s">
        <v>130</v>
      </c>
      <c r="E128" t="s">
        <v>73</v>
      </c>
      <c r="F128">
        <v>49936</v>
      </c>
      <c r="G128">
        <v>7490.4</v>
      </c>
      <c r="H128">
        <v>57426.4</v>
      </c>
      <c r="I128">
        <v>20633</v>
      </c>
      <c r="J128" t="s">
        <v>269</v>
      </c>
      <c r="K128">
        <v>498</v>
      </c>
      <c r="L128" t="str">
        <f>Hyperlink("http://www.seavest.co.za/inv/fpdf16/inv-preview.php?Id=40320","Click for Invoice PDF")</f>
        <v>Click for Invoice PDF</v>
      </c>
      <c r="M128"/>
    </row>
    <row r="129" spans="1:215">
      <c r="A129" t="s">
        <v>270</v>
      </c>
      <c r="B129"/>
      <c r="C129" t="s">
        <v>67</v>
      </c>
      <c r="D129" t="s">
        <v>138</v>
      </c>
      <c r="E129" t="s">
        <v>183</v>
      </c>
      <c r="F129">
        <v>5686.7</v>
      </c>
      <c r="G129">
        <v>853.01</v>
      </c>
      <c r="H129">
        <v>6539.71</v>
      </c>
      <c r="I129">
        <v>23635</v>
      </c>
      <c r="J129" t="s">
        <v>271</v>
      </c>
      <c r="K129">
        <v>218</v>
      </c>
      <c r="L129" t="str">
        <f>Hyperlink("http://www.seavest.co.za/inv/fpdf16/inv-preview.php?Id=43220","Click for Invoice PDF")</f>
        <v>Click for Invoice PDF</v>
      </c>
      <c r="M129"/>
    </row>
    <row r="130" spans="1:215">
      <c r="A130" t="s">
        <v>272</v>
      </c>
      <c r="B130"/>
      <c r="C130" t="s">
        <v>67</v>
      </c>
      <c r="D130" t="s">
        <v>138</v>
      </c>
      <c r="E130" t="s">
        <v>82</v>
      </c>
      <c r="F130">
        <v>0</v>
      </c>
      <c r="G130">
        <v>0</v>
      </c>
      <c r="H130">
        <v>0</v>
      </c>
      <c r="I130">
        <v>23655</v>
      </c>
      <c r="J130" t="s">
        <v>271</v>
      </c>
      <c r="K130">
        <v>257</v>
      </c>
      <c r="L130" t="str">
        <f>Hyperlink("http://www.seavest.co.za/inv/fpdf16/inv-preview.php?Id=43277","Click for Invoice PDF")</f>
        <v>Click for Invoice PDF</v>
      </c>
      <c r="M130"/>
    </row>
    <row r="131" spans="1:215">
      <c r="A131" t="s">
        <v>273</v>
      </c>
      <c r="B131"/>
      <c r="C131" t="s">
        <v>14</v>
      </c>
      <c r="D131" t="s">
        <v>274</v>
      </c>
      <c r="E131" t="s">
        <v>176</v>
      </c>
      <c r="F131">
        <v>0</v>
      </c>
      <c r="G131">
        <v>0</v>
      </c>
      <c r="H131">
        <v>0</v>
      </c>
      <c r="I131">
        <v>25196</v>
      </c>
      <c r="J131" t="s">
        <v>275</v>
      </c>
      <c r="K131">
        <v>90</v>
      </c>
      <c r="L131" t="str">
        <f>Hyperlink("http://www.seavest.co.za/inv/fpdf16/inv-preview.php?Id=44529","Click for Invoice PDF")</f>
        <v>Click for Invoice PDF</v>
      </c>
      <c r="M131"/>
    </row>
    <row r="132" spans="1:215">
      <c r="A132" t="s">
        <v>276</v>
      </c>
      <c r="B132"/>
      <c r="C132" t="s">
        <v>67</v>
      </c>
      <c r="D132" t="s">
        <v>277</v>
      </c>
      <c r="E132" t="s">
        <v>110</v>
      </c>
      <c r="F132">
        <v>18491.14</v>
      </c>
      <c r="G132">
        <v>2773.67</v>
      </c>
      <c r="H132">
        <v>21264.81</v>
      </c>
      <c r="I132">
        <v>25190</v>
      </c>
      <c r="J132" t="s">
        <v>275</v>
      </c>
      <c r="K132">
        <v>105</v>
      </c>
      <c r="L132" t="str">
        <f>Hyperlink("http://www.seavest.co.za/inv/fpdf16/inv-preview.php?Id=44424","Click for Invoice PDF")</f>
        <v>Click for Invoice PDF</v>
      </c>
      <c r="M132"/>
    </row>
    <row r="133" spans="1:215">
      <c r="A133" t="s">
        <v>278</v>
      </c>
      <c r="B133"/>
      <c r="C133" t="s">
        <v>67</v>
      </c>
      <c r="D133" t="s">
        <v>151</v>
      </c>
      <c r="E133" t="s">
        <v>82</v>
      </c>
      <c r="F133">
        <v>1771.24</v>
      </c>
      <c r="G133">
        <v>265.69</v>
      </c>
      <c r="H133">
        <v>2036.93</v>
      </c>
      <c r="I133">
        <v>25200</v>
      </c>
      <c r="J133" t="s">
        <v>275</v>
      </c>
      <c r="K133">
        <v>76</v>
      </c>
      <c r="L133" t="str">
        <f>Hyperlink("http://www.seavest.co.za/inv/fpdf16/inv-preview.php?Id=44535","Click for Invoice PDF")</f>
        <v>Click for Invoice PDF</v>
      </c>
      <c r="M133"/>
    </row>
    <row r="134" spans="1:215">
      <c r="A134" t="s">
        <v>279</v>
      </c>
      <c r="B134"/>
      <c r="C134" t="s">
        <v>14</v>
      </c>
      <c r="D134" t="s">
        <v>58</v>
      </c>
      <c r="E134" t="s">
        <v>176</v>
      </c>
      <c r="F134">
        <v>11940.12</v>
      </c>
      <c r="G134">
        <v>1791.02</v>
      </c>
      <c r="H134">
        <v>13731.14</v>
      </c>
      <c r="I134">
        <v>25393</v>
      </c>
      <c r="J134" t="s">
        <v>280</v>
      </c>
      <c r="K134">
        <v>132</v>
      </c>
      <c r="L134" t="str">
        <f>Hyperlink("http://www.seavest.co.za/inv/fpdf16/inv-preview.php?Id=44362","Click for Invoice PDF")</f>
        <v>Click for Invoice PDF</v>
      </c>
      <c r="M134"/>
    </row>
    <row r="135" spans="1:215">
      <c r="A135" t="s">
        <v>281</v>
      </c>
      <c r="B135"/>
      <c r="C135" t="s">
        <v>67</v>
      </c>
      <c r="D135" t="s">
        <v>77</v>
      </c>
      <c r="E135" t="s">
        <v>183</v>
      </c>
      <c r="F135">
        <v>4094</v>
      </c>
      <c r="G135">
        <v>614.1</v>
      </c>
      <c r="H135">
        <v>4708.1</v>
      </c>
      <c r="I135">
        <v>21049</v>
      </c>
      <c r="J135" t="s">
        <v>282</v>
      </c>
      <c r="K135">
        <v>539</v>
      </c>
      <c r="L135" t="str">
        <f>Hyperlink("http://www.seavest.co.za/inv/fpdf16/inv-preview.php?Id=40677","Click for Invoice PDF")</f>
        <v>Click for Invoice PDF</v>
      </c>
      <c r="M135"/>
    </row>
    <row r="136" spans="1:215">
      <c r="A136" t="s">
        <v>283</v>
      </c>
      <c r="B136"/>
      <c r="C136" t="s">
        <v>67</v>
      </c>
      <c r="D136" t="s">
        <v>284</v>
      </c>
      <c r="E136" t="s">
        <v>259</v>
      </c>
      <c r="F136">
        <v>8643.799999999999</v>
      </c>
      <c r="G136">
        <v>1296.57</v>
      </c>
      <c r="H136">
        <v>9940.370000000001</v>
      </c>
      <c r="I136">
        <v>21113</v>
      </c>
      <c r="J136" t="s">
        <v>282</v>
      </c>
      <c r="K136">
        <v>533</v>
      </c>
      <c r="L136" t="str">
        <f>Hyperlink("http://www.seavest.co.za/inv/fpdf16/inv-preview.php?Id=40684","Click for Invoice PDF")</f>
        <v>Click for Invoice PDF</v>
      </c>
      <c r="M136"/>
    </row>
    <row r="137" spans="1:215">
      <c r="A137" t="s">
        <v>285</v>
      </c>
      <c r="B137"/>
      <c r="C137" t="s">
        <v>14</v>
      </c>
      <c r="D137" t="s">
        <v>286</v>
      </c>
      <c r="E137" t="s">
        <v>176</v>
      </c>
      <c r="F137">
        <v>16499.64</v>
      </c>
      <c r="G137">
        <v>2474.95</v>
      </c>
      <c r="H137">
        <v>18974.59</v>
      </c>
      <c r="I137">
        <v>24269</v>
      </c>
      <c r="J137" t="s">
        <v>287</v>
      </c>
      <c r="K137">
        <v>229</v>
      </c>
      <c r="L137" t="str">
        <f>Hyperlink("http://www.seavest.co.za/inv/fpdf16/inv-preview.php?Id=43737","Click for Invoice PDF")</f>
        <v>Click for Invoice PDF</v>
      </c>
      <c r="M137"/>
    </row>
    <row r="138" spans="1:215">
      <c r="A138" t="s">
        <v>288</v>
      </c>
      <c r="B138"/>
      <c r="C138" t="s">
        <v>67</v>
      </c>
      <c r="D138" t="s">
        <v>289</v>
      </c>
      <c r="E138" t="s">
        <v>259</v>
      </c>
      <c r="F138">
        <v>2164.6</v>
      </c>
      <c r="G138">
        <v>324.69</v>
      </c>
      <c r="H138">
        <v>2489.29</v>
      </c>
      <c r="I138">
        <v>24083</v>
      </c>
      <c r="J138" t="s">
        <v>287</v>
      </c>
      <c r="K138">
        <v>229</v>
      </c>
      <c r="L138" t="str">
        <f>Hyperlink("http://www.seavest.co.za/inv/fpdf16/inv-preview.php?Id=42338","Click for Invoice PDF")</f>
        <v>Click for Invoice PDF</v>
      </c>
      <c r="M138"/>
    </row>
    <row r="139" spans="1:215">
      <c r="A139" t="s">
        <v>290</v>
      </c>
      <c r="B139"/>
      <c r="C139" t="s">
        <v>67</v>
      </c>
      <c r="D139" t="s">
        <v>116</v>
      </c>
      <c r="E139" t="s">
        <v>259</v>
      </c>
      <c r="F139">
        <v>9082.959999999999</v>
      </c>
      <c r="G139">
        <v>1362.44</v>
      </c>
      <c r="H139">
        <v>10445.4</v>
      </c>
      <c r="I139">
        <v>24259</v>
      </c>
      <c r="J139" t="s">
        <v>287</v>
      </c>
      <c r="K139">
        <v>226</v>
      </c>
      <c r="L139" t="str">
        <f>Hyperlink("http://www.seavest.co.za/inv/fpdf16/inv-preview.php?Id=43748","Click for Invoice PDF")</f>
        <v>Click for Invoice PDF</v>
      </c>
      <c r="M139"/>
    </row>
    <row r="140" spans="1:215">
      <c r="A140" t="s">
        <v>291</v>
      </c>
      <c r="B140"/>
      <c r="C140" t="s">
        <v>67</v>
      </c>
      <c r="D140" t="s">
        <v>292</v>
      </c>
      <c r="E140" t="s">
        <v>259</v>
      </c>
      <c r="F140">
        <v>8300.440000000001</v>
      </c>
      <c r="G140">
        <v>1245.07</v>
      </c>
      <c r="H140">
        <v>9545.51</v>
      </c>
      <c r="I140">
        <v>24279</v>
      </c>
      <c r="J140" t="s">
        <v>287</v>
      </c>
      <c r="K140">
        <v>226</v>
      </c>
      <c r="L140" t="str">
        <f>Hyperlink("http://www.seavest.co.za/inv/fpdf16/inv-preview.php?Id=43755","Click for Invoice PDF")</f>
        <v>Click for Invoice PDF</v>
      </c>
      <c r="M140"/>
    </row>
    <row r="141" spans="1:215">
      <c r="A141" t="s">
        <v>293</v>
      </c>
      <c r="B141"/>
      <c r="C141" t="s">
        <v>67</v>
      </c>
      <c r="D141"/>
      <c r="E141" t="s">
        <v>294</v>
      </c>
      <c r="F141">
        <v>34303</v>
      </c>
      <c r="G141">
        <v>5145.45</v>
      </c>
      <c r="H141">
        <v>39448.45</v>
      </c>
      <c r="I141">
        <v>24289</v>
      </c>
      <c r="J141" t="s">
        <v>287</v>
      </c>
      <c r="K141">
        <v>218</v>
      </c>
      <c r="L141" t="str">
        <f>Hyperlink("http://www.seavest.co.za/inv/fpdf16/inv-preview.php?Id=43785","Click for Invoice PDF")</f>
        <v>Click for Invoice PDF</v>
      </c>
      <c r="M141"/>
    </row>
    <row r="142" spans="1:215">
      <c r="A142" t="s">
        <v>295</v>
      </c>
      <c r="B142"/>
      <c r="C142" t="s">
        <v>62</v>
      </c>
      <c r="D142" t="s">
        <v>296</v>
      </c>
      <c r="E142" t="s">
        <v>176</v>
      </c>
      <c r="F142">
        <v>10098.2</v>
      </c>
      <c r="G142">
        <v>1514.73</v>
      </c>
      <c r="H142">
        <v>11612.93</v>
      </c>
      <c r="I142">
        <v>21452</v>
      </c>
      <c r="J142" t="s">
        <v>297</v>
      </c>
      <c r="K142">
        <v>309</v>
      </c>
      <c r="L142" t="str">
        <f>Hyperlink("http://www.seavest.co.za/inv/fpdf16/inv-preview.php?Id=40957","Click for Invoice PDF")</f>
        <v>Click for Invoice PDF</v>
      </c>
      <c r="M142"/>
    </row>
    <row r="143" spans="1:215">
      <c r="A143" t="s">
        <v>298</v>
      </c>
      <c r="B143"/>
      <c r="C143" t="s">
        <v>67</v>
      </c>
      <c r="D143" t="s">
        <v>299</v>
      </c>
      <c r="E143" t="s">
        <v>73</v>
      </c>
      <c r="F143">
        <v>12390.8</v>
      </c>
      <c r="G143">
        <v>1858.62</v>
      </c>
      <c r="H143">
        <v>14249.42</v>
      </c>
      <c r="I143">
        <v>21587</v>
      </c>
      <c r="J143" t="s">
        <v>297</v>
      </c>
      <c r="K143">
        <v>519</v>
      </c>
      <c r="L143" t="str">
        <f>Hyperlink("http://www.seavest.co.za/inv/fpdf16/inv-preview.php?Id=41213","Click for Invoice PDF")</f>
        <v>Click for Invoice PDF</v>
      </c>
      <c r="M143"/>
    </row>
    <row r="144" spans="1:215">
      <c r="A144" t="s">
        <v>300</v>
      </c>
      <c r="B144"/>
      <c r="C144" t="s">
        <v>67</v>
      </c>
      <c r="D144" t="s">
        <v>301</v>
      </c>
      <c r="E144" t="s">
        <v>73</v>
      </c>
      <c r="F144">
        <v>1442.4</v>
      </c>
      <c r="G144">
        <v>216.36</v>
      </c>
      <c r="H144">
        <v>1658.76</v>
      </c>
      <c r="I144">
        <v>21622</v>
      </c>
      <c r="J144" t="s">
        <v>297</v>
      </c>
      <c r="K144">
        <v>513</v>
      </c>
      <c r="L144" t="str">
        <f>Hyperlink("http://www.seavest.co.za/inv/fpdf16/inv-preview.php?Id=41236","Click for Invoice PDF")</f>
        <v>Click for Invoice PDF</v>
      </c>
      <c r="M144"/>
    </row>
    <row r="145" spans="1:215">
      <c r="A145" t="s">
        <v>302</v>
      </c>
      <c r="B145"/>
      <c r="C145" t="s">
        <v>14</v>
      </c>
      <c r="D145" t="s">
        <v>30</v>
      </c>
      <c r="E145" t="s">
        <v>176</v>
      </c>
      <c r="F145">
        <v>13539.36</v>
      </c>
      <c r="G145">
        <v>2030.9</v>
      </c>
      <c r="H145">
        <v>15570.26</v>
      </c>
      <c r="I145">
        <v>24783</v>
      </c>
      <c r="J145" t="s">
        <v>303</v>
      </c>
      <c r="K145">
        <v>166</v>
      </c>
      <c r="L145" t="str">
        <f>Hyperlink("http://www.seavest.co.za/inv/fpdf16/inv-preview.php?Id=44130","Click for Invoice PDF")</f>
        <v>Click for Invoice PDF</v>
      </c>
      <c r="M145"/>
    </row>
    <row r="146" spans="1:215">
      <c r="A146" t="s">
        <v>304</v>
      </c>
      <c r="B146"/>
      <c r="C146" t="s">
        <v>14</v>
      </c>
      <c r="D146" t="s">
        <v>30</v>
      </c>
      <c r="E146" t="s">
        <v>176</v>
      </c>
      <c r="F146">
        <v>0</v>
      </c>
      <c r="G146">
        <v>0</v>
      </c>
      <c r="H146">
        <v>0</v>
      </c>
      <c r="I146">
        <v>24772</v>
      </c>
      <c r="J146" t="s">
        <v>303</v>
      </c>
      <c r="K146">
        <v>33</v>
      </c>
      <c r="L146" t="str">
        <f>Hyperlink("http://www.seavest.co.za/inv/fpdf16/inv-preview.php?Id=44134","Click for Invoice PDF")</f>
        <v>Click for Invoice PDF</v>
      </c>
      <c r="M146"/>
    </row>
    <row r="147" spans="1:215">
      <c r="A147" t="s">
        <v>305</v>
      </c>
      <c r="B147"/>
      <c r="C147" t="s">
        <v>14</v>
      </c>
      <c r="D147" t="s">
        <v>21</v>
      </c>
      <c r="E147" t="s">
        <v>176</v>
      </c>
      <c r="F147">
        <v>7498.8</v>
      </c>
      <c r="G147">
        <v>1124.82</v>
      </c>
      <c r="H147">
        <v>8623.620000000001</v>
      </c>
      <c r="I147">
        <v>24779</v>
      </c>
      <c r="J147" t="s">
        <v>303</v>
      </c>
      <c r="K147">
        <v>126</v>
      </c>
      <c r="L147" t="str">
        <f>Hyperlink("http://www.seavest.co.za/inv/fpdf16/inv-preview.php?Id=44145","Click for Invoice PDF")</f>
        <v>Click for Invoice PDF</v>
      </c>
      <c r="M147"/>
    </row>
    <row r="148" spans="1:215">
      <c r="A148" t="s">
        <v>306</v>
      </c>
      <c r="B148"/>
      <c r="C148" t="s">
        <v>14</v>
      </c>
      <c r="D148" t="s">
        <v>307</v>
      </c>
      <c r="E148" t="s">
        <v>176</v>
      </c>
      <c r="F148">
        <v>0</v>
      </c>
      <c r="G148">
        <v>0</v>
      </c>
      <c r="H148">
        <v>0</v>
      </c>
      <c r="I148">
        <v>23358</v>
      </c>
      <c r="J148" t="s">
        <v>308</v>
      </c>
      <c r="K148">
        <v>277</v>
      </c>
      <c r="L148" t="str">
        <f>Hyperlink("http://www.seavest.co.za/inv/fpdf16/inv-preview.php?Id=42871","Click for Invoice PDF")</f>
        <v>Click for Invoice PDF</v>
      </c>
      <c r="M148"/>
    </row>
    <row r="149" spans="1:215">
      <c r="A149" t="s">
        <v>309</v>
      </c>
      <c r="B149"/>
      <c r="C149" t="s">
        <v>14</v>
      </c>
      <c r="D149" t="s">
        <v>310</v>
      </c>
      <c r="E149" t="s">
        <v>176</v>
      </c>
      <c r="F149">
        <v>0</v>
      </c>
      <c r="G149">
        <v>0</v>
      </c>
      <c r="H149">
        <v>0</v>
      </c>
      <c r="I149">
        <v>23357</v>
      </c>
      <c r="J149" t="s">
        <v>308</v>
      </c>
      <c r="K149">
        <v>277</v>
      </c>
      <c r="L149" t="str">
        <f>Hyperlink("http://www.seavest.co.za/inv/fpdf16/inv-preview.php?Id=42933","Click for Invoice PDF")</f>
        <v>Click for Invoice PDF</v>
      </c>
      <c r="M149"/>
    </row>
    <row r="150" spans="1:215">
      <c r="A150" t="s">
        <v>311</v>
      </c>
      <c r="B150"/>
      <c r="C150" t="s">
        <v>67</v>
      </c>
      <c r="D150" t="s">
        <v>312</v>
      </c>
      <c r="E150" t="s">
        <v>209</v>
      </c>
      <c r="F150">
        <v>7818.76</v>
      </c>
      <c r="G150">
        <v>1094.63</v>
      </c>
      <c r="H150">
        <v>8913.389999999999</v>
      </c>
      <c r="I150">
        <v>22452</v>
      </c>
      <c r="J150" t="s">
        <v>313</v>
      </c>
      <c r="K150">
        <v>27</v>
      </c>
      <c r="L150" t="str">
        <f>Hyperlink("http://www.seavest.co.za/inv/fpdf16/inv-preview.php?Id=41776","Click for Invoice PDF")</f>
        <v>Click for Invoice PDF</v>
      </c>
      <c r="M150"/>
    </row>
    <row r="151" spans="1:215">
      <c r="A151" t="s">
        <v>314</v>
      </c>
      <c r="B151"/>
      <c r="C151" t="s">
        <v>14</v>
      </c>
      <c r="D151" t="s">
        <v>315</v>
      </c>
      <c r="E151" t="s">
        <v>176</v>
      </c>
      <c r="F151">
        <v>1313.5</v>
      </c>
      <c r="G151">
        <v>197.03</v>
      </c>
      <c r="H151">
        <v>1510.53</v>
      </c>
      <c r="I151">
        <v>24525</v>
      </c>
      <c r="J151" t="s">
        <v>316</v>
      </c>
      <c r="K151">
        <v>196</v>
      </c>
      <c r="L151" t="str">
        <f>Hyperlink("http://www.seavest.co.za/inv/fpdf16/inv-preview.php?Id=43982","Click for Invoice PDF")</f>
        <v>Click for Invoice PDF</v>
      </c>
      <c r="M151"/>
    </row>
    <row r="152" spans="1:215">
      <c r="A152" t="s">
        <v>317</v>
      </c>
      <c r="B152"/>
      <c r="C152" t="s">
        <v>14</v>
      </c>
      <c r="D152" t="s">
        <v>318</v>
      </c>
      <c r="E152" t="s">
        <v>176</v>
      </c>
      <c r="F152">
        <v>6174.72</v>
      </c>
      <c r="G152">
        <v>926.21</v>
      </c>
      <c r="H152">
        <v>7100.93</v>
      </c>
      <c r="I152">
        <v>24515</v>
      </c>
      <c r="J152" t="s">
        <v>316</v>
      </c>
      <c r="K152">
        <v>196</v>
      </c>
      <c r="L152" t="str">
        <f>Hyperlink("http://www.seavest.co.za/inv/fpdf16/inv-preview.php?Id=43979","Click for Invoice PDF")</f>
        <v>Click for Invoice PDF</v>
      </c>
      <c r="M152"/>
    </row>
    <row r="153" spans="1:215">
      <c r="A153" t="s">
        <v>319</v>
      </c>
      <c r="B153"/>
      <c r="C153" t="s">
        <v>67</v>
      </c>
      <c r="D153" t="s">
        <v>134</v>
      </c>
      <c r="E153" t="s">
        <v>73</v>
      </c>
      <c r="F153">
        <v>8246.92</v>
      </c>
      <c r="G153">
        <v>1237.04</v>
      </c>
      <c r="H153">
        <v>9483.959999999999</v>
      </c>
      <c r="I153">
        <v>22454</v>
      </c>
      <c r="J153" t="s">
        <v>320</v>
      </c>
      <c r="K153">
        <v>337</v>
      </c>
      <c r="L153" t="str">
        <f>Hyperlink("http://www.seavest.co.za/inv/fpdf16/inv-preview.php?Id=41997","Click for Invoice PDF")</f>
        <v>Click for Invoice PDF</v>
      </c>
      <c r="M153"/>
    </row>
    <row r="154" spans="1:215">
      <c r="A154" t="s">
        <v>321</v>
      </c>
      <c r="B154"/>
      <c r="C154" t="s">
        <v>67</v>
      </c>
      <c r="D154" t="s">
        <v>114</v>
      </c>
      <c r="E154" t="s">
        <v>82</v>
      </c>
      <c r="F154">
        <v>15255.06</v>
      </c>
      <c r="G154">
        <v>2288.26</v>
      </c>
      <c r="H154">
        <v>17543.32</v>
      </c>
      <c r="I154">
        <v>25216</v>
      </c>
      <c r="J154" t="s">
        <v>322</v>
      </c>
      <c r="K154">
        <v>68</v>
      </c>
      <c r="L154" t="str">
        <f>Hyperlink("http://www.seavest.co.za/inv/fpdf16/inv-preview.php?Id=44542","Click for Invoice PDF")</f>
        <v>Click for Invoice PDF</v>
      </c>
      <c r="M154"/>
    </row>
    <row r="155" spans="1:215">
      <c r="A155" t="s">
        <v>323</v>
      </c>
      <c r="B155"/>
      <c r="C155" t="s">
        <v>67</v>
      </c>
      <c r="D155" t="s">
        <v>324</v>
      </c>
      <c r="E155" t="s">
        <v>209</v>
      </c>
      <c r="F155">
        <v>9999999.99</v>
      </c>
      <c r="G155">
        <v>602.48</v>
      </c>
      <c r="H155">
        <v>4619.02</v>
      </c>
      <c r="I155">
        <v>25427</v>
      </c>
      <c r="J155" t="s">
        <v>322</v>
      </c>
      <c r="K155">
        <v>75</v>
      </c>
      <c r="L155" t="str">
        <f>Hyperlink("http://www.seavest.co.za/inv/fpdf16/inv-preview.php?Id=44734","Click for Invoice PDF")</f>
        <v>Click for Invoice PDF</v>
      </c>
      <c r="M155"/>
    </row>
    <row r="156" spans="1:215">
      <c r="A156" t="s">
        <v>325</v>
      </c>
      <c r="B156"/>
      <c r="C156" t="s">
        <v>14</v>
      </c>
      <c r="D156" t="s">
        <v>248</v>
      </c>
      <c r="E156" t="s">
        <v>176</v>
      </c>
      <c r="F156">
        <v>10271.83</v>
      </c>
      <c r="G156">
        <v>1540.77</v>
      </c>
      <c r="H156">
        <v>11812.6</v>
      </c>
      <c r="I156">
        <v>24061</v>
      </c>
      <c r="J156" t="s">
        <v>326</v>
      </c>
      <c r="K156">
        <v>251</v>
      </c>
      <c r="L156" t="str">
        <f>Hyperlink("http://www.seavest.co.za/inv/fpdf16/inv-preview.php?Id=42956","Click for Invoice PDF")</f>
        <v>Click for Invoice PDF</v>
      </c>
      <c r="M156"/>
    </row>
    <row r="157" spans="1:215">
      <c r="A157" t="s">
        <v>327</v>
      </c>
      <c r="B157" t="s">
        <v>328</v>
      </c>
      <c r="C157" t="s">
        <v>67</v>
      </c>
      <c r="D157" t="s">
        <v>329</v>
      </c>
      <c r="E157" t="s">
        <v>73</v>
      </c>
      <c r="F157">
        <v>12919.1</v>
      </c>
      <c r="G157">
        <v>1937.87</v>
      </c>
      <c r="H157">
        <v>14856.97</v>
      </c>
      <c r="I157">
        <v>21280</v>
      </c>
      <c r="J157" t="s">
        <v>330</v>
      </c>
      <c r="K157">
        <v>532</v>
      </c>
      <c r="L157" t="str">
        <f>Hyperlink("http://www.seavest.co.za/inv/fpdf16/inv-preview.php?Id=40918","Click for Invoice PDF")</f>
        <v>Click for Invoice PDF</v>
      </c>
      <c r="M157"/>
    </row>
    <row r="158" spans="1:215">
      <c r="A158" t="s">
        <v>331</v>
      </c>
      <c r="B158"/>
      <c r="C158" t="s">
        <v>67</v>
      </c>
      <c r="D158" t="s">
        <v>95</v>
      </c>
      <c r="E158" t="s">
        <v>176</v>
      </c>
      <c r="F158">
        <v>10539.6</v>
      </c>
      <c r="G158">
        <v>1580.94</v>
      </c>
      <c r="H158">
        <v>12120.54</v>
      </c>
      <c r="I158">
        <v>24285</v>
      </c>
      <c r="J158" t="s">
        <v>332</v>
      </c>
      <c r="K158">
        <v>222</v>
      </c>
      <c r="L158" t="str">
        <f>Hyperlink("http://www.seavest.co.za/inv/fpdf16/inv-preview.php?Id=43775","Click for Invoice PDF")</f>
        <v>Click for Invoice PDF</v>
      </c>
      <c r="M158"/>
    </row>
    <row r="159" spans="1:215">
      <c r="A159" t="s">
        <v>333</v>
      </c>
      <c r="B159"/>
      <c r="C159" t="s">
        <v>67</v>
      </c>
      <c r="D159" t="s">
        <v>334</v>
      </c>
      <c r="E159" t="s">
        <v>218</v>
      </c>
      <c r="F159">
        <v>4552.02</v>
      </c>
      <c r="G159">
        <v>637.28</v>
      </c>
      <c r="H159">
        <v>5189.3</v>
      </c>
      <c r="I159">
        <v>24791</v>
      </c>
      <c r="J159" t="s">
        <v>335</v>
      </c>
      <c r="K159">
        <v>4</v>
      </c>
      <c r="L159" t="str">
        <f>Hyperlink("http://www.seavest.co.za/inv/fpdf16/inv-preview.php?Id=44155","Click for Invoice PDF")</f>
        <v>Click for Invoice PDF</v>
      </c>
      <c r="M159"/>
    </row>
    <row r="160" spans="1:215">
      <c r="A160" t="s">
        <v>336</v>
      </c>
      <c r="B160"/>
      <c r="C160" t="s">
        <v>67</v>
      </c>
      <c r="D160" t="s">
        <v>70</v>
      </c>
      <c r="E160" t="s">
        <v>209</v>
      </c>
      <c r="F160">
        <v>16446.95</v>
      </c>
      <c r="G160">
        <v>2302.57</v>
      </c>
      <c r="H160">
        <v>18749.52</v>
      </c>
      <c r="I160">
        <v>23097</v>
      </c>
      <c r="J160" t="s">
        <v>337</v>
      </c>
      <c r="K160">
        <v>27</v>
      </c>
      <c r="L160" t="str">
        <f>Hyperlink("http://www.seavest.co.za/inv/fpdf16/inv-preview.php?Id=42600","Click for Invoice PDF")</f>
        <v>Click for Invoice PDF</v>
      </c>
      <c r="M160"/>
    </row>
    <row r="161" spans="1:215">
      <c r="A161" t="s">
        <v>338</v>
      </c>
      <c r="B161"/>
      <c r="C161" t="s">
        <v>14</v>
      </c>
      <c r="D161" t="s">
        <v>17</v>
      </c>
      <c r="E161" t="s">
        <v>176</v>
      </c>
      <c r="F161">
        <v>18095.38</v>
      </c>
      <c r="G161">
        <v>0</v>
      </c>
      <c r="H161">
        <v>18095.38</v>
      </c>
      <c r="I161">
        <v>0</v>
      </c>
      <c r="J161" t="s">
        <v>339</v>
      </c>
      <c r="K161">
        <v>28</v>
      </c>
      <c r="L161" t="str">
        <f>Hyperlink("http://www.seavest.co.za/inv/fpdf16/inv-preview.php?Id=44837","Click for Invoice PDF")</f>
        <v>Click for Invoice PDF</v>
      </c>
      <c r="M161"/>
    </row>
    <row r="162" spans="1:215">
      <c r="A162" t="s">
        <v>340</v>
      </c>
      <c r="B162"/>
      <c r="C162" t="s">
        <v>67</v>
      </c>
      <c r="D162" t="s">
        <v>341</v>
      </c>
      <c r="E162" t="s">
        <v>196</v>
      </c>
      <c r="F162">
        <v>6704.68</v>
      </c>
      <c r="G162">
        <v>1005.7</v>
      </c>
      <c r="H162">
        <v>7710.38</v>
      </c>
      <c r="I162">
        <v>25638</v>
      </c>
      <c r="J162" t="s">
        <v>339</v>
      </c>
      <c r="K162">
        <v>6</v>
      </c>
      <c r="L162" t="str">
        <f>Hyperlink("http://www.seavest.co.za/inv/fpdf16/inv-preview.php?Id=44906","Click for Invoice PDF")</f>
        <v>Click for Invoice PDF</v>
      </c>
      <c r="M162"/>
    </row>
    <row r="163" spans="1:215">
      <c r="A163" t="s">
        <v>342</v>
      </c>
      <c r="B163"/>
      <c r="C163" t="s">
        <v>67</v>
      </c>
      <c r="D163" t="s">
        <v>343</v>
      </c>
      <c r="E163" t="s">
        <v>82</v>
      </c>
      <c r="F163">
        <v>3267.16</v>
      </c>
      <c r="G163">
        <v>490.07</v>
      </c>
      <c r="H163">
        <v>3757.23</v>
      </c>
      <c r="I163">
        <v>25850</v>
      </c>
      <c r="J163" t="s">
        <v>339</v>
      </c>
      <c r="K163">
        <v>8</v>
      </c>
      <c r="L163" t="str">
        <f>Hyperlink("http://www.seavest.co.za/inv/fpdf16/inv-preview.php?Id=44944","Click for Invoice PDF")</f>
        <v>Click for Invoice PDF</v>
      </c>
      <c r="M163"/>
    </row>
    <row r="164" spans="1:215">
      <c r="A164" t="s">
        <v>344</v>
      </c>
      <c r="B164"/>
      <c r="C164" t="s">
        <v>14</v>
      </c>
      <c r="D164" t="s">
        <v>345</v>
      </c>
      <c r="E164" t="s">
        <v>176</v>
      </c>
      <c r="F164">
        <v>14550.04</v>
      </c>
      <c r="G164">
        <v>2182.51</v>
      </c>
      <c r="H164">
        <v>16732.55</v>
      </c>
      <c r="I164">
        <v>25648</v>
      </c>
      <c r="J164" t="s">
        <v>339</v>
      </c>
      <c r="K164">
        <v>28</v>
      </c>
      <c r="L164" t="str">
        <f>Hyperlink("http://www.seavest.co.za/inv/fpdf16/inv-preview.php?Id=44904","Click for Invoice PDF")</f>
        <v>Click for Invoice PDF</v>
      </c>
      <c r="M164"/>
    </row>
    <row r="165" spans="1:215">
      <c r="A165" t="s">
        <v>346</v>
      </c>
      <c r="B165"/>
      <c r="C165" t="s">
        <v>14</v>
      </c>
      <c r="D165" t="s">
        <v>347</v>
      </c>
      <c r="E165" t="s">
        <v>176</v>
      </c>
      <c r="F165">
        <v>8654.93</v>
      </c>
      <c r="G165">
        <v>1298.24</v>
      </c>
      <c r="H165">
        <v>9953.17</v>
      </c>
      <c r="I165">
        <v>25647</v>
      </c>
      <c r="J165" t="s">
        <v>339</v>
      </c>
      <c r="K165">
        <v>28</v>
      </c>
      <c r="L165" t="str">
        <f>Hyperlink("http://www.seavest.co.za/inv/fpdf16/inv-preview.php?Id=44916","Click for Invoice PDF")</f>
        <v>Click for Invoice PDF</v>
      </c>
      <c r="M165"/>
    </row>
    <row r="166" spans="1:215">
      <c r="A166" t="s">
        <v>348</v>
      </c>
      <c r="B166"/>
      <c r="C166" t="s">
        <v>67</v>
      </c>
      <c r="D166" t="s">
        <v>349</v>
      </c>
      <c r="E166" t="s">
        <v>82</v>
      </c>
      <c r="F166">
        <v>3057.26</v>
      </c>
      <c r="G166">
        <v>458.59</v>
      </c>
      <c r="H166">
        <v>3515.85</v>
      </c>
      <c r="I166">
        <v>25658</v>
      </c>
      <c r="J166" t="s">
        <v>339</v>
      </c>
      <c r="K166">
        <v>29</v>
      </c>
      <c r="L166" t="str">
        <f>Hyperlink("http://www.seavest.co.za/inv/fpdf16/inv-preview.php?Id=44946","Click for Invoice PDF")</f>
        <v>Click for Invoice PDF</v>
      </c>
      <c r="M166"/>
    </row>
    <row r="167" spans="1:215">
      <c r="A167" t="s">
        <v>350</v>
      </c>
      <c r="B167" t="s">
        <v>351</v>
      </c>
      <c r="C167" t="s">
        <v>67</v>
      </c>
      <c r="D167" t="s">
        <v>352</v>
      </c>
      <c r="E167" t="s">
        <v>73</v>
      </c>
      <c r="F167">
        <v>8622.299999999999</v>
      </c>
      <c r="G167">
        <v>1293.35</v>
      </c>
      <c r="H167">
        <v>9915.65</v>
      </c>
      <c r="I167">
        <v>21248</v>
      </c>
      <c r="J167" t="s">
        <v>353</v>
      </c>
      <c r="K167">
        <v>544</v>
      </c>
      <c r="L167" t="str">
        <f>Hyperlink("http://www.seavest.co.za/inv/fpdf16/inv-preview.php?Id=40816","Click for Invoice PDF")</f>
        <v>Click for Invoice PDF</v>
      </c>
      <c r="M167"/>
    </row>
    <row r="168" spans="1:215">
      <c r="A168" t="s">
        <v>354</v>
      </c>
      <c r="B168" t="s">
        <v>355</v>
      </c>
      <c r="C168" t="s">
        <v>67</v>
      </c>
      <c r="D168" t="s">
        <v>136</v>
      </c>
      <c r="E168" t="s">
        <v>183</v>
      </c>
      <c r="F168">
        <v>13477.2</v>
      </c>
      <c r="G168">
        <v>2021.58</v>
      </c>
      <c r="H168">
        <v>15498.78</v>
      </c>
      <c r="I168">
        <v>21466</v>
      </c>
      <c r="J168" t="s">
        <v>353</v>
      </c>
      <c r="K168">
        <v>544</v>
      </c>
      <c r="L168" t="str">
        <f>Hyperlink("http://www.seavest.co.za/inv/fpdf16/inv-preview.php?Id=40981","Click for Invoice PDF")</f>
        <v>Click for Invoice PDF</v>
      </c>
      <c r="M168"/>
    </row>
    <row r="169" spans="1:215">
      <c r="A169" t="s">
        <v>356</v>
      </c>
      <c r="B169" t="s">
        <v>357</v>
      </c>
      <c r="C169" t="s">
        <v>67</v>
      </c>
      <c r="D169" t="s">
        <v>136</v>
      </c>
      <c r="E169" t="s">
        <v>183</v>
      </c>
      <c r="F169">
        <v>8077.4</v>
      </c>
      <c r="G169">
        <v>1211.61</v>
      </c>
      <c r="H169">
        <v>9289.01</v>
      </c>
      <c r="I169">
        <v>21420</v>
      </c>
      <c r="J169" t="s">
        <v>353</v>
      </c>
      <c r="K169">
        <v>544</v>
      </c>
      <c r="L169" t="str">
        <f>Hyperlink("http://www.seavest.co.za/inv/fpdf16/inv-preview.php?Id=40982","Click for Invoice PDF")</f>
        <v>Click for Invoice PDF</v>
      </c>
      <c r="M169"/>
    </row>
    <row r="170" spans="1:215">
      <c r="A170" t="s">
        <v>358</v>
      </c>
      <c r="B170"/>
      <c r="C170" t="s">
        <v>67</v>
      </c>
      <c r="D170" t="s">
        <v>359</v>
      </c>
      <c r="E170" t="s">
        <v>176</v>
      </c>
      <c r="F170">
        <v>120073</v>
      </c>
      <c r="G170">
        <v>18010.95</v>
      </c>
      <c r="H170">
        <v>138083.95</v>
      </c>
      <c r="I170">
        <v>24290</v>
      </c>
      <c r="J170" t="s">
        <v>360</v>
      </c>
      <c r="K170">
        <v>196</v>
      </c>
      <c r="L170" t="str">
        <f>Hyperlink("http://www.seavest.co.za/inv/fpdf16/inv-preview.php?Id=43780","Click for Invoice PDF")</f>
        <v>Click for Invoice PDF</v>
      </c>
      <c r="M170"/>
    </row>
    <row r="171" spans="1:215">
      <c r="A171" t="s">
        <v>361</v>
      </c>
      <c r="B171"/>
      <c r="C171" t="s">
        <v>67</v>
      </c>
      <c r="D171" t="s">
        <v>362</v>
      </c>
      <c r="E171" t="s">
        <v>176</v>
      </c>
      <c r="F171">
        <v>20752</v>
      </c>
      <c r="G171">
        <v>3112.8</v>
      </c>
      <c r="H171">
        <v>23864.8</v>
      </c>
      <c r="I171">
        <v>24305</v>
      </c>
      <c r="J171" t="s">
        <v>360</v>
      </c>
      <c r="K171">
        <v>196</v>
      </c>
      <c r="L171" t="str">
        <f>Hyperlink("http://www.seavest.co.za/inv/fpdf16/inv-preview.php?Id=43793","Click for Invoice PDF")</f>
        <v>Click for Invoice PDF</v>
      </c>
      <c r="M171"/>
    </row>
    <row r="172" spans="1:215">
      <c r="A172" t="s">
        <v>363</v>
      </c>
      <c r="B172"/>
      <c r="C172" t="s">
        <v>67</v>
      </c>
      <c r="D172" t="s">
        <v>359</v>
      </c>
      <c r="E172" t="s">
        <v>73</v>
      </c>
      <c r="F172">
        <v>0</v>
      </c>
      <c r="G172">
        <v>0</v>
      </c>
      <c r="H172">
        <v>0</v>
      </c>
      <c r="I172">
        <v>24339</v>
      </c>
      <c r="J172" t="s">
        <v>360</v>
      </c>
      <c r="K172">
        <v>196</v>
      </c>
      <c r="L172" t="str">
        <f>Hyperlink("http://www.seavest.co.za/inv/fpdf16/inv-preview.php?Id=43835","Click for Invoice PDF")</f>
        <v>Click for Invoice PDF</v>
      </c>
      <c r="M172"/>
    </row>
    <row r="173" spans="1:215">
      <c r="A173" t="s">
        <v>364</v>
      </c>
      <c r="B173"/>
      <c r="C173" t="s">
        <v>67</v>
      </c>
      <c r="D173" t="s">
        <v>365</v>
      </c>
      <c r="E173" t="s">
        <v>183</v>
      </c>
      <c r="F173">
        <v>6173.9</v>
      </c>
      <c r="G173">
        <v>926.09</v>
      </c>
      <c r="H173">
        <v>7099.99</v>
      </c>
      <c r="I173">
        <v>22490</v>
      </c>
      <c r="J173" t="s">
        <v>366</v>
      </c>
      <c r="K173">
        <v>340</v>
      </c>
      <c r="L173" t="str">
        <f>Hyperlink("http://www.seavest.co.za/inv/fpdf16/inv-preview.php?Id=42021","Click for Invoice PDF")</f>
        <v>Click for Invoice PDF</v>
      </c>
      <c r="M173"/>
    </row>
    <row r="174" spans="1:215">
      <c r="A174" t="s">
        <v>367</v>
      </c>
      <c r="B174"/>
      <c r="C174" t="s">
        <v>67</v>
      </c>
      <c r="D174" t="s">
        <v>221</v>
      </c>
      <c r="E174"/>
      <c r="F174">
        <v>7901.52</v>
      </c>
      <c r="G174">
        <v>1106.21</v>
      </c>
      <c r="H174">
        <v>9007.73</v>
      </c>
      <c r="I174">
        <v>25220</v>
      </c>
      <c r="J174" t="s">
        <v>368</v>
      </c>
      <c r="K174">
        <v>4</v>
      </c>
      <c r="L174" t="str">
        <f>Hyperlink("http://www.seavest.co.za/inv/fpdf16/inv-preview.php?Id=44550","Click for Invoice PDF")</f>
        <v>Click for Invoice PDF</v>
      </c>
      <c r="M174"/>
    </row>
    <row r="175" spans="1:215">
      <c r="A175" t="s">
        <v>369</v>
      </c>
      <c r="B175"/>
      <c r="C175" t="s">
        <v>67</v>
      </c>
      <c r="D175" t="s">
        <v>370</v>
      </c>
      <c r="E175" t="s">
        <v>73</v>
      </c>
      <c r="F175">
        <v>9999999.99</v>
      </c>
      <c r="G175">
        <v>589.4299999999999</v>
      </c>
      <c r="H175">
        <v>4518.95</v>
      </c>
      <c r="I175">
        <v>25214</v>
      </c>
      <c r="J175" t="s">
        <v>368</v>
      </c>
      <c r="K175">
        <v>105</v>
      </c>
      <c r="L175" t="str">
        <f>Hyperlink("http://www.seavest.co.za/inv/fpdf16/inv-preview.php?Id=44544","Click for Invoice PDF")</f>
        <v>Click for Invoice PDF</v>
      </c>
      <c r="M175"/>
    </row>
    <row r="176" spans="1:215">
      <c r="A176" t="s">
        <v>371</v>
      </c>
      <c r="B176"/>
      <c r="C176" t="s">
        <v>14</v>
      </c>
      <c r="D176" t="s">
        <v>24</v>
      </c>
      <c r="E176"/>
      <c r="F176">
        <v>9084</v>
      </c>
      <c r="G176">
        <v>0</v>
      </c>
      <c r="H176">
        <v>9084</v>
      </c>
      <c r="I176">
        <v>24694</v>
      </c>
      <c r="J176" t="s">
        <v>372</v>
      </c>
      <c r="K176">
        <v>126</v>
      </c>
      <c r="L176" t="str">
        <f>Hyperlink("http://www.seavest.co.za/inv/fpdf16/inv-preview.php?Id=44074","Click for Invoice PDF")</f>
        <v>Click for Invoice PDF</v>
      </c>
      <c r="M176"/>
    </row>
    <row r="177" spans="1:215">
      <c r="A177" t="s">
        <v>373</v>
      </c>
      <c r="B177"/>
      <c r="C177" t="s">
        <v>14</v>
      </c>
      <c r="D177" t="s">
        <v>374</v>
      </c>
      <c r="E177" t="s">
        <v>176</v>
      </c>
      <c r="F177">
        <v>2013.72</v>
      </c>
      <c r="G177">
        <v>302.06</v>
      </c>
      <c r="H177">
        <v>2315.78</v>
      </c>
      <c r="I177">
        <v>24601</v>
      </c>
      <c r="J177" t="s">
        <v>372</v>
      </c>
      <c r="K177">
        <v>121</v>
      </c>
      <c r="L177" t="str">
        <f>Hyperlink("http://www.seavest.co.za/inv/fpdf16/inv-preview.php?Id=44030","Click for Invoice PDF")</f>
        <v>Click for Invoice PDF</v>
      </c>
      <c r="M177"/>
    </row>
    <row r="178" spans="1:215">
      <c r="A178" t="s">
        <v>375</v>
      </c>
      <c r="B178"/>
      <c r="C178" t="s">
        <v>14</v>
      </c>
      <c r="D178" t="s">
        <v>376</v>
      </c>
      <c r="E178" t="s">
        <v>176</v>
      </c>
      <c r="F178">
        <v>0</v>
      </c>
      <c r="G178">
        <v>0</v>
      </c>
      <c r="H178">
        <v>0</v>
      </c>
      <c r="I178">
        <v>25007</v>
      </c>
      <c r="J178" t="s">
        <v>372</v>
      </c>
      <c r="K178">
        <v>135</v>
      </c>
      <c r="L178" t="str">
        <f>Hyperlink("http://www.seavest.co.za/inv/fpdf16/inv-preview.php?Id=44368","Click for Invoice PDF")</f>
        <v>Click for Invoice PDF</v>
      </c>
      <c r="M178"/>
    </row>
    <row r="179" spans="1:215">
      <c r="A179" t="s">
        <v>377</v>
      </c>
      <c r="B179"/>
      <c r="C179" t="s">
        <v>67</v>
      </c>
      <c r="D179" t="s">
        <v>378</v>
      </c>
      <c r="E179" t="s">
        <v>82</v>
      </c>
      <c r="F179">
        <v>3837.16</v>
      </c>
      <c r="G179">
        <v>575.5700000000001</v>
      </c>
      <c r="H179">
        <v>4412.73</v>
      </c>
      <c r="I179">
        <v>23804</v>
      </c>
      <c r="J179" t="s">
        <v>372</v>
      </c>
      <c r="K179">
        <v>134</v>
      </c>
      <c r="L179" t="str">
        <f>Hyperlink("http://www.seavest.co.za/inv/fpdf16/inv-preview.php?Id=43415","Click for Invoice PDF")</f>
        <v>Click for Invoice PDF</v>
      </c>
      <c r="M179"/>
    </row>
    <row r="180" spans="1:215">
      <c r="A180" t="s">
        <v>379</v>
      </c>
      <c r="B180"/>
      <c r="C180" t="s">
        <v>67</v>
      </c>
      <c r="D180" t="s">
        <v>95</v>
      </c>
      <c r="E180" t="s">
        <v>259</v>
      </c>
      <c r="F180">
        <v>8765.08</v>
      </c>
      <c r="G180">
        <v>1314.76</v>
      </c>
      <c r="H180">
        <v>10079.84</v>
      </c>
      <c r="I180">
        <v>25048</v>
      </c>
      <c r="J180" t="s">
        <v>372</v>
      </c>
      <c r="K180">
        <v>132</v>
      </c>
      <c r="L180" t="str">
        <f>Hyperlink("http://www.seavest.co.za/inv/fpdf16/inv-preview.php?Id=44386","Click for Invoice PDF")</f>
        <v>Click for Invoice PDF</v>
      </c>
      <c r="M180"/>
    </row>
    <row r="181" spans="1:215">
      <c r="A181" t="s">
        <v>380</v>
      </c>
      <c r="B181"/>
      <c r="C181" t="s">
        <v>67</v>
      </c>
      <c r="D181" t="s">
        <v>70</v>
      </c>
      <c r="E181" t="s">
        <v>259</v>
      </c>
      <c r="F181">
        <v>14482.78</v>
      </c>
      <c r="G181">
        <v>2172.42</v>
      </c>
      <c r="H181">
        <v>16655.2</v>
      </c>
      <c r="I181">
        <v>23114</v>
      </c>
      <c r="J181" t="s">
        <v>381</v>
      </c>
      <c r="K181">
        <v>333</v>
      </c>
      <c r="L181" t="str">
        <f>Hyperlink("http://www.seavest.co.za/inv/fpdf16/inv-preview.php?Id=42658","Click for Invoice PDF")</f>
        <v>Click for Invoice PDF</v>
      </c>
      <c r="M181"/>
    </row>
    <row r="182" spans="1:215">
      <c r="A182" t="s">
        <v>382</v>
      </c>
      <c r="B182"/>
      <c r="C182" t="s">
        <v>14</v>
      </c>
      <c r="D182" t="s">
        <v>21</v>
      </c>
      <c r="E182" t="s">
        <v>176</v>
      </c>
      <c r="F182">
        <v>4124.99</v>
      </c>
      <c r="G182">
        <v>618.75</v>
      </c>
      <c r="H182">
        <v>4743.74</v>
      </c>
      <c r="I182">
        <v>25655</v>
      </c>
      <c r="J182" t="s">
        <v>383</v>
      </c>
      <c r="K182">
        <v>28</v>
      </c>
      <c r="L182" t="str">
        <f>Hyperlink("http://www.seavest.co.za/inv/fpdf16/inv-preview.php?Id=44949","Click for Invoice PDF")</f>
        <v>Click for Invoice PDF</v>
      </c>
      <c r="M182"/>
    </row>
    <row r="183" spans="1:215">
      <c r="A183" t="s">
        <v>384</v>
      </c>
      <c r="B183"/>
      <c r="C183" t="s">
        <v>14</v>
      </c>
      <c r="D183" t="s">
        <v>385</v>
      </c>
      <c r="E183" t="s">
        <v>176</v>
      </c>
      <c r="F183">
        <v>2356.26</v>
      </c>
      <c r="G183">
        <v>353.44</v>
      </c>
      <c r="H183">
        <v>2709.7</v>
      </c>
      <c r="I183">
        <v>25656</v>
      </c>
      <c r="J183" t="s">
        <v>383</v>
      </c>
      <c r="K183">
        <v>28</v>
      </c>
      <c r="L183" t="str">
        <f>Hyperlink("http://www.seavest.co.za/inv/fpdf16/inv-preview.php?Id=44948","Click for Invoice PDF")</f>
        <v>Click for Invoice PDF</v>
      </c>
      <c r="M183"/>
    </row>
    <row r="184" spans="1:215">
      <c r="A184" t="s">
        <v>386</v>
      </c>
      <c r="B184"/>
      <c r="C184" t="s">
        <v>14</v>
      </c>
      <c r="D184" t="s">
        <v>387</v>
      </c>
      <c r="E184" t="s">
        <v>176</v>
      </c>
      <c r="F184">
        <v>2634.94</v>
      </c>
      <c r="G184">
        <v>395.24</v>
      </c>
      <c r="H184">
        <v>3030.18</v>
      </c>
      <c r="I184">
        <v>25649</v>
      </c>
      <c r="J184" t="s">
        <v>383</v>
      </c>
      <c r="K184">
        <v>28</v>
      </c>
      <c r="L184" t="str">
        <f>Hyperlink("http://www.seavest.co.za/inv/fpdf16/inv-preview.php?Id=44883","Click for Invoice PDF")</f>
        <v>Click for Invoice PDF</v>
      </c>
      <c r="M184"/>
    </row>
    <row r="185" spans="1:215">
      <c r="A185" t="s">
        <v>388</v>
      </c>
      <c r="B185"/>
      <c r="C185" t="s">
        <v>67</v>
      </c>
      <c r="D185" t="s">
        <v>140</v>
      </c>
      <c r="E185" t="s">
        <v>82</v>
      </c>
      <c r="F185">
        <v>3269.2</v>
      </c>
      <c r="G185">
        <v>490.38</v>
      </c>
      <c r="H185">
        <v>3759.58</v>
      </c>
      <c r="I185">
        <v>25703</v>
      </c>
      <c r="J185" t="s">
        <v>383</v>
      </c>
      <c r="K185">
        <v>14</v>
      </c>
      <c r="L185" t="str">
        <f>Hyperlink("http://www.seavest.co.za/inv/fpdf16/inv-preview.php?Id=44945","Click for Invoice PDF")</f>
        <v>Click for Invoice PDF</v>
      </c>
      <c r="M185"/>
    </row>
    <row r="186" spans="1:215">
      <c r="A186" t="s">
        <v>389</v>
      </c>
      <c r="B186"/>
      <c r="C186" t="s">
        <v>14</v>
      </c>
      <c r="D186" t="s">
        <v>52</v>
      </c>
      <c r="E186" t="s">
        <v>176</v>
      </c>
      <c r="F186">
        <v>1955.36</v>
      </c>
      <c r="G186">
        <v>293.3</v>
      </c>
      <c r="H186">
        <v>2248.66</v>
      </c>
      <c r="I186">
        <v>24570</v>
      </c>
      <c r="J186" t="s">
        <v>390</v>
      </c>
      <c r="K186">
        <v>194</v>
      </c>
      <c r="L186" t="str">
        <f>Hyperlink("http://www.seavest.co.za/inv/fpdf16/inv-preview.php?Id=44003","Click for Invoice PDF")</f>
        <v>Click for Invoice PDF</v>
      </c>
      <c r="M186"/>
    </row>
    <row r="187" spans="1:215">
      <c r="A187" t="s">
        <v>391</v>
      </c>
      <c r="B187"/>
      <c r="C187" t="s">
        <v>14</v>
      </c>
      <c r="D187" t="s">
        <v>24</v>
      </c>
      <c r="E187" t="s">
        <v>176</v>
      </c>
      <c r="F187">
        <v>7422.8</v>
      </c>
      <c r="G187">
        <v>1113.42</v>
      </c>
      <c r="H187">
        <v>8536.219999999999</v>
      </c>
      <c r="I187">
        <v>23808</v>
      </c>
      <c r="J187" t="s">
        <v>392</v>
      </c>
      <c r="K187">
        <v>251</v>
      </c>
      <c r="L187" t="str">
        <f>Hyperlink("http://www.seavest.co.za/inv/fpdf16/inv-preview.php?Id=43410","Click for Invoice PDF")</f>
        <v>Click for Invoice PDF</v>
      </c>
      <c r="M187"/>
    </row>
    <row r="188" spans="1:215">
      <c r="A188" t="s">
        <v>393</v>
      </c>
      <c r="B188"/>
      <c r="C188" t="s">
        <v>67</v>
      </c>
      <c r="D188" t="s">
        <v>114</v>
      </c>
      <c r="E188" t="s">
        <v>209</v>
      </c>
      <c r="F188">
        <v>2620.66</v>
      </c>
      <c r="G188">
        <v>393.1</v>
      </c>
      <c r="H188">
        <v>3013.76</v>
      </c>
      <c r="I188">
        <v>25225</v>
      </c>
      <c r="J188" t="s">
        <v>394</v>
      </c>
      <c r="K188">
        <v>76</v>
      </c>
      <c r="L188" t="str">
        <f>Hyperlink("http://www.seavest.co.za/inv/fpdf16/inv-preview.php?Id=44420","Click for Invoice PDF")</f>
        <v>Click for Invoice PDF</v>
      </c>
      <c r="M188"/>
    </row>
    <row r="189" spans="1:215">
      <c r="A189" t="s">
        <v>395</v>
      </c>
      <c r="B189"/>
      <c r="C189" t="s">
        <v>67</v>
      </c>
      <c r="D189" t="s">
        <v>396</v>
      </c>
      <c r="E189" t="s">
        <v>196</v>
      </c>
      <c r="F189">
        <v>11615.2</v>
      </c>
      <c r="G189">
        <v>1742.28</v>
      </c>
      <c r="H189">
        <v>13357.48</v>
      </c>
      <c r="I189">
        <v>21953</v>
      </c>
      <c r="J189" t="s">
        <v>397</v>
      </c>
      <c r="K189">
        <v>499</v>
      </c>
      <c r="L189" t="str">
        <f>Hyperlink("http://www.seavest.co.za/inv/fpdf16/inv-preview.php?Id=41526","Click for Invoice PDF")</f>
        <v>Click for Invoice PDF</v>
      </c>
      <c r="M189"/>
    </row>
    <row r="190" spans="1:215">
      <c r="A190" t="s">
        <v>398</v>
      </c>
      <c r="B190"/>
      <c r="C190" t="s">
        <v>67</v>
      </c>
      <c r="D190" t="s">
        <v>399</v>
      </c>
      <c r="E190" t="s">
        <v>218</v>
      </c>
      <c r="F190">
        <v>2721.92</v>
      </c>
      <c r="G190">
        <v>408.29</v>
      </c>
      <c r="H190">
        <v>3130.21</v>
      </c>
      <c r="I190">
        <v>25073</v>
      </c>
      <c r="J190" t="s">
        <v>400</v>
      </c>
      <c r="K190">
        <v>132</v>
      </c>
      <c r="L190" t="str">
        <f>Hyperlink("http://www.seavest.co.za/inv/fpdf16/inv-preview.php?Id=44366","Click for Invoice PDF")</f>
        <v>Click for Invoice PDF</v>
      </c>
      <c r="M190"/>
    </row>
    <row r="191" spans="1:215">
      <c r="A191" t="s">
        <v>401</v>
      </c>
      <c r="B191"/>
      <c r="C191" t="s">
        <v>14</v>
      </c>
      <c r="D191" t="s">
        <v>50</v>
      </c>
      <c r="E191" t="s">
        <v>176</v>
      </c>
      <c r="F191">
        <v>3636.8</v>
      </c>
      <c r="G191">
        <v>545.52</v>
      </c>
      <c r="H191">
        <v>4182.32</v>
      </c>
      <c r="I191">
        <v>24216</v>
      </c>
      <c r="J191" t="s">
        <v>402</v>
      </c>
      <c r="K191">
        <v>218</v>
      </c>
      <c r="L191" t="str">
        <f>Hyperlink("http://www.seavest.co.za/inv/fpdf16/inv-preview.php?Id=43635","Click for Invoice PDF")</f>
        <v>Click for Invoice PDF</v>
      </c>
      <c r="M191"/>
    </row>
    <row r="192" spans="1:215">
      <c r="A192" t="s">
        <v>403</v>
      </c>
      <c r="B192"/>
      <c r="C192" t="s">
        <v>14</v>
      </c>
      <c r="D192" t="s">
        <v>205</v>
      </c>
      <c r="E192" t="s">
        <v>176</v>
      </c>
      <c r="F192">
        <v>7383.9</v>
      </c>
      <c r="G192">
        <v>1107.59</v>
      </c>
      <c r="H192">
        <v>8491.49</v>
      </c>
      <c r="I192">
        <v>24295</v>
      </c>
      <c r="J192" t="s">
        <v>402</v>
      </c>
      <c r="K192">
        <v>217</v>
      </c>
      <c r="L192" t="str">
        <f>Hyperlink("http://www.seavest.co.za/inv/fpdf16/inv-preview.php?Id=43712","Click for Invoice PDF")</f>
        <v>Click for Invoice PDF</v>
      </c>
      <c r="M192"/>
    </row>
    <row r="193" spans="1:215">
      <c r="A193" t="s">
        <v>404</v>
      </c>
      <c r="B193"/>
      <c r="C193" t="s">
        <v>67</v>
      </c>
      <c r="D193" t="s">
        <v>405</v>
      </c>
      <c r="E193" t="s">
        <v>176</v>
      </c>
      <c r="F193">
        <v>8573.68</v>
      </c>
      <c r="G193">
        <v>1286.05</v>
      </c>
      <c r="H193">
        <v>9859.73</v>
      </c>
      <c r="I193">
        <v>24292</v>
      </c>
      <c r="J193" t="s">
        <v>402</v>
      </c>
      <c r="K193">
        <v>222</v>
      </c>
      <c r="L193" t="str">
        <f>Hyperlink("http://www.seavest.co.za/inv/fpdf16/inv-preview.php?Id=43762","Click for Invoice PDF")</f>
        <v>Click for Invoice PDF</v>
      </c>
      <c r="M193"/>
    </row>
    <row r="194" spans="1:215">
      <c r="A194" t="s">
        <v>406</v>
      </c>
      <c r="B194"/>
      <c r="C194" t="s">
        <v>67</v>
      </c>
      <c r="D194" t="s">
        <v>407</v>
      </c>
      <c r="E194" t="s">
        <v>259</v>
      </c>
      <c r="F194">
        <v>4818.05</v>
      </c>
      <c r="G194">
        <v>722.71</v>
      </c>
      <c r="H194">
        <v>5540.76</v>
      </c>
      <c r="I194">
        <v>22853</v>
      </c>
      <c r="J194" t="s">
        <v>408</v>
      </c>
      <c r="K194">
        <v>307</v>
      </c>
      <c r="L194" t="str">
        <f>Hyperlink("http://www.seavest.co.za/inv/fpdf16/inv-preview.php?Id=42383","Click for Invoice PDF")</f>
        <v>Click for Invoice PDF</v>
      </c>
      <c r="M194"/>
    </row>
    <row r="195" spans="1:215">
      <c r="A195" t="s">
        <v>409</v>
      </c>
      <c r="B195"/>
      <c r="C195" t="s">
        <v>67</v>
      </c>
      <c r="D195" t="s">
        <v>410</v>
      </c>
      <c r="E195" t="s">
        <v>218</v>
      </c>
      <c r="F195">
        <v>6255.14</v>
      </c>
      <c r="G195">
        <v>938.27</v>
      </c>
      <c r="H195">
        <v>7193.41</v>
      </c>
      <c r="I195">
        <v>25660</v>
      </c>
      <c r="J195" t="s">
        <v>411</v>
      </c>
      <c r="K195">
        <v>16</v>
      </c>
      <c r="L195" t="str">
        <f>Hyperlink("http://www.seavest.co.za/inv/fpdf16/inv-preview.php?Id=44941","Click for Invoice PDF")</f>
        <v>Click for Invoice PDF</v>
      </c>
      <c r="M195"/>
    </row>
    <row r="196" spans="1:215">
      <c r="A196" t="s">
        <v>412</v>
      </c>
      <c r="B196"/>
      <c r="C196" t="s">
        <v>67</v>
      </c>
      <c r="D196" t="s">
        <v>413</v>
      </c>
      <c r="E196" t="s">
        <v>73</v>
      </c>
      <c r="F196">
        <v>9999999.99</v>
      </c>
      <c r="G196">
        <v>720.8</v>
      </c>
      <c r="H196">
        <v>5526.12</v>
      </c>
      <c r="I196">
        <v>25661</v>
      </c>
      <c r="J196" t="s">
        <v>411</v>
      </c>
      <c r="K196">
        <v>6</v>
      </c>
      <c r="L196" t="str">
        <f>Hyperlink("http://www.seavest.co.za/inv/fpdf16/inv-preview.php?Id=44950","Click for Invoice PDF")</f>
        <v>Click for Invoice PDF</v>
      </c>
      <c r="M196"/>
    </row>
    <row r="197" spans="1:215">
      <c r="A197" t="s">
        <v>414</v>
      </c>
      <c r="B197"/>
      <c r="C197" t="s">
        <v>67</v>
      </c>
      <c r="D197" t="s">
        <v>202</v>
      </c>
      <c r="E197" t="s">
        <v>259</v>
      </c>
      <c r="F197">
        <v>8333.129999999999</v>
      </c>
      <c r="G197">
        <v>1249.97</v>
      </c>
      <c r="H197">
        <v>9583.1</v>
      </c>
      <c r="I197">
        <v>0</v>
      </c>
      <c r="J197" t="s">
        <v>415</v>
      </c>
      <c r="K197">
        <v>194</v>
      </c>
      <c r="L197" t="str">
        <f>Hyperlink("http://www.seavest.co.za/inv/fpdf16/inv-preview.php?Id=43983","Click for Invoice PDF")</f>
        <v>Click for Invoice PDF</v>
      </c>
      <c r="M197"/>
    </row>
    <row r="198" spans="1:215">
      <c r="A198" t="s">
        <v>416</v>
      </c>
      <c r="B198"/>
      <c r="C198" t="s">
        <v>67</v>
      </c>
      <c r="D198" t="s">
        <v>417</v>
      </c>
      <c r="E198" t="s">
        <v>238</v>
      </c>
      <c r="F198">
        <v>33794.53</v>
      </c>
      <c r="G198">
        <v>5069.18</v>
      </c>
      <c r="H198">
        <v>38863.71</v>
      </c>
      <c r="I198">
        <v>24450</v>
      </c>
      <c r="J198" t="s">
        <v>415</v>
      </c>
      <c r="K198">
        <v>194</v>
      </c>
      <c r="L198" t="str">
        <f>Hyperlink("http://www.seavest.co.za/inv/fpdf16/inv-preview.php?Id=43880","Click for Invoice PDF")</f>
        <v>Click for Invoice PDF</v>
      </c>
      <c r="M198"/>
    </row>
    <row r="199" spans="1:215">
      <c r="A199" t="s">
        <v>418</v>
      </c>
      <c r="B199"/>
      <c r="C199" t="s">
        <v>67</v>
      </c>
      <c r="D199" t="s">
        <v>419</v>
      </c>
      <c r="E199" t="s">
        <v>73</v>
      </c>
      <c r="F199">
        <v>7227.74</v>
      </c>
      <c r="G199">
        <v>1084.16</v>
      </c>
      <c r="H199">
        <v>8311.9</v>
      </c>
      <c r="I199">
        <v>24578</v>
      </c>
      <c r="J199" t="s">
        <v>415</v>
      </c>
      <c r="K199">
        <v>194</v>
      </c>
      <c r="L199" t="str">
        <f>Hyperlink("http://www.seavest.co.za/inv/fpdf16/inv-preview.php?Id=43992","Click for Invoice PDF")</f>
        <v>Click for Invoice PDF</v>
      </c>
      <c r="M199"/>
    </row>
    <row r="200" spans="1:215">
      <c r="A200" t="s">
        <v>420</v>
      </c>
      <c r="B200"/>
      <c r="C200" t="s">
        <v>67</v>
      </c>
      <c r="D200" t="s">
        <v>140</v>
      </c>
      <c r="E200" t="s">
        <v>183</v>
      </c>
      <c r="F200">
        <v>8556.6</v>
      </c>
      <c r="G200">
        <v>1283.49</v>
      </c>
      <c r="H200">
        <v>9840.09</v>
      </c>
      <c r="I200">
        <v>25480</v>
      </c>
      <c r="J200" t="s">
        <v>421</v>
      </c>
      <c r="K200">
        <v>70</v>
      </c>
      <c r="L200" t="str">
        <f>Hyperlink("http://www.seavest.co.za/inv/fpdf16/inv-preview.php?Id=44722","Click for Invoice PDF")</f>
        <v>Click for Invoice PDF</v>
      </c>
      <c r="M200"/>
    </row>
    <row r="201" spans="1:215">
      <c r="A201" t="s">
        <v>422</v>
      </c>
      <c r="B201" t="s">
        <v>423</v>
      </c>
      <c r="C201" t="s">
        <v>67</v>
      </c>
      <c r="D201" t="s">
        <v>424</v>
      </c>
      <c r="E201" t="s">
        <v>73</v>
      </c>
      <c r="F201">
        <v>7592.32</v>
      </c>
      <c r="G201">
        <v>1138.85</v>
      </c>
      <c r="H201">
        <v>8731.17</v>
      </c>
      <c r="I201">
        <v>20552</v>
      </c>
      <c r="J201" t="s">
        <v>425</v>
      </c>
      <c r="K201">
        <v>474</v>
      </c>
      <c r="L201" t="str">
        <f>Hyperlink("http://www.seavest.co.za/inv/fpdf16/inv-preview.php?Id=40253","Click for Invoice PDF")</f>
        <v>Click for Invoice PDF</v>
      </c>
      <c r="M201"/>
    </row>
    <row r="202" spans="1:215">
      <c r="A202" t="s">
        <v>426</v>
      </c>
      <c r="B202"/>
      <c r="C202" t="s">
        <v>14</v>
      </c>
      <c r="D202" t="s">
        <v>30</v>
      </c>
      <c r="E202" t="s">
        <v>176</v>
      </c>
      <c r="F202">
        <v>12078.34</v>
      </c>
      <c r="G202">
        <v>1811.75</v>
      </c>
      <c r="H202">
        <v>13890.09</v>
      </c>
      <c r="I202">
        <v>25238</v>
      </c>
      <c r="J202" t="s">
        <v>427</v>
      </c>
      <c r="K202">
        <v>90</v>
      </c>
      <c r="L202" t="str">
        <f>Hyperlink("http://www.seavest.co.za/inv/fpdf16/inv-preview.php?Id=44333","Click for Invoice PDF")</f>
        <v>Click for Invoice PDF</v>
      </c>
      <c r="M202"/>
    </row>
    <row r="203" spans="1:215">
      <c r="A203" t="s">
        <v>428</v>
      </c>
      <c r="B203"/>
      <c r="C203" t="s">
        <v>67</v>
      </c>
      <c r="D203" t="s">
        <v>429</v>
      </c>
      <c r="E203" t="s">
        <v>82</v>
      </c>
      <c r="F203">
        <v>4876.2</v>
      </c>
      <c r="G203">
        <v>731.4299999999999</v>
      </c>
      <c r="H203">
        <v>5607.63</v>
      </c>
      <c r="I203">
        <v>25234</v>
      </c>
      <c r="J203" t="s">
        <v>427</v>
      </c>
      <c r="K203">
        <v>85</v>
      </c>
      <c r="L203" t="str">
        <f>Hyperlink("http://www.seavest.co.za/inv/fpdf16/inv-preview.php?Id=44560","Click for Invoice PDF")</f>
        <v>Click for Invoice PDF</v>
      </c>
      <c r="M203"/>
    </row>
    <row r="204" spans="1:215">
      <c r="A204" t="s">
        <v>430</v>
      </c>
      <c r="B204"/>
      <c r="C204" t="s">
        <v>67</v>
      </c>
      <c r="D204" t="s">
        <v>244</v>
      </c>
      <c r="E204" t="s">
        <v>238</v>
      </c>
      <c r="F204">
        <v>32831.12</v>
      </c>
      <c r="G204">
        <v>4924.67</v>
      </c>
      <c r="H204">
        <v>37755.79</v>
      </c>
      <c r="I204">
        <v>19328</v>
      </c>
      <c r="J204" t="s">
        <v>431</v>
      </c>
      <c r="K204">
        <v>37</v>
      </c>
      <c r="L204" t="str">
        <f>Hyperlink("http://www.seavest.co.za/inv/fpdf16/inv-preview.php?Id=38894","Click for Invoice PDF")</f>
        <v>Click for Invoice PDF</v>
      </c>
      <c r="M204"/>
    </row>
    <row r="205" spans="1:215">
      <c r="A205" t="s">
        <v>432</v>
      </c>
      <c r="B205"/>
      <c r="C205" t="s">
        <v>67</v>
      </c>
      <c r="D205" t="s">
        <v>359</v>
      </c>
      <c r="E205" t="s">
        <v>209</v>
      </c>
      <c r="F205">
        <v>13985.44</v>
      </c>
      <c r="G205">
        <v>2097.82</v>
      </c>
      <c r="H205">
        <v>16083.26</v>
      </c>
      <c r="I205">
        <v>24988</v>
      </c>
      <c r="J205" t="s">
        <v>433</v>
      </c>
      <c r="K205">
        <v>132</v>
      </c>
      <c r="L205" t="str">
        <f>Hyperlink("http://www.seavest.co.za/inv/fpdf16/inv-preview.php?Id=44335","Click for Invoice PDF")</f>
        <v>Click for Invoice PDF</v>
      </c>
      <c r="M205"/>
    </row>
    <row r="206" spans="1:215">
      <c r="A206" t="s">
        <v>434</v>
      </c>
      <c r="B206"/>
      <c r="C206" t="s">
        <v>14</v>
      </c>
      <c r="D206" t="s">
        <v>435</v>
      </c>
      <c r="E206" t="s">
        <v>176</v>
      </c>
      <c r="F206">
        <v>5127.2</v>
      </c>
      <c r="G206">
        <v>769.08</v>
      </c>
      <c r="H206">
        <v>5896.28</v>
      </c>
      <c r="I206">
        <v>24091</v>
      </c>
      <c r="J206" t="s">
        <v>436</v>
      </c>
      <c r="K206">
        <v>218</v>
      </c>
      <c r="L206" t="str">
        <f>Hyperlink("http://www.seavest.co.za/inv/fpdf16/inv-preview.php?Id=43585","Click for Invoice PDF")</f>
        <v>Click for Invoice PDF</v>
      </c>
      <c r="M206"/>
    </row>
    <row r="207" spans="1:215">
      <c r="A207" t="s">
        <v>437</v>
      </c>
      <c r="B207"/>
      <c r="C207" t="s">
        <v>67</v>
      </c>
      <c r="D207" t="s">
        <v>95</v>
      </c>
      <c r="E207" t="s">
        <v>259</v>
      </c>
      <c r="F207">
        <v>5089.6</v>
      </c>
      <c r="G207">
        <v>763.4400000000001</v>
      </c>
      <c r="H207">
        <v>5853.04</v>
      </c>
      <c r="I207">
        <v>24084</v>
      </c>
      <c r="J207" t="s">
        <v>436</v>
      </c>
      <c r="K207">
        <v>216</v>
      </c>
      <c r="L207" t="str">
        <f>Hyperlink("http://www.seavest.co.za/inv/fpdf16/inv-preview.php?Id=42441","Click for Invoice PDF")</f>
        <v>Click for Invoice PDF</v>
      </c>
      <c r="M207"/>
    </row>
    <row r="208" spans="1:215">
      <c r="A208" t="s">
        <v>438</v>
      </c>
      <c r="B208"/>
      <c r="C208" t="s">
        <v>67</v>
      </c>
      <c r="D208" t="s">
        <v>144</v>
      </c>
      <c r="E208" t="s">
        <v>73</v>
      </c>
      <c r="F208">
        <v>3987.75</v>
      </c>
      <c r="G208">
        <v>598.16</v>
      </c>
      <c r="H208">
        <v>4585.91</v>
      </c>
      <c r="I208">
        <v>23124</v>
      </c>
      <c r="J208" t="s">
        <v>439</v>
      </c>
      <c r="K208">
        <v>307</v>
      </c>
      <c r="L208" t="str">
        <f>Hyperlink("http://www.seavest.co.za/inv/fpdf16/inv-preview.php?Id=42651","Click for Invoice PDF")</f>
        <v>Click for Invoice PDF</v>
      </c>
      <c r="M208"/>
    </row>
    <row r="209" spans="1:215">
      <c r="A209" t="s">
        <v>440</v>
      </c>
      <c r="B209"/>
      <c r="C209" t="s">
        <v>67</v>
      </c>
      <c r="D209" t="s">
        <v>441</v>
      </c>
      <c r="E209" t="s">
        <v>209</v>
      </c>
      <c r="F209">
        <v>5881.48</v>
      </c>
      <c r="G209">
        <v>882.22</v>
      </c>
      <c r="H209">
        <v>6763.7</v>
      </c>
      <c r="I209">
        <v>23337</v>
      </c>
      <c r="J209" t="s">
        <v>442</v>
      </c>
      <c r="K209">
        <v>309</v>
      </c>
      <c r="L209" t="str">
        <f>Hyperlink("http://www.seavest.co.za/inv/fpdf16/inv-preview.php?Id=42929","Click for Invoice PDF")</f>
        <v>Click for Invoice PDF</v>
      </c>
      <c r="M209"/>
    </row>
    <row r="210" spans="1:215">
      <c r="A210" t="s">
        <v>443</v>
      </c>
      <c r="B210" t="s">
        <v>444</v>
      </c>
      <c r="C210" t="s">
        <v>67</v>
      </c>
      <c r="D210" t="s">
        <v>445</v>
      </c>
      <c r="E210" t="s">
        <v>209</v>
      </c>
      <c r="F210">
        <v>4773</v>
      </c>
      <c r="G210">
        <v>715.95</v>
      </c>
      <c r="H210">
        <v>5488.95</v>
      </c>
      <c r="I210">
        <v>23491</v>
      </c>
      <c r="J210" t="s">
        <v>442</v>
      </c>
      <c r="K210">
        <v>267</v>
      </c>
      <c r="L210" t="str">
        <f>Hyperlink("http://www.seavest.co.za/inv/fpdf16/inv-preview.php?Id=43132","Click for Invoice PDF")</f>
        <v>Click for Invoice PDF</v>
      </c>
      <c r="M210"/>
    </row>
    <row r="211" spans="1:215">
      <c r="A211" t="s">
        <v>446</v>
      </c>
      <c r="B211"/>
      <c r="C211" t="s">
        <v>67</v>
      </c>
      <c r="D211" t="s">
        <v>447</v>
      </c>
      <c r="E211" t="s">
        <v>209</v>
      </c>
      <c r="F211">
        <v>5428</v>
      </c>
      <c r="G211">
        <v>814.2</v>
      </c>
      <c r="H211">
        <v>6242.2</v>
      </c>
      <c r="I211">
        <v>23545</v>
      </c>
      <c r="J211" t="s">
        <v>442</v>
      </c>
      <c r="K211">
        <v>307</v>
      </c>
      <c r="L211" t="str">
        <f>Hyperlink("http://www.seavest.co.za/inv/fpdf16/inv-preview.php?Id=43169","Click for Invoice PDF")</f>
        <v>Click for Invoice PDF</v>
      </c>
      <c r="M211"/>
    </row>
    <row r="212" spans="1:215">
      <c r="A212" t="s">
        <v>448</v>
      </c>
      <c r="B212"/>
      <c r="C212" t="s">
        <v>67</v>
      </c>
      <c r="D212" t="s">
        <v>449</v>
      </c>
      <c r="E212" t="s">
        <v>183</v>
      </c>
      <c r="F212">
        <v>7259.5</v>
      </c>
      <c r="G212">
        <v>1088.93</v>
      </c>
      <c r="H212">
        <v>8348.43</v>
      </c>
      <c r="I212">
        <v>23592</v>
      </c>
      <c r="J212" t="s">
        <v>442</v>
      </c>
      <c r="K212">
        <v>276</v>
      </c>
      <c r="L212" t="str">
        <f>Hyperlink("http://www.seavest.co.za/inv/fpdf16/inv-preview.php?Id=43218","Click for Invoice PDF")</f>
        <v>Click for Invoice PDF</v>
      </c>
      <c r="M212"/>
    </row>
    <row r="213" spans="1:215">
      <c r="A213" t="s">
        <v>450</v>
      </c>
      <c r="B213"/>
      <c r="C213" t="s">
        <v>67</v>
      </c>
      <c r="D213" t="s">
        <v>451</v>
      </c>
      <c r="E213" t="s">
        <v>73</v>
      </c>
      <c r="F213">
        <v>3590.25</v>
      </c>
      <c r="G213">
        <v>538.54</v>
      </c>
      <c r="H213">
        <v>4128.79</v>
      </c>
      <c r="I213">
        <v>23593</v>
      </c>
      <c r="J213" t="s">
        <v>442</v>
      </c>
      <c r="K213">
        <v>276</v>
      </c>
      <c r="L213" t="str">
        <f>Hyperlink("http://www.seavest.co.za/inv/fpdf16/inv-preview.php?Id=43219","Click for Invoice PDF")</f>
        <v>Click for Invoice PDF</v>
      </c>
      <c r="M213"/>
    </row>
    <row r="214" spans="1:215">
      <c r="A214" t="s">
        <v>452</v>
      </c>
      <c r="B214"/>
      <c r="C214" t="s">
        <v>67</v>
      </c>
      <c r="D214" t="s">
        <v>453</v>
      </c>
      <c r="E214" t="s">
        <v>73</v>
      </c>
      <c r="F214">
        <v>5788.8</v>
      </c>
      <c r="G214">
        <v>868.3200000000001</v>
      </c>
      <c r="H214">
        <v>6657.12</v>
      </c>
      <c r="I214">
        <v>20933</v>
      </c>
      <c r="J214" t="s">
        <v>454</v>
      </c>
      <c r="K214">
        <v>579</v>
      </c>
      <c r="L214" t="str">
        <f>Hyperlink("http://www.seavest.co.za/inv/fpdf16/inv-preview.php?Id=40663","Click for Invoice PDF")</f>
        <v>Click for Invoice PDF</v>
      </c>
      <c r="M214"/>
    </row>
    <row r="215" spans="1:215">
      <c r="A215" t="s">
        <v>455</v>
      </c>
      <c r="B215"/>
      <c r="C215" t="s">
        <v>14</v>
      </c>
      <c r="D215" t="s">
        <v>456</v>
      </c>
      <c r="E215" t="s">
        <v>176</v>
      </c>
      <c r="F215">
        <v>23832.4</v>
      </c>
      <c r="G215">
        <v>3574.86</v>
      </c>
      <c r="H215">
        <v>27407.26</v>
      </c>
      <c r="I215">
        <v>25702</v>
      </c>
      <c r="J215" t="s">
        <v>457</v>
      </c>
      <c r="K215">
        <v>37</v>
      </c>
      <c r="L215" t="str">
        <f>Hyperlink("http://www.seavest.co.za/inv/fpdf16/inv-preview.php?Id=43394","Click for Invoice PDF")</f>
        <v>Click for Invoice PDF</v>
      </c>
      <c r="M215"/>
    </row>
    <row r="216" spans="1:215">
      <c r="A216" t="s">
        <v>458</v>
      </c>
      <c r="B216"/>
      <c r="C216" t="s">
        <v>67</v>
      </c>
      <c r="D216" t="s">
        <v>140</v>
      </c>
      <c r="E216" t="s">
        <v>82</v>
      </c>
      <c r="F216">
        <v>9858</v>
      </c>
      <c r="G216">
        <v>1478.7</v>
      </c>
      <c r="H216">
        <v>11336.7</v>
      </c>
      <c r="I216">
        <v>23704</v>
      </c>
      <c r="J216" t="s">
        <v>457</v>
      </c>
      <c r="K216">
        <v>247</v>
      </c>
      <c r="L216" t="str">
        <f>Hyperlink("http://www.seavest.co.za/inv/fpdf16/inv-preview.php?Id=43329","Click for Invoice PDF")</f>
        <v>Click for Invoice PDF</v>
      </c>
      <c r="M216"/>
    </row>
    <row r="217" spans="1:215">
      <c r="A217" t="s">
        <v>459</v>
      </c>
      <c r="B217"/>
      <c r="C217" t="s">
        <v>14</v>
      </c>
      <c r="D217" t="s">
        <v>460</v>
      </c>
      <c r="E217" t="s">
        <v>176</v>
      </c>
      <c r="F217">
        <v>4777.75</v>
      </c>
      <c r="G217">
        <v>716.66</v>
      </c>
      <c r="H217">
        <v>5494.41</v>
      </c>
      <c r="I217">
        <v>22248</v>
      </c>
      <c r="J217" t="s">
        <v>461</v>
      </c>
      <c r="K217">
        <v>467</v>
      </c>
      <c r="L217" t="str">
        <f>Hyperlink("http://www.seavest.co.za/inv/fpdf16/inv-preview.php?Id=41830","Click for Invoice PDF")</f>
        <v>Click for Invoice PDF</v>
      </c>
      <c r="M217"/>
    </row>
    <row r="218" spans="1:215">
      <c r="A218" t="s">
        <v>462</v>
      </c>
      <c r="B218"/>
      <c r="C218" t="s">
        <v>14</v>
      </c>
      <c r="D218" t="s">
        <v>30</v>
      </c>
      <c r="E218" t="s">
        <v>218</v>
      </c>
      <c r="F218">
        <v>37616.94</v>
      </c>
      <c r="G218">
        <v>5642.54</v>
      </c>
      <c r="H218">
        <v>43259.48</v>
      </c>
      <c r="I218">
        <v>21870</v>
      </c>
      <c r="J218" t="s">
        <v>463</v>
      </c>
      <c r="K218">
        <v>497</v>
      </c>
      <c r="L218" t="str">
        <f>Hyperlink("http://www.seavest.co.za/inv/fpdf16/inv-preview.php?Id=41436","Click for Invoice PDF")</f>
        <v>Click for Invoice PDF</v>
      </c>
      <c r="M218"/>
    </row>
    <row r="219" spans="1:215">
      <c r="A219" t="s">
        <v>464</v>
      </c>
      <c r="B219"/>
      <c r="C219" t="s">
        <v>14</v>
      </c>
      <c r="D219" t="s">
        <v>21</v>
      </c>
      <c r="E219" t="s">
        <v>176</v>
      </c>
      <c r="F219">
        <v>5264.2</v>
      </c>
      <c r="G219">
        <v>789.63</v>
      </c>
      <c r="H219">
        <v>6053.83</v>
      </c>
      <c r="I219">
        <v>24293</v>
      </c>
      <c r="J219" t="s">
        <v>465</v>
      </c>
      <c r="K219">
        <v>222</v>
      </c>
      <c r="L219" t="str">
        <f>Hyperlink("http://www.seavest.co.za/inv/fpdf16/inv-preview.php?Id=43796","Click for Invoice PDF")</f>
        <v>Click for Invoice PDF</v>
      </c>
      <c r="M219"/>
    </row>
    <row r="220" spans="1:215">
      <c r="A220" t="s">
        <v>466</v>
      </c>
      <c r="B220"/>
      <c r="C220" t="s">
        <v>14</v>
      </c>
      <c r="D220" t="s">
        <v>21</v>
      </c>
      <c r="E220" t="s">
        <v>176</v>
      </c>
      <c r="F220">
        <v>6691.62</v>
      </c>
      <c r="G220">
        <v>1003.74</v>
      </c>
      <c r="H220">
        <v>7695.36</v>
      </c>
      <c r="I220">
        <v>24865</v>
      </c>
      <c r="J220" t="s">
        <v>467</v>
      </c>
      <c r="K220">
        <v>126</v>
      </c>
      <c r="L220" t="str">
        <f>Hyperlink("http://www.seavest.co.za/inv/fpdf16/inv-preview.php?Id=43851","Click for Invoice PDF")</f>
        <v>Click for Invoice PDF</v>
      </c>
      <c r="M220"/>
    </row>
    <row r="221" spans="1:215">
      <c r="A221" t="s">
        <v>468</v>
      </c>
      <c r="B221"/>
      <c r="C221" t="s">
        <v>67</v>
      </c>
      <c r="D221" t="s">
        <v>237</v>
      </c>
      <c r="E221" t="s">
        <v>73</v>
      </c>
      <c r="F221">
        <v>0</v>
      </c>
      <c r="G221">
        <v>0</v>
      </c>
      <c r="H221">
        <v>0</v>
      </c>
      <c r="I221">
        <v>24473</v>
      </c>
      <c r="J221" t="s">
        <v>467</v>
      </c>
      <c r="K221">
        <v>152</v>
      </c>
      <c r="L221" t="str">
        <f>Hyperlink("http://www.seavest.co.za/inv/fpdf16/inv-preview.php?Id=43915","Click for Invoice PDF")</f>
        <v>Click for Invoice PDF</v>
      </c>
      <c r="M221"/>
    </row>
    <row r="222" spans="1:215">
      <c r="A222" t="s">
        <v>469</v>
      </c>
      <c r="B222"/>
      <c r="C222" t="s">
        <v>14</v>
      </c>
      <c r="D222" t="s">
        <v>470</v>
      </c>
      <c r="E222" t="s">
        <v>176</v>
      </c>
      <c r="F222">
        <v>22607.5</v>
      </c>
      <c r="G222">
        <v>3391.13</v>
      </c>
      <c r="H222">
        <v>25998.63</v>
      </c>
      <c r="I222">
        <v>25794</v>
      </c>
      <c r="J222" t="s">
        <v>471</v>
      </c>
      <c r="K222">
        <v>23</v>
      </c>
      <c r="L222" t="str">
        <f>Hyperlink("http://www.seavest.co.za/inv/fpdf16/inv-preview.php?Id=44887","Click for Invoice PDF")</f>
        <v>Click for Invoice PDF</v>
      </c>
      <c r="M222"/>
    </row>
    <row r="223" spans="1:215">
      <c r="A223" t="s">
        <v>472</v>
      </c>
      <c r="B223"/>
      <c r="C223" t="s">
        <v>14</v>
      </c>
      <c r="D223" t="s">
        <v>43</v>
      </c>
      <c r="E223" t="s">
        <v>176</v>
      </c>
      <c r="F223">
        <v>6483.59</v>
      </c>
      <c r="G223">
        <v>972.54</v>
      </c>
      <c r="H223">
        <v>7456.13</v>
      </c>
      <c r="I223">
        <v>25680</v>
      </c>
      <c r="J223" t="s">
        <v>471</v>
      </c>
      <c r="K223">
        <v>28</v>
      </c>
      <c r="L223" t="str">
        <f>Hyperlink("http://www.seavest.co.za/inv/fpdf16/inv-preview.php?Id=44960","Click for Invoice PDF")</f>
        <v>Click for Invoice PDF</v>
      </c>
      <c r="M223"/>
    </row>
    <row r="224" spans="1:215">
      <c r="A224" t="s">
        <v>473</v>
      </c>
      <c r="B224"/>
      <c r="C224" t="s">
        <v>67</v>
      </c>
      <c r="D224" t="s">
        <v>407</v>
      </c>
      <c r="E224" t="s">
        <v>218</v>
      </c>
      <c r="F224">
        <v>3544.38</v>
      </c>
      <c r="G224">
        <v>531.66</v>
      </c>
      <c r="H224">
        <v>4076.04</v>
      </c>
      <c r="I224">
        <v>25687</v>
      </c>
      <c r="J224" t="s">
        <v>471</v>
      </c>
      <c r="K224">
        <v>8</v>
      </c>
      <c r="L224" t="str">
        <f>Hyperlink("http://www.seavest.co.za/inv/fpdf16/inv-preview.php?Id=44964","Click for Invoice PDF")</f>
        <v>Click for Invoice PDF</v>
      </c>
      <c r="M224"/>
    </row>
    <row r="225" spans="1:215">
      <c r="A225" t="s">
        <v>474</v>
      </c>
      <c r="B225"/>
      <c r="C225" t="s">
        <v>14</v>
      </c>
      <c r="D225" t="s">
        <v>475</v>
      </c>
      <c r="E225" t="s">
        <v>176</v>
      </c>
      <c r="F225">
        <v>5412.19</v>
      </c>
      <c r="G225">
        <v>811.83</v>
      </c>
      <c r="H225">
        <v>6224.02</v>
      </c>
      <c r="I225">
        <v>25679</v>
      </c>
      <c r="J225" t="s">
        <v>471</v>
      </c>
      <c r="K225">
        <v>28</v>
      </c>
      <c r="L225" t="str">
        <f>Hyperlink("http://www.seavest.co.za/inv/fpdf16/inv-preview.php?Id=44961","Click for Invoice PDF")</f>
        <v>Click for Invoice PDF</v>
      </c>
      <c r="M225"/>
    </row>
    <row r="226" spans="1:215">
      <c r="A226" t="s">
        <v>476</v>
      </c>
      <c r="B226"/>
      <c r="C226" t="s">
        <v>67</v>
      </c>
      <c r="D226" t="s">
        <v>477</v>
      </c>
      <c r="E226" t="s">
        <v>259</v>
      </c>
      <c r="F226">
        <v>105071</v>
      </c>
      <c r="G226">
        <v>15760.65</v>
      </c>
      <c r="H226">
        <v>120831.65</v>
      </c>
      <c r="I226">
        <v>20775</v>
      </c>
      <c r="J226" t="s">
        <v>478</v>
      </c>
      <c r="K226">
        <v>678</v>
      </c>
      <c r="L226" t="str">
        <f>Hyperlink("http://www.seavest.co.za/inv/fpdf16/inv-preview.php?Id=40439","Click for Invoice PDF")</f>
        <v>Click for Invoice PDF</v>
      </c>
      <c r="M226"/>
    </row>
    <row r="227" spans="1:215">
      <c r="A227" t="s">
        <v>479</v>
      </c>
      <c r="B227"/>
      <c r="C227" t="s">
        <v>67</v>
      </c>
      <c r="D227" t="s">
        <v>480</v>
      </c>
      <c r="E227"/>
      <c r="F227">
        <v>7496.25</v>
      </c>
      <c r="G227">
        <v>1049.48</v>
      </c>
      <c r="H227">
        <v>8545.73</v>
      </c>
      <c r="I227">
        <v>23687</v>
      </c>
      <c r="J227" t="s">
        <v>481</v>
      </c>
      <c r="K227">
        <v>7</v>
      </c>
      <c r="L227" t="str">
        <f>Hyperlink("http://www.seavest.co.za/inv/fpdf16/inv-preview.php?Id=43196","Click for Invoice PDF")</f>
        <v>Click for Invoice PDF</v>
      </c>
      <c r="M227"/>
    </row>
    <row r="228" spans="1:215">
      <c r="A228" t="s">
        <v>482</v>
      </c>
      <c r="B228"/>
      <c r="C228" t="s">
        <v>67</v>
      </c>
      <c r="D228" t="s">
        <v>483</v>
      </c>
      <c r="E228" t="s">
        <v>209</v>
      </c>
      <c r="F228">
        <v>7849.85</v>
      </c>
      <c r="G228">
        <v>1098.98</v>
      </c>
      <c r="H228">
        <v>8948.83</v>
      </c>
      <c r="I228">
        <v>23418</v>
      </c>
      <c r="J228" t="s">
        <v>481</v>
      </c>
      <c r="K228">
        <v>7</v>
      </c>
      <c r="L228" t="str">
        <f>Hyperlink("http://www.seavest.co.za/inv/fpdf16/inv-preview.php?Id=42824","Click for Invoice PDF")</f>
        <v>Click for Invoice PDF</v>
      </c>
      <c r="M228"/>
    </row>
    <row r="229" spans="1:215">
      <c r="A229" t="s">
        <v>484</v>
      </c>
      <c r="B229"/>
      <c r="C229" t="s">
        <v>14</v>
      </c>
      <c r="D229" t="s">
        <v>28</v>
      </c>
      <c r="E229" t="s">
        <v>485</v>
      </c>
      <c r="F229">
        <v>3361.3</v>
      </c>
      <c r="G229">
        <v>504.2</v>
      </c>
      <c r="H229">
        <v>3865.5</v>
      </c>
      <c r="I229">
        <v>21048</v>
      </c>
      <c r="J229" t="s">
        <v>486</v>
      </c>
      <c r="K229">
        <v>616</v>
      </c>
      <c r="L229" t="str">
        <f>Hyperlink("http://www.seavest.co.za/inv/fpdf16/inv-preview.php?Id=40765","Click for Invoice PDF")</f>
        <v>Click for Invoice PDF</v>
      </c>
      <c r="M229"/>
    </row>
    <row r="230" spans="1:215">
      <c r="A230" t="s">
        <v>487</v>
      </c>
      <c r="B230"/>
      <c r="C230" t="s">
        <v>14</v>
      </c>
      <c r="D230" t="s">
        <v>488</v>
      </c>
      <c r="E230" t="s">
        <v>176</v>
      </c>
      <c r="F230">
        <v>5771.2</v>
      </c>
      <c r="G230">
        <v>865.6799999999999</v>
      </c>
      <c r="H230">
        <v>6636.88</v>
      </c>
      <c r="I230">
        <v>25076</v>
      </c>
      <c r="J230" t="s">
        <v>489</v>
      </c>
      <c r="K230">
        <v>126</v>
      </c>
      <c r="L230" t="str">
        <f>Hyperlink("http://www.seavest.co.za/inv/fpdf16/inv-preview.php?Id=44415","Click for Invoice PDF")</f>
        <v>Click for Invoice PDF</v>
      </c>
      <c r="M230"/>
    </row>
    <row r="231" spans="1:215">
      <c r="A231" t="s">
        <v>490</v>
      </c>
      <c r="B231"/>
      <c r="C231" t="s">
        <v>67</v>
      </c>
      <c r="D231" t="s">
        <v>162</v>
      </c>
      <c r="E231" t="s">
        <v>209</v>
      </c>
      <c r="F231">
        <v>750</v>
      </c>
      <c r="G231">
        <v>112.5</v>
      </c>
      <c r="H231">
        <v>862.5</v>
      </c>
      <c r="I231">
        <v>25070</v>
      </c>
      <c r="J231" t="s">
        <v>489</v>
      </c>
      <c r="K231">
        <v>126</v>
      </c>
      <c r="L231" t="str">
        <f>Hyperlink("http://www.seavest.co.za/inv/fpdf16/inv-preview.php?Id=44397","Click for Invoice PDF")</f>
        <v>Click for Invoice PDF</v>
      </c>
      <c r="M231"/>
    </row>
    <row r="232" spans="1:215">
      <c r="A232" t="s">
        <v>491</v>
      </c>
      <c r="B232"/>
      <c r="C232" t="s">
        <v>67</v>
      </c>
      <c r="D232" t="s">
        <v>447</v>
      </c>
      <c r="E232" t="s">
        <v>218</v>
      </c>
      <c r="F232">
        <v>1708.5</v>
      </c>
      <c r="G232">
        <v>256.28</v>
      </c>
      <c r="H232">
        <v>1964.78</v>
      </c>
      <c r="I232">
        <v>25075</v>
      </c>
      <c r="J232" t="s">
        <v>489</v>
      </c>
      <c r="K232">
        <v>126</v>
      </c>
      <c r="L232" t="str">
        <f>Hyperlink("http://www.seavest.co.za/inv/fpdf16/inv-preview.php?Id=44407","Click for Invoice PDF")</f>
        <v>Click for Invoice PDF</v>
      </c>
      <c r="M232"/>
    </row>
    <row r="233" spans="1:215">
      <c r="A233" t="s">
        <v>492</v>
      </c>
      <c r="B233"/>
      <c r="C233" t="s">
        <v>62</v>
      </c>
      <c r="D233" t="s">
        <v>493</v>
      </c>
      <c r="E233" t="s">
        <v>176</v>
      </c>
      <c r="F233">
        <v>2525.2</v>
      </c>
      <c r="G233">
        <v>378.78</v>
      </c>
      <c r="H233">
        <v>2903.98</v>
      </c>
      <c r="I233">
        <v>25078</v>
      </c>
      <c r="J233" t="s">
        <v>489</v>
      </c>
      <c r="K233">
        <v>126</v>
      </c>
      <c r="L233" t="str">
        <f>Hyperlink("http://www.seavest.co.za/inv/fpdf16/inv-preview.php?Id=44425","Click for Invoice PDF")</f>
        <v>Click for Invoice PDF</v>
      </c>
      <c r="M233"/>
    </row>
    <row r="234" spans="1:215">
      <c r="A234" t="s">
        <v>494</v>
      </c>
      <c r="B234"/>
      <c r="C234" t="s">
        <v>67</v>
      </c>
      <c r="D234" t="s">
        <v>72</v>
      </c>
      <c r="E234" t="s">
        <v>73</v>
      </c>
      <c r="F234">
        <v>3932.96</v>
      </c>
      <c r="G234">
        <v>589.9400000000001</v>
      </c>
      <c r="H234">
        <v>4522.9</v>
      </c>
      <c r="I234">
        <v>24298</v>
      </c>
      <c r="J234" t="s">
        <v>495</v>
      </c>
      <c r="K234">
        <v>222</v>
      </c>
      <c r="L234" t="str">
        <f>Hyperlink("http://www.seavest.co.za/inv/fpdf16/inv-preview.php?Id=43730","Click for Invoice PDF")</f>
        <v>Click for Invoice PDF</v>
      </c>
      <c r="M234"/>
    </row>
    <row r="235" spans="1:215">
      <c r="A235" t="s">
        <v>496</v>
      </c>
      <c r="B235"/>
      <c r="C235" t="s">
        <v>14</v>
      </c>
      <c r="D235" t="s">
        <v>497</v>
      </c>
      <c r="E235" t="s">
        <v>110</v>
      </c>
      <c r="F235">
        <v>8299.85</v>
      </c>
      <c r="G235">
        <v>1244.98</v>
      </c>
      <c r="H235">
        <v>9544.83</v>
      </c>
      <c r="I235">
        <v>21536</v>
      </c>
      <c r="J235" t="s">
        <v>498</v>
      </c>
      <c r="K235">
        <v>477</v>
      </c>
      <c r="L235" t="str">
        <f>Hyperlink("http://www.seavest.co.za/inv/fpdf16/inv-preview.php?Id=41128","Click for Invoice PDF")</f>
        <v>Click for Invoice PDF</v>
      </c>
      <c r="M235"/>
    </row>
    <row r="236" spans="1:215">
      <c r="A236" t="s">
        <v>499</v>
      </c>
      <c r="B236"/>
      <c r="C236" t="s">
        <v>67</v>
      </c>
      <c r="D236" t="s">
        <v>500</v>
      </c>
      <c r="E236" t="s">
        <v>183</v>
      </c>
      <c r="F236">
        <v>7127.32</v>
      </c>
      <c r="G236">
        <v>1069.1</v>
      </c>
      <c r="H236">
        <v>8196.42</v>
      </c>
      <c r="I236">
        <v>23379</v>
      </c>
      <c r="J236" t="s">
        <v>501</v>
      </c>
      <c r="K236">
        <v>329</v>
      </c>
      <c r="L236" t="str">
        <f>Hyperlink("http://www.seavest.co.za/inv/fpdf16/inv-preview.php?Id=42995","Click for Invoice PDF")</f>
        <v>Click for Invoice PDF</v>
      </c>
      <c r="M236"/>
    </row>
    <row r="237" spans="1:215">
      <c r="A237" t="s">
        <v>502</v>
      </c>
      <c r="B237"/>
      <c r="C237" t="s">
        <v>67</v>
      </c>
      <c r="D237" t="s">
        <v>134</v>
      </c>
      <c r="E237" t="s">
        <v>73</v>
      </c>
      <c r="F237">
        <v>6763.8</v>
      </c>
      <c r="G237">
        <v>1014.57</v>
      </c>
      <c r="H237">
        <v>7778.37</v>
      </c>
      <c r="I237">
        <v>23976</v>
      </c>
      <c r="J237" t="s">
        <v>503</v>
      </c>
      <c r="K237">
        <v>246</v>
      </c>
      <c r="L237" t="str">
        <f>Hyperlink("http://www.seavest.co.za/inv/fpdf16/inv-preview.php?Id=43364","Click for Invoice PDF")</f>
        <v>Click for Invoice PDF</v>
      </c>
      <c r="M237"/>
    </row>
    <row r="238" spans="1:215">
      <c r="A238" t="s">
        <v>504</v>
      </c>
      <c r="B238"/>
      <c r="C238" t="s">
        <v>67</v>
      </c>
      <c r="D238" t="s">
        <v>505</v>
      </c>
      <c r="E238" t="s">
        <v>82</v>
      </c>
      <c r="F238">
        <v>14325.27</v>
      </c>
      <c r="G238">
        <v>2005.54</v>
      </c>
      <c r="H238">
        <v>16330.81</v>
      </c>
      <c r="I238">
        <v>25246</v>
      </c>
      <c r="J238" t="s">
        <v>506</v>
      </c>
      <c r="K238">
        <v>3</v>
      </c>
      <c r="L238" t="str">
        <f>Hyperlink("http://www.seavest.co.za/inv/fpdf16/inv-preview.php?Id=44569","Click for Invoice PDF")</f>
        <v>Click for Invoice PDF</v>
      </c>
      <c r="M238"/>
    </row>
    <row r="239" spans="1:215">
      <c r="A239" t="s">
        <v>507</v>
      </c>
      <c r="B239"/>
      <c r="C239" t="s">
        <v>67</v>
      </c>
      <c r="D239" t="s">
        <v>505</v>
      </c>
      <c r="E239" t="s">
        <v>73</v>
      </c>
      <c r="F239">
        <v>5345.42</v>
      </c>
      <c r="G239">
        <v>748.36</v>
      </c>
      <c r="H239">
        <v>6093.78</v>
      </c>
      <c r="I239">
        <v>25250</v>
      </c>
      <c r="J239" t="s">
        <v>506</v>
      </c>
      <c r="K239">
        <v>2</v>
      </c>
      <c r="L239" t="str">
        <f>Hyperlink("http://www.seavest.co.za/inv/fpdf16/inv-preview.php?Id=44579","Click for Invoice PDF")</f>
        <v>Click for Invoice PDF</v>
      </c>
      <c r="M239"/>
    </row>
    <row r="240" spans="1:215">
      <c r="A240" t="s">
        <v>508</v>
      </c>
      <c r="B240" t="s">
        <v>509</v>
      </c>
      <c r="C240" t="s">
        <v>67</v>
      </c>
      <c r="D240" t="s">
        <v>95</v>
      </c>
      <c r="E240" t="s">
        <v>183</v>
      </c>
      <c r="F240">
        <v>4443.6</v>
      </c>
      <c r="G240">
        <v>666.54</v>
      </c>
      <c r="H240">
        <v>5110.14</v>
      </c>
      <c r="I240">
        <v>21037</v>
      </c>
      <c r="J240" t="s">
        <v>510</v>
      </c>
      <c r="K240">
        <v>520</v>
      </c>
      <c r="L240" t="str">
        <f>Hyperlink("http://www.seavest.co.za/inv/fpdf16/inv-preview.php?Id=40740","Click for Invoice PDF")</f>
        <v>Click for Invoice PDF</v>
      </c>
      <c r="M240"/>
    </row>
    <row r="241" spans="1:215">
      <c r="A241" t="s">
        <v>511</v>
      </c>
      <c r="B241"/>
      <c r="C241" t="s">
        <v>67</v>
      </c>
      <c r="D241" t="s">
        <v>95</v>
      </c>
      <c r="E241" t="s">
        <v>259</v>
      </c>
      <c r="F241">
        <v>5568</v>
      </c>
      <c r="G241">
        <v>835.2</v>
      </c>
      <c r="H241">
        <v>6403.2</v>
      </c>
      <c r="I241">
        <v>24085</v>
      </c>
      <c r="J241" t="s">
        <v>512</v>
      </c>
      <c r="K241">
        <v>218</v>
      </c>
      <c r="L241" t="str">
        <f>Hyperlink("http://www.seavest.co.za/inv/fpdf16/inv-preview.php?Id=42622","Click for Invoice PDF")</f>
        <v>Click for Invoice PDF</v>
      </c>
      <c r="M241"/>
    </row>
    <row r="242" spans="1:215">
      <c r="A242" t="s">
        <v>513</v>
      </c>
      <c r="B242"/>
      <c r="C242" t="s">
        <v>67</v>
      </c>
      <c r="D242" t="s">
        <v>514</v>
      </c>
      <c r="E242" t="s">
        <v>73</v>
      </c>
      <c r="F242">
        <v>2131.42</v>
      </c>
      <c r="G242">
        <v>319.71</v>
      </c>
      <c r="H242">
        <v>2451.13</v>
      </c>
      <c r="I242">
        <v>24832</v>
      </c>
      <c r="J242" t="s">
        <v>515</v>
      </c>
      <c r="K242">
        <v>132</v>
      </c>
      <c r="L242" t="str">
        <f>Hyperlink("http://www.seavest.co.za/inv/fpdf16/inv-preview.php?Id=44184","Click for Invoice PDF")</f>
        <v>Click for Invoice PDF</v>
      </c>
      <c r="M242"/>
    </row>
    <row r="243" spans="1:215">
      <c r="A243" t="s">
        <v>516</v>
      </c>
      <c r="B243"/>
      <c r="C243" t="s">
        <v>67</v>
      </c>
      <c r="D243" t="s">
        <v>202</v>
      </c>
      <c r="E243" t="s">
        <v>183</v>
      </c>
      <c r="F243">
        <v>14436.16</v>
      </c>
      <c r="G243">
        <v>2165.42</v>
      </c>
      <c r="H243">
        <v>16601.58</v>
      </c>
      <c r="I243">
        <v>22791</v>
      </c>
      <c r="J243" t="s">
        <v>517</v>
      </c>
      <c r="K243">
        <v>309</v>
      </c>
      <c r="L243" t="str">
        <f>Hyperlink("http://www.seavest.co.za/inv/fpdf16/inv-preview.php?Id=42336","Click for Invoice PDF")</f>
        <v>Click for Invoice PDF</v>
      </c>
      <c r="M243"/>
    </row>
    <row r="244" spans="1:215">
      <c r="A244" t="s">
        <v>518</v>
      </c>
      <c r="B244"/>
      <c r="C244" t="s">
        <v>67</v>
      </c>
      <c r="D244" t="s">
        <v>519</v>
      </c>
      <c r="E244" t="s">
        <v>183</v>
      </c>
      <c r="F244">
        <v>9747</v>
      </c>
      <c r="G244">
        <v>1364.58</v>
      </c>
      <c r="H244">
        <v>11111.58</v>
      </c>
      <c r="I244">
        <v>21193</v>
      </c>
      <c r="J244" t="s">
        <v>520</v>
      </c>
      <c r="K244">
        <v>29</v>
      </c>
      <c r="L244" t="str">
        <f>Hyperlink("http://www.seavest.co.za/inv/fpdf16/inv-preview.php?Id=40810","Click for Invoice PDF")</f>
        <v>Click for Invoice PDF</v>
      </c>
      <c r="M244"/>
    </row>
    <row r="245" spans="1:215">
      <c r="A245" t="s">
        <v>521</v>
      </c>
      <c r="B245" t="s">
        <v>522</v>
      </c>
      <c r="C245" t="s">
        <v>14</v>
      </c>
      <c r="D245" t="s">
        <v>345</v>
      </c>
      <c r="E245" t="s">
        <v>176</v>
      </c>
      <c r="F245">
        <v>8331.24</v>
      </c>
      <c r="G245">
        <v>1249.69</v>
      </c>
      <c r="H245">
        <v>9580.93</v>
      </c>
      <c r="I245">
        <v>25466</v>
      </c>
      <c r="J245" t="s">
        <v>523</v>
      </c>
      <c r="K245">
        <v>1</v>
      </c>
      <c r="L245" t="str">
        <f>Hyperlink("http://www.seavest.co.za/inv/fpdf16/inv-preview.php?Id=44768","Click for Invoice PDF")</f>
        <v>Click for Invoice PDF</v>
      </c>
      <c r="M245"/>
    </row>
    <row r="246" spans="1:215">
      <c r="A246" t="s">
        <v>524</v>
      </c>
      <c r="B246"/>
      <c r="C246" t="s">
        <v>14</v>
      </c>
      <c r="D246" t="s">
        <v>41</v>
      </c>
      <c r="E246" t="s">
        <v>176</v>
      </c>
      <c r="F246">
        <v>5727.76</v>
      </c>
      <c r="G246">
        <v>859.16</v>
      </c>
      <c r="H246">
        <v>6586.92</v>
      </c>
      <c r="I246">
        <v>25467</v>
      </c>
      <c r="J246" t="s">
        <v>523</v>
      </c>
      <c r="K246">
        <v>62</v>
      </c>
      <c r="L246" t="str">
        <f>Hyperlink("http://www.seavest.co.za/inv/fpdf16/inv-preview.php?Id=44775","Click for Invoice PDF")</f>
        <v>Click for Invoice PDF</v>
      </c>
      <c r="M246"/>
    </row>
    <row r="247" spans="1:215">
      <c r="A247" t="s">
        <v>525</v>
      </c>
      <c r="B247"/>
      <c r="C247" t="s">
        <v>67</v>
      </c>
      <c r="D247" t="s">
        <v>526</v>
      </c>
      <c r="E247"/>
      <c r="F247">
        <v>9999999.99</v>
      </c>
      <c r="G247">
        <v>2061.77</v>
      </c>
      <c r="H247">
        <v>16788.71</v>
      </c>
      <c r="I247">
        <v>25463</v>
      </c>
      <c r="J247" t="s">
        <v>523</v>
      </c>
      <c r="K247">
        <v>3</v>
      </c>
      <c r="L247" t="str">
        <f>Hyperlink("http://www.seavest.co.za/inv/fpdf16/inv-preview.php?Id=44735","Click for Invoice PDF")</f>
        <v>Click for Invoice PDF</v>
      </c>
      <c r="M247"/>
    </row>
    <row r="248" spans="1:215">
      <c r="A248" t="s">
        <v>527</v>
      </c>
      <c r="B248"/>
      <c r="C248" t="s">
        <v>14</v>
      </c>
      <c r="D248" t="s">
        <v>528</v>
      </c>
      <c r="E248" t="s">
        <v>176</v>
      </c>
      <c r="F248">
        <v>44638.3</v>
      </c>
      <c r="G248">
        <v>6695.75</v>
      </c>
      <c r="H248">
        <v>51334.05</v>
      </c>
      <c r="I248">
        <v>25217</v>
      </c>
      <c r="J248" t="s">
        <v>523</v>
      </c>
      <c r="K248">
        <v>62</v>
      </c>
      <c r="L248" t="str">
        <f>Hyperlink("http://www.seavest.co.za/inv/fpdf16/inv-preview.php?Id=44526","Click for Invoice PDF")</f>
        <v>Click for Invoice PDF</v>
      </c>
      <c r="M248"/>
    </row>
    <row r="249" spans="1:215">
      <c r="A249" t="s">
        <v>529</v>
      </c>
      <c r="B249"/>
      <c r="C249" t="s">
        <v>67</v>
      </c>
      <c r="D249" t="s">
        <v>413</v>
      </c>
      <c r="E249" t="s">
        <v>73</v>
      </c>
      <c r="F249">
        <v>0</v>
      </c>
      <c r="G249">
        <v>0</v>
      </c>
      <c r="H249">
        <v>0</v>
      </c>
      <c r="I249">
        <v>23052</v>
      </c>
      <c r="J249" t="s">
        <v>530</v>
      </c>
      <c r="K249">
        <v>280</v>
      </c>
      <c r="L249" t="str">
        <f>Hyperlink("http://www.seavest.co.za/inv/fpdf16/inv-preview.php?Id=42116","Click for Invoice PDF")</f>
        <v>Click for Invoice PDF</v>
      </c>
      <c r="M249"/>
    </row>
    <row r="250" spans="1:215">
      <c r="A250" t="s">
        <v>531</v>
      </c>
      <c r="B250"/>
      <c r="C250" t="s">
        <v>67</v>
      </c>
      <c r="D250" t="s">
        <v>532</v>
      </c>
      <c r="E250" t="s">
        <v>183</v>
      </c>
      <c r="F250">
        <v>9024.9</v>
      </c>
      <c r="G250">
        <v>1353.74</v>
      </c>
      <c r="H250">
        <v>10378.64</v>
      </c>
      <c r="I250">
        <v>22200</v>
      </c>
      <c r="J250" t="s">
        <v>533</v>
      </c>
      <c r="K250">
        <v>463</v>
      </c>
      <c r="L250" t="str">
        <f>Hyperlink("http://www.seavest.co.za/inv/fpdf16/inv-preview.php?Id=41809","Click for Invoice PDF")</f>
        <v>Click for Invoice PDF</v>
      </c>
      <c r="M250"/>
    </row>
    <row r="251" spans="1:215">
      <c r="A251" t="s">
        <v>534</v>
      </c>
      <c r="B251"/>
      <c r="C251" t="s">
        <v>67</v>
      </c>
      <c r="D251" t="s">
        <v>68</v>
      </c>
      <c r="E251" t="s">
        <v>209</v>
      </c>
      <c r="F251">
        <v>9936.5</v>
      </c>
      <c r="G251">
        <v>1490.48</v>
      </c>
      <c r="H251">
        <v>11426.98</v>
      </c>
      <c r="I251">
        <v>22211</v>
      </c>
      <c r="J251" t="s">
        <v>533</v>
      </c>
      <c r="K251">
        <v>463</v>
      </c>
      <c r="L251" t="str">
        <f>Hyperlink("http://www.seavest.co.za/inv/fpdf16/inv-preview.php?Id=41818","Click for Invoice PDF")</f>
        <v>Click for Invoice PDF</v>
      </c>
      <c r="M251"/>
    </row>
    <row r="252" spans="1:215">
      <c r="A252" t="s">
        <v>535</v>
      </c>
      <c r="B252"/>
      <c r="C252" t="s">
        <v>67</v>
      </c>
      <c r="D252" t="s">
        <v>536</v>
      </c>
      <c r="E252" t="s">
        <v>82</v>
      </c>
      <c r="F252">
        <v>5075.08</v>
      </c>
      <c r="G252">
        <v>0</v>
      </c>
      <c r="H252">
        <v>5075.08</v>
      </c>
      <c r="I252">
        <v>0</v>
      </c>
      <c r="J252" t="s">
        <v>537</v>
      </c>
      <c r="K252">
        <v>92</v>
      </c>
      <c r="L252" t="str">
        <f>Hyperlink("http://www.seavest.co.za/inv/fpdf16/inv-preview.php?Id=44573","Click for Invoice PDF")</f>
        <v>Click for Invoice PDF</v>
      </c>
      <c r="M252"/>
    </row>
    <row r="253" spans="1:215">
      <c r="A253" t="s">
        <v>538</v>
      </c>
      <c r="B253"/>
      <c r="C253" t="s">
        <v>67</v>
      </c>
      <c r="D253" t="s">
        <v>539</v>
      </c>
      <c r="E253"/>
      <c r="F253">
        <v>15146.72</v>
      </c>
      <c r="G253">
        <v>2120.54</v>
      </c>
      <c r="H253">
        <v>17267.26</v>
      </c>
      <c r="I253">
        <v>25256</v>
      </c>
      <c r="J253" t="s">
        <v>537</v>
      </c>
      <c r="K253">
        <v>4</v>
      </c>
      <c r="L253" t="str">
        <f>Hyperlink("http://www.seavest.co.za/inv/fpdf16/inv-preview.php?Id=44285","Click for Invoice PDF")</f>
        <v>Click for Invoice PDF</v>
      </c>
      <c r="M253"/>
    </row>
    <row r="254" spans="1:215">
      <c r="A254" t="s">
        <v>540</v>
      </c>
      <c r="B254"/>
      <c r="C254" t="s">
        <v>67</v>
      </c>
      <c r="D254" t="s">
        <v>173</v>
      </c>
      <c r="E254" t="s">
        <v>218</v>
      </c>
      <c r="F254">
        <v>8245.4</v>
      </c>
      <c r="G254">
        <v>1236.81</v>
      </c>
      <c r="H254">
        <v>9482.209999999999</v>
      </c>
      <c r="I254">
        <v>21894</v>
      </c>
      <c r="J254" t="s">
        <v>541</v>
      </c>
      <c r="K254">
        <v>493</v>
      </c>
      <c r="L254" t="str">
        <f>Hyperlink("http://www.seavest.co.za/inv/fpdf16/inv-preview.php?Id=41464","Click for Invoice PDF")</f>
        <v>Click for Invoice PDF</v>
      </c>
      <c r="M254"/>
    </row>
    <row r="255" spans="1:215">
      <c r="A255" t="s">
        <v>542</v>
      </c>
      <c r="B255"/>
      <c r="C255" t="s">
        <v>67</v>
      </c>
      <c r="D255" t="s">
        <v>543</v>
      </c>
      <c r="E255" t="s">
        <v>73</v>
      </c>
      <c r="F255">
        <v>12471.6</v>
      </c>
      <c r="G255">
        <v>1870.74</v>
      </c>
      <c r="H255">
        <v>14342.34</v>
      </c>
      <c r="I255">
        <v>21269</v>
      </c>
      <c r="J255" t="s">
        <v>544</v>
      </c>
      <c r="K255">
        <v>7</v>
      </c>
      <c r="L255" t="str">
        <f>Hyperlink("http://www.seavest.co.za/inv/fpdf16/inv-preview.php?Id=40929","Click for Invoice PDF")</f>
        <v>Click for Invoice PDF</v>
      </c>
      <c r="M255"/>
    </row>
    <row r="256" spans="1:215">
      <c r="A256" t="s">
        <v>545</v>
      </c>
      <c r="B256"/>
      <c r="C256" t="s">
        <v>67</v>
      </c>
      <c r="D256" t="s">
        <v>546</v>
      </c>
      <c r="E256" t="s">
        <v>209</v>
      </c>
      <c r="F256">
        <v>818.6</v>
      </c>
      <c r="G256">
        <v>122.79</v>
      </c>
      <c r="H256">
        <v>941.39</v>
      </c>
      <c r="I256">
        <v>21317</v>
      </c>
      <c r="J256" t="s">
        <v>544</v>
      </c>
      <c r="K256">
        <v>586</v>
      </c>
      <c r="L256" t="str">
        <f>Hyperlink("http://www.seavest.co.za/inv/fpdf16/inv-preview.php?Id=40911","Click for Invoice PDF")</f>
        <v>Click for Invoice PDF</v>
      </c>
      <c r="M256"/>
    </row>
    <row r="257" spans="1:215">
      <c r="A257" t="s">
        <v>547</v>
      </c>
      <c r="B257"/>
      <c r="C257" t="s">
        <v>67</v>
      </c>
      <c r="D257" t="s">
        <v>548</v>
      </c>
      <c r="E257" t="s">
        <v>259</v>
      </c>
      <c r="F257">
        <v>2056.6</v>
      </c>
      <c r="G257">
        <v>308.49</v>
      </c>
      <c r="H257">
        <v>2365.09</v>
      </c>
      <c r="I257">
        <v>21318</v>
      </c>
      <c r="J257" t="s">
        <v>544</v>
      </c>
      <c r="K257">
        <v>539</v>
      </c>
      <c r="L257" t="str">
        <f>Hyperlink("http://www.seavest.co.za/inv/fpdf16/inv-preview.php?Id=40940","Click for Invoice PDF")</f>
        <v>Click for Invoice PDF</v>
      </c>
      <c r="M257"/>
    </row>
    <row r="258" spans="1:215">
      <c r="A258" t="s">
        <v>549</v>
      </c>
      <c r="B258"/>
      <c r="C258" t="s">
        <v>67</v>
      </c>
      <c r="D258" t="s">
        <v>550</v>
      </c>
      <c r="E258" t="s">
        <v>196</v>
      </c>
      <c r="F258">
        <v>8841.85</v>
      </c>
      <c r="G258">
        <v>1326.28</v>
      </c>
      <c r="H258">
        <v>10168.13</v>
      </c>
      <c r="I258">
        <v>23157</v>
      </c>
      <c r="J258" t="s">
        <v>551</v>
      </c>
      <c r="K258">
        <v>260</v>
      </c>
      <c r="L258" t="str">
        <f>Hyperlink("http://www.seavest.co.za/inv/fpdf16/inv-preview.php?Id=42692","Click for Invoice PDF")</f>
        <v>Click for Invoice PDF</v>
      </c>
      <c r="M258"/>
    </row>
    <row r="259" spans="1:215">
      <c r="A259" t="s">
        <v>552</v>
      </c>
      <c r="B259"/>
      <c r="C259" t="s">
        <v>67</v>
      </c>
      <c r="D259" t="s">
        <v>407</v>
      </c>
      <c r="E259" t="s">
        <v>218</v>
      </c>
      <c r="F259">
        <v>5654.3</v>
      </c>
      <c r="G259">
        <v>848.15</v>
      </c>
      <c r="H259">
        <v>6502.45</v>
      </c>
      <c r="I259">
        <v>25696</v>
      </c>
      <c r="J259" t="s">
        <v>553</v>
      </c>
      <c r="K259">
        <v>8</v>
      </c>
      <c r="L259" t="str">
        <f>Hyperlink("http://www.seavest.co.za/inv/fpdf16/inv-preview.php?Id=44967","Click for Invoice PDF")</f>
        <v>Click for Invoice PDF</v>
      </c>
      <c r="M259"/>
    </row>
    <row r="260" spans="1:215">
      <c r="A260" t="s">
        <v>554</v>
      </c>
      <c r="B260"/>
      <c r="C260" t="s">
        <v>67</v>
      </c>
      <c r="D260" t="s">
        <v>555</v>
      </c>
      <c r="E260" t="s">
        <v>218</v>
      </c>
      <c r="F260">
        <v>9999999.99</v>
      </c>
      <c r="G260">
        <v>1770.45</v>
      </c>
      <c r="H260">
        <v>13573.45</v>
      </c>
      <c r="I260">
        <v>25788</v>
      </c>
      <c r="J260" t="s">
        <v>553</v>
      </c>
      <c r="K260">
        <v>14</v>
      </c>
      <c r="L260" t="str">
        <f>Hyperlink("http://www.seavest.co.za/inv/fpdf16/inv-preview.php?Id=44962","Click for Invoice PDF")</f>
        <v>Click for Invoice PDF</v>
      </c>
      <c r="M260"/>
    </row>
    <row r="261" spans="1:215">
      <c r="A261" t="s">
        <v>556</v>
      </c>
      <c r="B261"/>
      <c r="C261" t="s">
        <v>14</v>
      </c>
      <c r="D261" t="s">
        <v>557</v>
      </c>
      <c r="E261" t="s">
        <v>176</v>
      </c>
      <c r="F261">
        <v>9999999.99</v>
      </c>
      <c r="G261">
        <v>1944.13</v>
      </c>
      <c r="H261">
        <v>14904.97</v>
      </c>
      <c r="I261">
        <v>25689</v>
      </c>
      <c r="J261" t="s">
        <v>553</v>
      </c>
      <c r="K261">
        <v>28</v>
      </c>
      <c r="L261" t="str">
        <f>Hyperlink("http://www.seavest.co.za/inv/fpdf16/inv-preview.php?Id=44954","Click for Invoice PDF")</f>
        <v>Click for Invoice PDF</v>
      </c>
      <c r="M261"/>
    </row>
    <row r="262" spans="1:215">
      <c r="A262" t="s">
        <v>558</v>
      </c>
      <c r="B262"/>
      <c r="C262" t="s">
        <v>67</v>
      </c>
      <c r="D262" t="s">
        <v>559</v>
      </c>
      <c r="E262" t="s">
        <v>259</v>
      </c>
      <c r="F262">
        <v>5535.2</v>
      </c>
      <c r="G262">
        <v>830.28</v>
      </c>
      <c r="H262">
        <v>6365.48</v>
      </c>
      <c r="I262">
        <v>21470</v>
      </c>
      <c r="J262" t="s">
        <v>560</v>
      </c>
      <c r="K262">
        <v>551</v>
      </c>
      <c r="L262" t="str">
        <f>Hyperlink("http://www.seavest.co.za/inv/fpdf16/inv-preview.php?Id=40357","Click for Invoice PDF")</f>
        <v>Click for Invoice PDF</v>
      </c>
      <c r="M262"/>
    </row>
    <row r="263" spans="1:215">
      <c r="A263" t="s">
        <v>561</v>
      </c>
      <c r="B263" t="s">
        <v>562</v>
      </c>
      <c r="C263" t="s">
        <v>67</v>
      </c>
      <c r="D263" t="s">
        <v>212</v>
      </c>
      <c r="E263" t="s">
        <v>183</v>
      </c>
      <c r="F263">
        <v>6002</v>
      </c>
      <c r="G263">
        <v>900.3</v>
      </c>
      <c r="H263">
        <v>6902.3</v>
      </c>
      <c r="I263">
        <v>21520</v>
      </c>
      <c r="J263" t="s">
        <v>560</v>
      </c>
      <c r="K263">
        <v>537</v>
      </c>
      <c r="L263" t="str">
        <f>Hyperlink("http://www.seavest.co.za/inv/fpdf16/inv-preview.php?Id=41058","Click for Invoice PDF")</f>
        <v>Click for Invoice PDF</v>
      </c>
      <c r="M263"/>
    </row>
    <row r="264" spans="1:215">
      <c r="A264" t="s">
        <v>563</v>
      </c>
      <c r="B264"/>
      <c r="C264" t="s">
        <v>67</v>
      </c>
      <c r="D264" t="s">
        <v>72</v>
      </c>
      <c r="E264" t="s">
        <v>73</v>
      </c>
      <c r="F264">
        <v>12839.52</v>
      </c>
      <c r="G264">
        <v>1797.53</v>
      </c>
      <c r="H264">
        <v>14637.05</v>
      </c>
      <c r="I264">
        <v>25475</v>
      </c>
      <c r="J264" t="s">
        <v>564</v>
      </c>
      <c r="K264">
        <v>3</v>
      </c>
      <c r="L264" t="str">
        <f>Hyperlink("http://www.seavest.co.za/inv/fpdf16/inv-preview.php?Id=44773","Click for Invoice PDF")</f>
        <v>Click for Invoice PDF</v>
      </c>
      <c r="M264"/>
    </row>
    <row r="265" spans="1:215">
      <c r="A265" t="s">
        <v>565</v>
      </c>
      <c r="B265"/>
      <c r="C265" t="s">
        <v>67</v>
      </c>
      <c r="D265" t="s">
        <v>566</v>
      </c>
      <c r="E265" t="s">
        <v>73</v>
      </c>
      <c r="F265">
        <v>5612.36</v>
      </c>
      <c r="G265">
        <v>841.85</v>
      </c>
      <c r="H265">
        <v>6454.21</v>
      </c>
      <c r="I265">
        <v>25473</v>
      </c>
      <c r="J265" t="s">
        <v>564</v>
      </c>
      <c r="K265">
        <v>57</v>
      </c>
      <c r="L265" t="str">
        <f>Hyperlink("http://www.seavest.co.za/inv/fpdf16/inv-preview.php?Id=44754","Click for Invoice PDF")</f>
        <v>Click for Invoice PDF</v>
      </c>
      <c r="M265"/>
    </row>
    <row r="266" spans="1:215">
      <c r="A266" t="s">
        <v>567</v>
      </c>
      <c r="B266"/>
      <c r="C266" t="s">
        <v>14</v>
      </c>
      <c r="D266" t="s">
        <v>568</v>
      </c>
      <c r="E266" t="s">
        <v>176</v>
      </c>
      <c r="F266">
        <v>1083.5</v>
      </c>
      <c r="G266">
        <v>162.53</v>
      </c>
      <c r="H266">
        <v>1246.03</v>
      </c>
      <c r="I266">
        <v>23434</v>
      </c>
      <c r="J266" t="s">
        <v>569</v>
      </c>
      <c r="K266">
        <v>309</v>
      </c>
      <c r="L266" t="str">
        <f>Hyperlink("http://www.seavest.co.za/inv/fpdf16/inv-preview.php?Id=43054","Click for Invoice PDF")</f>
        <v>Click for Invoice PDF</v>
      </c>
      <c r="M266"/>
    </row>
    <row r="267" spans="1:215">
      <c r="A267" t="s">
        <v>570</v>
      </c>
      <c r="B267"/>
      <c r="C267" t="s">
        <v>67</v>
      </c>
      <c r="D267" t="s">
        <v>571</v>
      </c>
      <c r="E267" t="s">
        <v>183</v>
      </c>
      <c r="F267">
        <v>0</v>
      </c>
      <c r="G267">
        <v>0</v>
      </c>
      <c r="H267">
        <v>0</v>
      </c>
      <c r="I267">
        <v>22272</v>
      </c>
      <c r="J267" t="s">
        <v>572</v>
      </c>
      <c r="K267">
        <v>279</v>
      </c>
      <c r="L267" t="str">
        <f>Hyperlink("http://www.seavest.co.za/inv/fpdf16/inv-preview.php?Id=41859","Click for Invoice PDF")</f>
        <v>Click for Invoice PDF</v>
      </c>
      <c r="M267"/>
    </row>
    <row r="268" spans="1:215">
      <c r="A268" t="s">
        <v>573</v>
      </c>
      <c r="B268"/>
      <c r="C268" t="s">
        <v>67</v>
      </c>
      <c r="D268" t="s">
        <v>114</v>
      </c>
      <c r="E268" t="s">
        <v>73</v>
      </c>
      <c r="F268">
        <v>8538.719999999999</v>
      </c>
      <c r="G268">
        <v>1280.81</v>
      </c>
      <c r="H268">
        <v>9819.530000000001</v>
      </c>
      <c r="I268">
        <v>23727</v>
      </c>
      <c r="J268" t="s">
        <v>572</v>
      </c>
      <c r="K268">
        <v>277</v>
      </c>
      <c r="L268" t="str">
        <f>Hyperlink("http://www.seavest.co.za/inv/fpdf16/inv-preview.php?Id=43156","Click for Invoice PDF")</f>
        <v>Click for Invoice PDF</v>
      </c>
      <c r="M268"/>
    </row>
    <row r="269" spans="1:215">
      <c r="A269" t="s">
        <v>574</v>
      </c>
      <c r="B269"/>
      <c r="C269" t="s">
        <v>67</v>
      </c>
      <c r="D269" t="s">
        <v>130</v>
      </c>
      <c r="E269" t="s">
        <v>73</v>
      </c>
      <c r="F269">
        <v>2885.08</v>
      </c>
      <c r="G269">
        <v>432.76</v>
      </c>
      <c r="H269">
        <v>3317.84</v>
      </c>
      <c r="I269">
        <v>25260</v>
      </c>
      <c r="J269" t="s">
        <v>575</v>
      </c>
      <c r="K269">
        <v>90</v>
      </c>
      <c r="L269" t="str">
        <f>Hyperlink("http://www.seavest.co.za/inv/fpdf16/inv-preview.php?Id=44582","Click for Invoice PDF")</f>
        <v>Click for Invoice PDF</v>
      </c>
      <c r="M269"/>
    </row>
    <row r="270" spans="1:215">
      <c r="A270" t="s">
        <v>576</v>
      </c>
      <c r="B270"/>
      <c r="C270" t="s">
        <v>14</v>
      </c>
      <c r="D270" t="s">
        <v>24</v>
      </c>
      <c r="E270" t="s">
        <v>176</v>
      </c>
      <c r="F270">
        <v>5465</v>
      </c>
      <c r="G270">
        <v>819.75</v>
      </c>
      <c r="H270">
        <v>6284.75</v>
      </c>
      <c r="I270">
        <v>25065</v>
      </c>
      <c r="J270" t="s">
        <v>577</v>
      </c>
      <c r="K270">
        <v>127</v>
      </c>
      <c r="L270" t="str">
        <f>Hyperlink("http://www.seavest.co.za/inv/fpdf16/inv-preview.php?Id=44410","Click for Invoice PDF")</f>
        <v>Click for Invoice PDF</v>
      </c>
      <c r="M270"/>
    </row>
    <row r="271" spans="1:215">
      <c r="A271" t="s">
        <v>578</v>
      </c>
      <c r="B271"/>
      <c r="C271" t="s">
        <v>67</v>
      </c>
      <c r="D271" t="s">
        <v>114</v>
      </c>
      <c r="E271" t="s">
        <v>209</v>
      </c>
      <c r="F271">
        <v>3911.56</v>
      </c>
      <c r="G271">
        <v>586.73</v>
      </c>
      <c r="H271">
        <v>4498.29</v>
      </c>
      <c r="I271">
        <v>25098</v>
      </c>
      <c r="J271" t="s">
        <v>577</v>
      </c>
      <c r="K271">
        <v>127</v>
      </c>
      <c r="L271" t="str">
        <f>Hyperlink("http://www.seavest.co.za/inv/fpdf16/inv-preview.php?Id=44409","Click for Invoice PDF")</f>
        <v>Click for Invoice PDF</v>
      </c>
      <c r="M271"/>
    </row>
    <row r="272" spans="1:215">
      <c r="A272" t="s">
        <v>579</v>
      </c>
      <c r="B272"/>
      <c r="C272" t="s">
        <v>67</v>
      </c>
      <c r="D272" t="s">
        <v>95</v>
      </c>
      <c r="E272" t="s">
        <v>259</v>
      </c>
      <c r="F272">
        <v>11540.08</v>
      </c>
      <c r="G272">
        <v>0</v>
      </c>
      <c r="H272">
        <v>11540.08</v>
      </c>
      <c r="I272">
        <v>0</v>
      </c>
      <c r="J272" t="s">
        <v>577</v>
      </c>
      <c r="K272">
        <v>126</v>
      </c>
      <c r="L272" t="str">
        <f>Hyperlink("http://www.seavest.co.za/inv/fpdf16/inv-preview.php?Id=44392","Click for Invoice PDF")</f>
        <v>Click for Invoice PDF</v>
      </c>
      <c r="M272"/>
    </row>
    <row r="273" spans="1:215">
      <c r="A273" t="s">
        <v>580</v>
      </c>
      <c r="B273"/>
      <c r="C273" t="s">
        <v>67</v>
      </c>
      <c r="D273" t="s">
        <v>581</v>
      </c>
      <c r="E273" t="s">
        <v>218</v>
      </c>
      <c r="F273">
        <v>848.7</v>
      </c>
      <c r="G273">
        <v>127.31</v>
      </c>
      <c r="H273">
        <v>976.01</v>
      </c>
      <c r="I273">
        <v>24770</v>
      </c>
      <c r="J273" t="s">
        <v>582</v>
      </c>
      <c r="K273">
        <v>126</v>
      </c>
      <c r="L273" t="str">
        <f>Hyperlink("http://www.seavest.co.za/inv/fpdf16/inv-preview.php?Id=44129","Click for Invoice PDF")</f>
        <v>Click for Invoice PDF</v>
      </c>
      <c r="M273"/>
    </row>
    <row r="274" spans="1:215">
      <c r="A274" t="s">
        <v>583</v>
      </c>
      <c r="B274"/>
      <c r="C274" t="s">
        <v>67</v>
      </c>
      <c r="D274" t="s">
        <v>125</v>
      </c>
      <c r="E274" t="s">
        <v>218</v>
      </c>
      <c r="F274">
        <v>0</v>
      </c>
      <c r="G274">
        <v>0</v>
      </c>
      <c r="H274">
        <v>0</v>
      </c>
      <c r="I274">
        <v>22433</v>
      </c>
      <c r="J274" t="s">
        <v>584</v>
      </c>
      <c r="K274">
        <v>340</v>
      </c>
      <c r="L274" t="str">
        <f>Hyperlink("http://www.seavest.co.za/inv/fpdf16/inv-preview.php?Id=41981","Click for Invoice PDF")</f>
        <v>Click for Invoice PDF</v>
      </c>
      <c r="M274"/>
    </row>
    <row r="275" spans="1:215">
      <c r="A275" t="s">
        <v>585</v>
      </c>
      <c r="B275"/>
      <c r="C275" t="s">
        <v>67</v>
      </c>
      <c r="D275" t="s">
        <v>586</v>
      </c>
      <c r="E275" t="s">
        <v>218</v>
      </c>
      <c r="F275">
        <v>0</v>
      </c>
      <c r="G275">
        <v>0</v>
      </c>
      <c r="H275">
        <v>0</v>
      </c>
      <c r="I275">
        <v>22501</v>
      </c>
      <c r="J275" t="s">
        <v>584</v>
      </c>
      <c r="K275">
        <v>340</v>
      </c>
      <c r="L275" t="str">
        <f>Hyperlink("http://www.seavest.co.za/inv/fpdf16/inv-preview.php?Id=42036","Click for Invoice PDF")</f>
        <v>Click for Invoice PDF</v>
      </c>
      <c r="M275"/>
    </row>
    <row r="276" spans="1:215">
      <c r="A276" t="s">
        <v>587</v>
      </c>
      <c r="B276"/>
      <c r="C276" t="s">
        <v>67</v>
      </c>
      <c r="D276" t="s">
        <v>588</v>
      </c>
      <c r="E276" t="s">
        <v>73</v>
      </c>
      <c r="F276">
        <v>0</v>
      </c>
      <c r="G276">
        <v>0</v>
      </c>
      <c r="H276">
        <v>0</v>
      </c>
      <c r="I276">
        <v>22771</v>
      </c>
      <c r="J276" t="s">
        <v>584</v>
      </c>
      <c r="K276">
        <v>340</v>
      </c>
      <c r="L276" t="str">
        <f>Hyperlink("http://www.seavest.co.za/inv/fpdf16/inv-preview.php?Id=42318","Click for Invoice PDF")</f>
        <v>Click for Invoice PDF</v>
      </c>
      <c r="M276"/>
    </row>
    <row r="277" spans="1:215">
      <c r="A277" t="s">
        <v>589</v>
      </c>
      <c r="B277"/>
      <c r="C277" t="s">
        <v>67</v>
      </c>
      <c r="D277" t="s">
        <v>588</v>
      </c>
      <c r="E277" t="s">
        <v>73</v>
      </c>
      <c r="F277">
        <v>0</v>
      </c>
      <c r="G277">
        <v>0</v>
      </c>
      <c r="H277">
        <v>0</v>
      </c>
      <c r="I277">
        <v>22770</v>
      </c>
      <c r="J277" t="s">
        <v>584</v>
      </c>
      <c r="K277">
        <v>340</v>
      </c>
      <c r="L277" t="str">
        <f>Hyperlink("http://www.seavest.co.za/inv/fpdf16/inv-preview.php?Id=42319","Click for Invoice PDF")</f>
        <v>Click for Invoice PDF</v>
      </c>
      <c r="M277"/>
    </row>
    <row r="278" spans="1:215">
      <c r="A278" t="s">
        <v>590</v>
      </c>
      <c r="B278" t="s">
        <v>591</v>
      </c>
      <c r="C278" t="s">
        <v>67</v>
      </c>
      <c r="D278" t="s">
        <v>592</v>
      </c>
      <c r="E278" t="s">
        <v>73</v>
      </c>
      <c r="F278">
        <v>7193.85</v>
      </c>
      <c r="G278">
        <v>1007.14</v>
      </c>
      <c r="H278">
        <v>8200.99</v>
      </c>
      <c r="I278">
        <v>23160</v>
      </c>
      <c r="J278" t="s">
        <v>593</v>
      </c>
      <c r="K278">
        <v>7</v>
      </c>
      <c r="L278" t="str">
        <f>Hyperlink("http://www.seavest.co.za/inv/fpdf16/inv-preview.php?Id=42727","Click for Invoice PDF")</f>
        <v>Click for Invoice PDF</v>
      </c>
      <c r="M278"/>
    </row>
    <row r="279" spans="1:215">
      <c r="A279" t="s">
        <v>594</v>
      </c>
      <c r="B279"/>
      <c r="C279" t="s">
        <v>67</v>
      </c>
      <c r="D279" t="s">
        <v>595</v>
      </c>
      <c r="E279" t="s">
        <v>183</v>
      </c>
      <c r="F279">
        <v>4920.8</v>
      </c>
      <c r="G279">
        <v>738.12</v>
      </c>
      <c r="H279">
        <v>5658.92</v>
      </c>
      <c r="I279">
        <v>21404</v>
      </c>
      <c r="J279" t="s">
        <v>596</v>
      </c>
      <c r="K279">
        <v>552</v>
      </c>
      <c r="L279" t="str">
        <f>Hyperlink("http://www.seavest.co.za/inv/fpdf16/inv-preview.php?Id=40781","Click for Invoice PDF")</f>
        <v>Click for Invoice PDF</v>
      </c>
      <c r="M279"/>
    </row>
    <row r="280" spans="1:215">
      <c r="A280" t="s">
        <v>597</v>
      </c>
      <c r="B280"/>
      <c r="C280" t="s">
        <v>67</v>
      </c>
      <c r="D280" t="s">
        <v>97</v>
      </c>
      <c r="E280" t="s">
        <v>218</v>
      </c>
      <c r="F280">
        <v>6174.2</v>
      </c>
      <c r="G280">
        <v>926.13</v>
      </c>
      <c r="H280">
        <v>7100.33</v>
      </c>
      <c r="I280">
        <v>22548</v>
      </c>
      <c r="J280" t="s">
        <v>598</v>
      </c>
      <c r="K280">
        <v>237</v>
      </c>
      <c r="L280" t="str">
        <f>Hyperlink("http://www.seavest.co.za/inv/fpdf16/inv-preview.php?Id=42085","Click for Invoice PDF")</f>
        <v>Click for Invoice PDF</v>
      </c>
      <c r="M280"/>
    </row>
    <row r="281" spans="1:215">
      <c r="A281" t="s">
        <v>599</v>
      </c>
      <c r="B281"/>
      <c r="C281" t="s">
        <v>67</v>
      </c>
      <c r="D281" t="s">
        <v>600</v>
      </c>
      <c r="E281" t="s">
        <v>196</v>
      </c>
      <c r="F281">
        <v>0</v>
      </c>
      <c r="G281">
        <v>0</v>
      </c>
      <c r="H281">
        <v>0</v>
      </c>
      <c r="I281">
        <v>22644</v>
      </c>
      <c r="J281" t="s">
        <v>601</v>
      </c>
      <c r="K281">
        <v>309</v>
      </c>
      <c r="L281" t="str">
        <f>Hyperlink("http://www.seavest.co.za/inv/fpdf16/inv-preview.php?Id=41908","Click for Invoice PDF")</f>
        <v>Click for Invoice PDF</v>
      </c>
      <c r="M281"/>
    </row>
    <row r="282" spans="1:215">
      <c r="A282" t="s">
        <v>602</v>
      </c>
      <c r="B282"/>
      <c r="C282" t="s">
        <v>67</v>
      </c>
      <c r="D282" t="s">
        <v>95</v>
      </c>
      <c r="E282" t="s">
        <v>259</v>
      </c>
      <c r="F282">
        <v>10883.25</v>
      </c>
      <c r="G282">
        <v>1632.49</v>
      </c>
      <c r="H282">
        <v>12515.74</v>
      </c>
      <c r="I282">
        <v>23981</v>
      </c>
      <c r="J282" t="s">
        <v>601</v>
      </c>
      <c r="K282">
        <v>267</v>
      </c>
      <c r="L282" t="str">
        <f>Hyperlink("http://www.seavest.co.za/inv/fpdf16/inv-preview.php?Id=42305","Click for Invoice PDF")</f>
        <v>Click for Invoice PDF</v>
      </c>
      <c r="M282"/>
    </row>
    <row r="283" spans="1:215">
      <c r="A283" t="s">
        <v>603</v>
      </c>
      <c r="B283"/>
      <c r="C283" t="s">
        <v>67</v>
      </c>
      <c r="D283" t="s">
        <v>588</v>
      </c>
      <c r="E283" t="s">
        <v>73</v>
      </c>
      <c r="F283">
        <v>0</v>
      </c>
      <c r="G283">
        <v>0</v>
      </c>
      <c r="H283">
        <v>0</v>
      </c>
      <c r="I283">
        <v>22693</v>
      </c>
      <c r="J283" t="s">
        <v>601</v>
      </c>
      <c r="K283">
        <v>309</v>
      </c>
      <c r="L283" t="str">
        <f>Hyperlink("http://www.seavest.co.za/inv/fpdf16/inv-preview.php?Id=42256","Click for Invoice PDF")</f>
        <v>Click for Invoice PDF</v>
      </c>
      <c r="M283"/>
    </row>
    <row r="284" spans="1:215">
      <c r="A284" t="s">
        <v>604</v>
      </c>
      <c r="B284"/>
      <c r="C284" t="s">
        <v>14</v>
      </c>
      <c r="D284" t="s">
        <v>605</v>
      </c>
      <c r="E284" t="s">
        <v>176</v>
      </c>
      <c r="F284">
        <v>3300</v>
      </c>
      <c r="G284">
        <v>495</v>
      </c>
      <c r="H284">
        <v>3795</v>
      </c>
      <c r="I284">
        <v>24090</v>
      </c>
      <c r="J284" t="s">
        <v>606</v>
      </c>
      <c r="K284">
        <v>247</v>
      </c>
      <c r="L284" t="str">
        <f>Hyperlink("http://www.seavest.co.za/inv/fpdf16/inv-preview.php?Id=43596","Click for Invoice PDF")</f>
        <v>Click for Invoice PDF</v>
      </c>
      <c r="M284"/>
    </row>
    <row r="285" spans="1:215">
      <c r="A285" t="s">
        <v>607</v>
      </c>
      <c r="B285"/>
      <c r="C285" t="s">
        <v>67</v>
      </c>
      <c r="D285" t="s">
        <v>548</v>
      </c>
      <c r="E285" t="s">
        <v>259</v>
      </c>
      <c r="F285">
        <v>10132.8</v>
      </c>
      <c r="G285">
        <v>1519.92</v>
      </c>
      <c r="H285">
        <v>11652.72</v>
      </c>
      <c r="I285">
        <v>24325</v>
      </c>
      <c r="J285" t="s">
        <v>606</v>
      </c>
      <c r="K285">
        <v>240</v>
      </c>
      <c r="L285" t="str">
        <f>Hyperlink("http://www.seavest.co.za/inv/fpdf16/inv-preview.php?Id=43498","Click for Invoice PDF")</f>
        <v>Click for Invoice PDF</v>
      </c>
      <c r="M285"/>
    </row>
    <row r="286" spans="1:215">
      <c r="A286" t="s">
        <v>608</v>
      </c>
      <c r="B286"/>
      <c r="C286" t="s">
        <v>67</v>
      </c>
      <c r="D286" t="s">
        <v>130</v>
      </c>
      <c r="E286" t="s">
        <v>73</v>
      </c>
      <c r="F286">
        <v>3890.65</v>
      </c>
      <c r="G286">
        <v>583.6</v>
      </c>
      <c r="H286">
        <v>4474.25</v>
      </c>
      <c r="I286">
        <v>23754</v>
      </c>
      <c r="J286" t="s">
        <v>606</v>
      </c>
      <c r="K286">
        <v>246</v>
      </c>
      <c r="L286" t="str">
        <f>Hyperlink("http://www.seavest.co.za/inv/fpdf16/inv-preview.php?Id=43291","Click for Invoice PDF")</f>
        <v>Click for Invoice PDF</v>
      </c>
      <c r="M286"/>
    </row>
    <row r="287" spans="1:215">
      <c r="A287" t="s">
        <v>609</v>
      </c>
      <c r="B287"/>
      <c r="C287" t="s">
        <v>67</v>
      </c>
      <c r="D287" t="s">
        <v>610</v>
      </c>
      <c r="E287" t="s">
        <v>209</v>
      </c>
      <c r="F287">
        <v>0</v>
      </c>
      <c r="G287">
        <v>0</v>
      </c>
      <c r="H287">
        <v>0</v>
      </c>
      <c r="I287">
        <v>24071</v>
      </c>
      <c r="J287" t="s">
        <v>606</v>
      </c>
      <c r="K287">
        <v>246</v>
      </c>
      <c r="L287" t="str">
        <f>Hyperlink("http://www.seavest.co.za/inv/fpdf16/inv-preview.php?Id=43605","Click for Invoice PDF")</f>
        <v>Click for Invoice PDF</v>
      </c>
      <c r="M287"/>
    </row>
    <row r="288" spans="1:215">
      <c r="A288" t="s">
        <v>611</v>
      </c>
      <c r="B288"/>
      <c r="C288" t="s">
        <v>14</v>
      </c>
      <c r="D288" t="s">
        <v>60</v>
      </c>
      <c r="E288" t="s">
        <v>176</v>
      </c>
      <c r="F288">
        <v>4008.06</v>
      </c>
      <c r="G288">
        <v>601.21</v>
      </c>
      <c r="H288">
        <v>4609.27</v>
      </c>
      <c r="I288">
        <v>23737</v>
      </c>
      <c r="J288" t="s">
        <v>612</v>
      </c>
      <c r="K288">
        <v>278</v>
      </c>
      <c r="L288" t="str">
        <f>Hyperlink("http://www.seavest.co.za/inv/fpdf16/inv-preview.php?Id=42998","Click for Invoice PDF")</f>
        <v>Click for Invoice PDF</v>
      </c>
      <c r="M288"/>
    </row>
    <row r="289" spans="1:215">
      <c r="A289" t="s">
        <v>613</v>
      </c>
      <c r="B289"/>
      <c r="C289" t="s">
        <v>14</v>
      </c>
      <c r="D289" t="s">
        <v>310</v>
      </c>
      <c r="E289" t="s">
        <v>176</v>
      </c>
      <c r="F289">
        <v>9999999.99</v>
      </c>
      <c r="G289">
        <v>4296.6</v>
      </c>
      <c r="H289">
        <v>32940.6</v>
      </c>
      <c r="I289">
        <v>23683</v>
      </c>
      <c r="J289" t="s">
        <v>612</v>
      </c>
      <c r="K289">
        <v>277</v>
      </c>
      <c r="L289" t="str">
        <f>Hyperlink("http://www.seavest.co.za/inv/fpdf16/inv-preview.php?Id=43112","Click for Invoice PDF")</f>
        <v>Click for Invoice PDF</v>
      </c>
      <c r="M289"/>
    </row>
    <row r="290" spans="1:215">
      <c r="A290" t="s">
        <v>614</v>
      </c>
      <c r="B290"/>
      <c r="C290" t="s">
        <v>67</v>
      </c>
      <c r="D290" t="s">
        <v>546</v>
      </c>
      <c r="E290" t="s">
        <v>259</v>
      </c>
      <c r="F290">
        <v>5746.22</v>
      </c>
      <c r="G290">
        <v>861.9299999999999</v>
      </c>
      <c r="H290">
        <v>6608.15</v>
      </c>
      <c r="I290">
        <v>23651</v>
      </c>
      <c r="J290" t="s">
        <v>612</v>
      </c>
      <c r="K290">
        <v>277</v>
      </c>
      <c r="L290" t="str">
        <f>Hyperlink("http://www.seavest.co.za/inv/fpdf16/inv-preview.php?Id=43253","Click for Invoice PDF")</f>
        <v>Click for Invoice PDF</v>
      </c>
      <c r="M290"/>
    </row>
    <row r="291" spans="1:215">
      <c r="A291" t="s">
        <v>615</v>
      </c>
      <c r="B291"/>
      <c r="C291" t="s">
        <v>67</v>
      </c>
      <c r="D291" t="s">
        <v>162</v>
      </c>
      <c r="E291" t="s">
        <v>82</v>
      </c>
      <c r="F291">
        <v>9533</v>
      </c>
      <c r="G291">
        <v>1429.95</v>
      </c>
      <c r="H291">
        <v>10962.95</v>
      </c>
      <c r="I291">
        <v>23824</v>
      </c>
      <c r="J291" t="s">
        <v>612</v>
      </c>
      <c r="K291">
        <v>277</v>
      </c>
      <c r="L291" t="str">
        <f>Hyperlink("http://www.seavest.co.za/inv/fpdf16/inv-preview.php?Id=43430","Click for Invoice PDF")</f>
        <v>Click for Invoice PDF</v>
      </c>
      <c r="M291"/>
    </row>
    <row r="292" spans="1:215">
      <c r="A292" t="s">
        <v>616</v>
      </c>
      <c r="B292"/>
      <c r="C292" t="s">
        <v>67</v>
      </c>
      <c r="D292" t="s">
        <v>70</v>
      </c>
      <c r="E292" t="s">
        <v>209</v>
      </c>
      <c r="F292">
        <v>19410.8</v>
      </c>
      <c r="G292">
        <v>2911.62</v>
      </c>
      <c r="H292">
        <v>22322.42</v>
      </c>
      <c r="I292">
        <v>21792</v>
      </c>
      <c r="J292" t="s">
        <v>617</v>
      </c>
      <c r="K292">
        <v>461</v>
      </c>
      <c r="L292" t="str">
        <f>Hyperlink("http://www.seavest.co.za/inv/fpdf16/inv-preview.php?Id=41367","Click for Invoice PDF")</f>
        <v>Click for Invoice PDF</v>
      </c>
      <c r="M292"/>
    </row>
    <row r="293" spans="1:215">
      <c r="A293" t="s">
        <v>618</v>
      </c>
      <c r="B293"/>
      <c r="C293" t="s">
        <v>14</v>
      </c>
      <c r="D293" t="s">
        <v>619</v>
      </c>
      <c r="E293" t="s">
        <v>176</v>
      </c>
      <c r="F293">
        <v>27149.4</v>
      </c>
      <c r="G293">
        <v>4072.41</v>
      </c>
      <c r="H293">
        <v>31221.81</v>
      </c>
      <c r="I293">
        <v>25173</v>
      </c>
      <c r="J293" t="s">
        <v>620</v>
      </c>
      <c r="K293">
        <v>79</v>
      </c>
      <c r="L293" t="str">
        <f>Hyperlink("http://www.seavest.co.za/inv/fpdf16/inv-preview.php?Id=44354","Click for Invoice PDF")</f>
        <v>Click for Invoice PDF</v>
      </c>
      <c r="M293"/>
    </row>
    <row r="294" spans="1:215">
      <c r="A294" t="s">
        <v>621</v>
      </c>
      <c r="B294"/>
      <c r="C294" t="s">
        <v>67</v>
      </c>
      <c r="D294" t="s">
        <v>622</v>
      </c>
      <c r="E294" t="s">
        <v>73</v>
      </c>
      <c r="F294">
        <v>8339.799999999999</v>
      </c>
      <c r="G294">
        <v>1167.57</v>
      </c>
      <c r="H294">
        <v>9507.370000000001</v>
      </c>
      <c r="I294">
        <v>25265</v>
      </c>
      <c r="J294" t="s">
        <v>620</v>
      </c>
      <c r="K294">
        <v>4</v>
      </c>
      <c r="L294" t="str">
        <f>Hyperlink("http://www.seavest.co.za/inv/fpdf16/inv-preview.php?Id=44587","Click for Invoice PDF")</f>
        <v>Click for Invoice PDF</v>
      </c>
      <c r="M294"/>
    </row>
    <row r="295" spans="1:215">
      <c r="A295" t="s">
        <v>623</v>
      </c>
      <c r="B295"/>
      <c r="C295" t="s">
        <v>14</v>
      </c>
      <c r="D295" t="s">
        <v>286</v>
      </c>
      <c r="E295" t="s">
        <v>176</v>
      </c>
      <c r="F295">
        <v>11026.6</v>
      </c>
      <c r="G295">
        <v>1653.99</v>
      </c>
      <c r="H295">
        <v>12680.59</v>
      </c>
      <c r="I295">
        <v>25045</v>
      </c>
      <c r="J295" t="s">
        <v>624</v>
      </c>
      <c r="K295">
        <v>118</v>
      </c>
      <c r="L295" t="str">
        <f>Hyperlink("http://www.seavest.co.za/inv/fpdf16/inv-preview.php?Id=44390","Click for Invoice PDF")</f>
        <v>Click for Invoice PDF</v>
      </c>
      <c r="M295"/>
    </row>
    <row r="296" spans="1:215">
      <c r="A296" t="s">
        <v>625</v>
      </c>
      <c r="B296"/>
      <c r="C296" t="s">
        <v>14</v>
      </c>
      <c r="D296" t="s">
        <v>191</v>
      </c>
      <c r="E296" t="s">
        <v>176</v>
      </c>
      <c r="F296">
        <v>4483.6</v>
      </c>
      <c r="G296">
        <v>672.54</v>
      </c>
      <c r="H296">
        <v>5156.14</v>
      </c>
      <c r="I296">
        <v>24334</v>
      </c>
      <c r="J296" t="s">
        <v>626</v>
      </c>
      <c r="K296">
        <v>218</v>
      </c>
      <c r="L296" t="str">
        <f>Hyperlink("http://www.seavest.co.za/inv/fpdf16/inv-preview.php?Id=43649","Click for Invoice PDF")</f>
        <v>Click for Invoice PDF</v>
      </c>
      <c r="M296"/>
    </row>
    <row r="297" spans="1:215">
      <c r="A297" t="s">
        <v>627</v>
      </c>
      <c r="B297"/>
      <c r="C297" t="s">
        <v>14</v>
      </c>
      <c r="D297" t="s">
        <v>628</v>
      </c>
      <c r="E297" t="s">
        <v>176</v>
      </c>
      <c r="F297">
        <v>6455.36</v>
      </c>
      <c r="G297">
        <v>968.3</v>
      </c>
      <c r="H297">
        <v>7423.66</v>
      </c>
      <c r="I297">
        <v>24331</v>
      </c>
      <c r="J297" t="s">
        <v>626</v>
      </c>
      <c r="K297">
        <v>218</v>
      </c>
      <c r="L297" t="str">
        <f>Hyperlink("http://www.seavest.co.za/inv/fpdf16/inv-preview.php?Id=43741","Click for Invoice PDF")</f>
        <v>Click for Invoice PDF</v>
      </c>
      <c r="M297"/>
    </row>
    <row r="298" spans="1:215">
      <c r="A298" t="s">
        <v>629</v>
      </c>
      <c r="B298"/>
      <c r="C298" t="s">
        <v>14</v>
      </c>
      <c r="D298" t="s">
        <v>19</v>
      </c>
      <c r="E298" t="s">
        <v>176</v>
      </c>
      <c r="F298">
        <v>16845.52</v>
      </c>
      <c r="G298">
        <v>2526.83</v>
      </c>
      <c r="H298">
        <v>19372.35</v>
      </c>
      <c r="I298">
        <v>24308</v>
      </c>
      <c r="J298" t="s">
        <v>626</v>
      </c>
      <c r="K298">
        <v>218</v>
      </c>
      <c r="L298" t="str">
        <f>Hyperlink("http://www.seavest.co.za/inv/fpdf16/inv-preview.php?Id=43752","Click for Invoice PDF")</f>
        <v>Click for Invoice PDF</v>
      </c>
      <c r="M298"/>
    </row>
    <row r="299" spans="1:215">
      <c r="A299" t="s">
        <v>630</v>
      </c>
      <c r="B299"/>
      <c r="C299" t="s">
        <v>67</v>
      </c>
      <c r="D299" t="s">
        <v>631</v>
      </c>
      <c r="E299" t="s">
        <v>176</v>
      </c>
      <c r="F299">
        <v>3985.76</v>
      </c>
      <c r="G299">
        <v>597.86</v>
      </c>
      <c r="H299">
        <v>4583.62</v>
      </c>
      <c r="I299">
        <v>24301</v>
      </c>
      <c r="J299" t="s">
        <v>626</v>
      </c>
      <c r="K299">
        <v>218</v>
      </c>
      <c r="L299" t="str">
        <f>Hyperlink("http://www.seavest.co.za/inv/fpdf16/inv-preview.php?Id=43764","Click for Invoice PDF")</f>
        <v>Click for Invoice PDF</v>
      </c>
      <c r="M299"/>
    </row>
    <row r="300" spans="1:215">
      <c r="A300" t="s">
        <v>632</v>
      </c>
      <c r="B300"/>
      <c r="C300" t="s">
        <v>67</v>
      </c>
      <c r="D300" t="s">
        <v>399</v>
      </c>
      <c r="E300" t="s">
        <v>73</v>
      </c>
      <c r="F300">
        <v>11169.36</v>
      </c>
      <c r="G300">
        <v>1675.4</v>
      </c>
      <c r="H300">
        <v>12844.76</v>
      </c>
      <c r="I300">
        <v>24365</v>
      </c>
      <c r="J300" t="s">
        <v>626</v>
      </c>
      <c r="K300">
        <v>218</v>
      </c>
      <c r="L300" t="str">
        <f>Hyperlink("http://www.seavest.co.za/inv/fpdf16/inv-preview.php?Id=43817","Click for Invoice PDF")</f>
        <v>Click for Invoice PDF</v>
      </c>
      <c r="M300"/>
    </row>
    <row r="301" spans="1:215">
      <c r="A301" t="s">
        <v>633</v>
      </c>
      <c r="B301"/>
      <c r="C301" t="s">
        <v>67</v>
      </c>
      <c r="D301" t="s">
        <v>634</v>
      </c>
      <c r="E301" t="s">
        <v>73</v>
      </c>
      <c r="F301">
        <v>6996.84</v>
      </c>
      <c r="G301">
        <v>1049.53</v>
      </c>
      <c r="H301">
        <v>8046.37</v>
      </c>
      <c r="I301">
        <v>24363</v>
      </c>
      <c r="J301" t="s">
        <v>626</v>
      </c>
      <c r="K301">
        <v>218</v>
      </c>
      <c r="L301" t="str">
        <f>Hyperlink("http://www.seavest.co.za/inv/fpdf16/inv-preview.php?Id=43821","Click for Invoice PDF")</f>
        <v>Click for Invoice PDF</v>
      </c>
      <c r="M301"/>
    </row>
    <row r="302" spans="1:215">
      <c r="A302" t="s">
        <v>635</v>
      </c>
      <c r="B302"/>
      <c r="C302" t="s">
        <v>67</v>
      </c>
      <c r="D302" t="s">
        <v>130</v>
      </c>
      <c r="E302" t="s">
        <v>73</v>
      </c>
      <c r="F302">
        <v>9999999.99</v>
      </c>
      <c r="G302">
        <v>1497.01</v>
      </c>
      <c r="H302">
        <v>12189.91</v>
      </c>
      <c r="I302">
        <v>24328</v>
      </c>
      <c r="J302" t="s">
        <v>626</v>
      </c>
      <c r="K302">
        <v>5</v>
      </c>
      <c r="L302" t="str">
        <f>Hyperlink("http://www.seavest.co.za/inv/fpdf16/inv-preview.php?Id=43838","Click for Invoice PDF")</f>
        <v>Click for Invoice PDF</v>
      </c>
      <c r="M302"/>
    </row>
    <row r="303" spans="1:215">
      <c r="A303" t="s">
        <v>636</v>
      </c>
      <c r="B303"/>
      <c r="C303" t="s">
        <v>67</v>
      </c>
      <c r="D303" t="s">
        <v>142</v>
      </c>
      <c r="E303" t="s">
        <v>218</v>
      </c>
      <c r="F303">
        <v>1200</v>
      </c>
      <c r="G303">
        <v>180</v>
      </c>
      <c r="H303">
        <v>1380</v>
      </c>
      <c r="I303">
        <v>24692</v>
      </c>
      <c r="J303" t="s">
        <v>637</v>
      </c>
      <c r="K303">
        <v>153</v>
      </c>
      <c r="L303" t="str">
        <f>Hyperlink("http://www.seavest.co.za/inv/fpdf16/inv-preview.php?Id=44080","Click for Invoice PDF")</f>
        <v>Click for Invoice PDF</v>
      </c>
      <c r="M303"/>
    </row>
    <row r="304" spans="1:215">
      <c r="A304" t="s">
        <v>638</v>
      </c>
      <c r="B304"/>
      <c r="C304" t="s">
        <v>67</v>
      </c>
      <c r="D304" t="s">
        <v>639</v>
      </c>
      <c r="E304" t="s">
        <v>73</v>
      </c>
      <c r="F304">
        <v>2040.2</v>
      </c>
      <c r="G304">
        <v>306.03</v>
      </c>
      <c r="H304">
        <v>2346.23</v>
      </c>
      <c r="I304">
        <v>23009</v>
      </c>
      <c r="J304" t="s">
        <v>640</v>
      </c>
      <c r="K304">
        <v>307</v>
      </c>
      <c r="L304" t="str">
        <f>Hyperlink("http://www.seavest.co.za/inv/fpdf16/inv-preview.php?Id=42583","Click for Invoice PDF")</f>
        <v>Click for Invoice PDF</v>
      </c>
      <c r="M304"/>
    </row>
    <row r="305" spans="1:215">
      <c r="A305" t="s">
        <v>641</v>
      </c>
      <c r="B305"/>
      <c r="C305" t="s">
        <v>67</v>
      </c>
      <c r="D305" t="s">
        <v>70</v>
      </c>
      <c r="E305" t="s">
        <v>209</v>
      </c>
      <c r="F305">
        <v>9667.85</v>
      </c>
      <c r="G305">
        <v>1450.18</v>
      </c>
      <c r="H305">
        <v>11118.03</v>
      </c>
      <c r="I305">
        <v>23190</v>
      </c>
      <c r="J305" t="s">
        <v>640</v>
      </c>
      <c r="K305">
        <v>333</v>
      </c>
      <c r="L305" t="str">
        <f>Hyperlink("http://www.seavest.co.za/inv/fpdf16/inv-preview.php?Id=42766","Click for Invoice PDF")</f>
        <v>Click for Invoice PDF</v>
      </c>
      <c r="M305"/>
    </row>
    <row r="306" spans="1:215">
      <c r="A306" t="s">
        <v>642</v>
      </c>
      <c r="B306"/>
      <c r="C306" t="s">
        <v>67</v>
      </c>
      <c r="D306" t="s">
        <v>643</v>
      </c>
      <c r="E306" t="s">
        <v>209</v>
      </c>
      <c r="F306">
        <v>8496.26</v>
      </c>
      <c r="G306">
        <v>1274.44</v>
      </c>
      <c r="H306">
        <v>9770.700000000001</v>
      </c>
      <c r="I306">
        <v>22453</v>
      </c>
      <c r="J306" t="s">
        <v>644</v>
      </c>
      <c r="K306">
        <v>160</v>
      </c>
      <c r="L306" t="str">
        <f>Hyperlink("http://www.seavest.co.za/inv/fpdf16/inv-preview.php?Id=41788","Click for Invoice PDF")</f>
        <v>Click for Invoice PDF</v>
      </c>
      <c r="M306"/>
    </row>
    <row r="307" spans="1:215">
      <c r="A307" t="s">
        <v>645</v>
      </c>
      <c r="B307"/>
      <c r="C307" t="s">
        <v>14</v>
      </c>
      <c r="D307" t="s">
        <v>19</v>
      </c>
      <c r="E307" t="s">
        <v>176</v>
      </c>
      <c r="F307">
        <v>4574.18</v>
      </c>
      <c r="G307">
        <v>686.13</v>
      </c>
      <c r="H307">
        <v>5260.31</v>
      </c>
      <c r="I307">
        <v>25714</v>
      </c>
      <c r="J307" t="s">
        <v>646</v>
      </c>
      <c r="K307">
        <v>28</v>
      </c>
      <c r="L307" t="str">
        <f>Hyperlink("http://www.seavest.co.za/inv/fpdf16/inv-preview.php?Id=44955","Click for Invoice PDF")</f>
        <v>Click for Invoice PDF</v>
      </c>
      <c r="M307"/>
    </row>
    <row r="308" spans="1:215">
      <c r="A308" t="s">
        <v>647</v>
      </c>
      <c r="B308"/>
      <c r="C308" t="s">
        <v>67</v>
      </c>
      <c r="D308" t="s">
        <v>595</v>
      </c>
      <c r="E308" t="s">
        <v>183</v>
      </c>
      <c r="F308">
        <v>16618.88</v>
      </c>
      <c r="G308">
        <v>2492.83</v>
      </c>
      <c r="H308">
        <v>19111.71</v>
      </c>
      <c r="I308">
        <v>21525</v>
      </c>
      <c r="J308" t="s">
        <v>648</v>
      </c>
      <c r="K308">
        <v>552</v>
      </c>
      <c r="L308" t="str">
        <f>Hyperlink("http://www.seavest.co.za/inv/fpdf16/inv-preview.php?Id=41069","Click for Invoice PDF")</f>
        <v>Click for Invoice PDF</v>
      </c>
      <c r="M308"/>
    </row>
    <row r="309" spans="1:215">
      <c r="A309" t="s">
        <v>649</v>
      </c>
      <c r="B309"/>
      <c r="C309" t="s">
        <v>14</v>
      </c>
      <c r="D309" t="s">
        <v>307</v>
      </c>
      <c r="E309" t="s">
        <v>485</v>
      </c>
      <c r="F309">
        <v>35478.77</v>
      </c>
      <c r="G309">
        <v>5321.82</v>
      </c>
      <c r="H309">
        <v>40800.59</v>
      </c>
      <c r="I309">
        <v>20668</v>
      </c>
      <c r="J309" t="s">
        <v>650</v>
      </c>
      <c r="K309">
        <v>673</v>
      </c>
      <c r="L309" t="str">
        <f>Hyperlink("http://www.seavest.co.za/inv/fpdf16/inv-preview.php?Id=40123","Click for Invoice PDF")</f>
        <v>Click for Invoice PDF</v>
      </c>
      <c r="M309"/>
    </row>
    <row r="310" spans="1:215">
      <c r="A310" t="s">
        <v>651</v>
      </c>
      <c r="B310"/>
      <c r="C310" t="s">
        <v>67</v>
      </c>
      <c r="D310" t="s">
        <v>365</v>
      </c>
      <c r="E310" t="s">
        <v>183</v>
      </c>
      <c r="F310">
        <v>2383.5</v>
      </c>
      <c r="G310">
        <v>357.53</v>
      </c>
      <c r="H310">
        <v>2741.03</v>
      </c>
      <c r="I310">
        <v>22155</v>
      </c>
      <c r="J310" t="s">
        <v>652</v>
      </c>
      <c r="K310">
        <v>308</v>
      </c>
      <c r="L310" t="str">
        <f>Hyperlink("http://www.seavest.co.za/inv/fpdf16/inv-preview.php?Id=41739","Click for Invoice PDF")</f>
        <v>Click for Invoice PDF</v>
      </c>
      <c r="M310"/>
    </row>
    <row r="311" spans="1:215">
      <c r="A311" t="s">
        <v>653</v>
      </c>
      <c r="B311"/>
      <c r="C311" t="s">
        <v>67</v>
      </c>
      <c r="D311" t="s">
        <v>588</v>
      </c>
      <c r="E311" t="s">
        <v>73</v>
      </c>
      <c r="F311">
        <v>0</v>
      </c>
      <c r="G311">
        <v>0</v>
      </c>
      <c r="H311">
        <v>0</v>
      </c>
      <c r="I311">
        <v>22832</v>
      </c>
      <c r="J311" t="s">
        <v>652</v>
      </c>
      <c r="K311">
        <v>308</v>
      </c>
      <c r="L311" t="str">
        <f>Hyperlink("http://www.seavest.co.za/inv/fpdf16/inv-preview.php?Id=42224","Click for Invoice PDF")</f>
        <v>Click for Invoice PDF</v>
      </c>
      <c r="M311"/>
    </row>
    <row r="312" spans="1:215">
      <c r="A312" t="s">
        <v>654</v>
      </c>
      <c r="B312"/>
      <c r="C312" t="s">
        <v>67</v>
      </c>
      <c r="D312" t="s">
        <v>77</v>
      </c>
      <c r="E312" t="s">
        <v>238</v>
      </c>
      <c r="F312">
        <v>0</v>
      </c>
      <c r="G312">
        <v>0</v>
      </c>
      <c r="H312">
        <v>0</v>
      </c>
      <c r="I312">
        <v>22804</v>
      </c>
      <c r="J312" t="s">
        <v>652</v>
      </c>
      <c r="K312">
        <v>308</v>
      </c>
      <c r="L312" t="str">
        <f>Hyperlink("http://www.seavest.co.za/inv/fpdf16/inv-preview.php?Id=42333","Click for Invoice PDF")</f>
        <v>Click for Invoice PDF</v>
      </c>
      <c r="M312"/>
    </row>
    <row r="313" spans="1:215">
      <c r="A313" t="s">
        <v>655</v>
      </c>
      <c r="B313"/>
      <c r="C313" t="s">
        <v>14</v>
      </c>
      <c r="D313" t="s">
        <v>656</v>
      </c>
      <c r="E313" t="s">
        <v>176</v>
      </c>
      <c r="F313">
        <v>6774.9</v>
      </c>
      <c r="G313">
        <v>1016.24</v>
      </c>
      <c r="H313">
        <v>7791.14</v>
      </c>
      <c r="I313">
        <v>24135</v>
      </c>
      <c r="J313" t="s">
        <v>657</v>
      </c>
      <c r="K313">
        <v>246</v>
      </c>
      <c r="L313" t="str">
        <f>Hyperlink("http://www.seavest.co.za/inv/fpdf16/inv-preview.php?Id=43590","Click for Invoice PDF")</f>
        <v>Click for Invoice PDF</v>
      </c>
      <c r="M313"/>
    </row>
    <row r="314" spans="1:215">
      <c r="A314" t="s">
        <v>658</v>
      </c>
      <c r="B314"/>
      <c r="C314" t="s">
        <v>14</v>
      </c>
      <c r="D314" t="s">
        <v>659</v>
      </c>
      <c r="E314" t="s">
        <v>176</v>
      </c>
      <c r="F314">
        <v>8092.5</v>
      </c>
      <c r="G314">
        <v>1213.88</v>
      </c>
      <c r="H314">
        <v>9306.379999999999</v>
      </c>
      <c r="I314">
        <v>23487</v>
      </c>
      <c r="J314" t="s">
        <v>660</v>
      </c>
      <c r="K314">
        <v>267</v>
      </c>
      <c r="L314" t="str">
        <f>Hyperlink("http://www.seavest.co.za/inv/fpdf16/inv-preview.php?Id=43024","Click for Invoice PDF")</f>
        <v>Click for Invoice PDF</v>
      </c>
      <c r="M314"/>
    </row>
    <row r="315" spans="1:215">
      <c r="A315" t="s">
        <v>661</v>
      </c>
      <c r="B315"/>
      <c r="C315" t="s">
        <v>67</v>
      </c>
      <c r="D315" t="s">
        <v>262</v>
      </c>
      <c r="E315" t="s">
        <v>259</v>
      </c>
      <c r="F315">
        <v>9005.719999999999</v>
      </c>
      <c r="G315">
        <v>1350.86</v>
      </c>
      <c r="H315">
        <v>10356.58</v>
      </c>
      <c r="I315">
        <v>23020</v>
      </c>
      <c r="J315" t="s">
        <v>660</v>
      </c>
      <c r="K315">
        <v>275</v>
      </c>
      <c r="L315" t="str">
        <f>Hyperlink("http://www.seavest.co.za/inv/fpdf16/inv-preview.php?Id=42314","Click for Invoice PDF")</f>
        <v>Click for Invoice PDF</v>
      </c>
      <c r="M315"/>
    </row>
    <row r="316" spans="1:215">
      <c r="A316" t="s">
        <v>662</v>
      </c>
      <c r="B316"/>
      <c r="C316" t="s">
        <v>67</v>
      </c>
      <c r="D316" t="s">
        <v>663</v>
      </c>
      <c r="E316" t="s">
        <v>73</v>
      </c>
      <c r="F316">
        <v>0</v>
      </c>
      <c r="G316">
        <v>0</v>
      </c>
      <c r="H316">
        <v>0</v>
      </c>
      <c r="I316">
        <v>22975</v>
      </c>
      <c r="J316" t="s">
        <v>660</v>
      </c>
      <c r="K316">
        <v>277</v>
      </c>
      <c r="L316" t="str">
        <f>Hyperlink("http://www.seavest.co.za/inv/fpdf16/inv-preview.php?Id=42499","Click for Invoice PDF")</f>
        <v>Click for Invoice PDF</v>
      </c>
      <c r="M316"/>
    </row>
    <row r="317" spans="1:215">
      <c r="A317" t="s">
        <v>664</v>
      </c>
      <c r="B317"/>
      <c r="C317" t="s">
        <v>67</v>
      </c>
      <c r="D317" t="s">
        <v>665</v>
      </c>
      <c r="E317" t="s">
        <v>73</v>
      </c>
      <c r="F317">
        <v>0</v>
      </c>
      <c r="G317">
        <v>0</v>
      </c>
      <c r="H317">
        <v>0</v>
      </c>
      <c r="I317">
        <v>23303</v>
      </c>
      <c r="J317" t="s">
        <v>660</v>
      </c>
      <c r="K317">
        <v>277</v>
      </c>
      <c r="L317" t="str">
        <f>Hyperlink("http://www.seavest.co.za/inv/fpdf16/inv-preview.php?Id=42531","Click for Invoice PDF")</f>
        <v>Click for Invoice PDF</v>
      </c>
      <c r="M317"/>
    </row>
    <row r="318" spans="1:215">
      <c r="A318" t="s">
        <v>666</v>
      </c>
      <c r="B318"/>
      <c r="C318" t="s">
        <v>67</v>
      </c>
      <c r="D318" t="s">
        <v>665</v>
      </c>
      <c r="E318" t="s">
        <v>73</v>
      </c>
      <c r="F318">
        <v>0</v>
      </c>
      <c r="G318">
        <v>0</v>
      </c>
      <c r="H318">
        <v>0</v>
      </c>
      <c r="I318">
        <v>23304</v>
      </c>
      <c r="J318" t="s">
        <v>660</v>
      </c>
      <c r="K318">
        <v>277</v>
      </c>
      <c r="L318" t="str">
        <f>Hyperlink("http://www.seavest.co.za/inv/fpdf16/inv-preview.php?Id=42532","Click for Invoice PDF")</f>
        <v>Click for Invoice PDF</v>
      </c>
      <c r="M318"/>
    </row>
    <row r="319" spans="1:215">
      <c r="A319" t="s">
        <v>667</v>
      </c>
      <c r="B319"/>
      <c r="C319" t="s">
        <v>67</v>
      </c>
      <c r="D319" t="s">
        <v>665</v>
      </c>
      <c r="E319" t="s">
        <v>73</v>
      </c>
      <c r="F319">
        <v>0</v>
      </c>
      <c r="G319">
        <v>0</v>
      </c>
      <c r="H319">
        <v>0</v>
      </c>
      <c r="I319">
        <v>23305</v>
      </c>
      <c r="J319" t="s">
        <v>660</v>
      </c>
      <c r="K319">
        <v>277</v>
      </c>
      <c r="L319" t="str">
        <f>Hyperlink("http://www.seavest.co.za/inv/fpdf16/inv-preview.php?Id=42534","Click for Invoice PDF")</f>
        <v>Click for Invoice PDF</v>
      </c>
      <c r="M319"/>
    </row>
    <row r="320" spans="1:215">
      <c r="A320" t="s">
        <v>668</v>
      </c>
      <c r="B320"/>
      <c r="C320" t="s">
        <v>67</v>
      </c>
      <c r="D320" t="s">
        <v>665</v>
      </c>
      <c r="E320" t="s">
        <v>73</v>
      </c>
      <c r="F320">
        <v>0</v>
      </c>
      <c r="G320">
        <v>0</v>
      </c>
      <c r="H320">
        <v>0</v>
      </c>
      <c r="I320">
        <v>23306</v>
      </c>
      <c r="J320" t="s">
        <v>660</v>
      </c>
      <c r="K320">
        <v>277</v>
      </c>
      <c r="L320" t="str">
        <f>Hyperlink("http://www.seavest.co.za/inv/fpdf16/inv-preview.php?Id=42536","Click for Invoice PDF")</f>
        <v>Click for Invoice PDF</v>
      </c>
      <c r="M320"/>
    </row>
    <row r="321" spans="1:215">
      <c r="A321" t="s">
        <v>669</v>
      </c>
      <c r="B321"/>
      <c r="C321" t="s">
        <v>67</v>
      </c>
      <c r="D321" t="s">
        <v>670</v>
      </c>
      <c r="E321" t="s">
        <v>238</v>
      </c>
      <c r="F321">
        <v>0</v>
      </c>
      <c r="G321">
        <v>0</v>
      </c>
      <c r="H321">
        <v>0</v>
      </c>
      <c r="I321">
        <v>23085</v>
      </c>
      <c r="J321" t="s">
        <v>660</v>
      </c>
      <c r="K321">
        <v>277</v>
      </c>
      <c r="L321" t="str">
        <f>Hyperlink("http://www.seavest.co.za/inv/fpdf16/inv-preview.php?Id=42632","Click for Invoice PDF")</f>
        <v>Click for Invoice PDF</v>
      </c>
      <c r="M321"/>
    </row>
    <row r="322" spans="1:215">
      <c r="A322" t="s">
        <v>671</v>
      </c>
      <c r="B322"/>
      <c r="C322" t="s">
        <v>67</v>
      </c>
      <c r="D322" t="s">
        <v>453</v>
      </c>
      <c r="E322" t="s">
        <v>73</v>
      </c>
      <c r="F322">
        <v>0</v>
      </c>
      <c r="G322">
        <v>0</v>
      </c>
      <c r="H322">
        <v>0</v>
      </c>
      <c r="I322">
        <v>23095</v>
      </c>
      <c r="J322" t="s">
        <v>660</v>
      </c>
      <c r="K322">
        <v>277</v>
      </c>
      <c r="L322" t="str">
        <f>Hyperlink("http://www.seavest.co.za/inv/fpdf16/inv-preview.php?Id=42644","Click for Invoice PDF")</f>
        <v>Click for Invoice PDF</v>
      </c>
      <c r="M322"/>
    </row>
    <row r="323" spans="1:215">
      <c r="A323" t="s">
        <v>672</v>
      </c>
      <c r="B323"/>
      <c r="C323" t="s">
        <v>67</v>
      </c>
      <c r="D323" t="s">
        <v>453</v>
      </c>
      <c r="E323" t="s">
        <v>73</v>
      </c>
      <c r="F323">
        <v>0</v>
      </c>
      <c r="G323">
        <v>0</v>
      </c>
      <c r="H323">
        <v>0</v>
      </c>
      <c r="I323">
        <v>23096</v>
      </c>
      <c r="J323" t="s">
        <v>660</v>
      </c>
      <c r="K323">
        <v>277</v>
      </c>
      <c r="L323" t="str">
        <f>Hyperlink("http://www.seavest.co.za/inv/fpdf16/inv-preview.php?Id=42659","Click for Invoice PDF")</f>
        <v>Click for Invoice PDF</v>
      </c>
      <c r="M323"/>
    </row>
    <row r="324" spans="1:215">
      <c r="A324" t="s">
        <v>673</v>
      </c>
      <c r="B324"/>
      <c r="C324" t="s">
        <v>67</v>
      </c>
      <c r="D324" t="s">
        <v>539</v>
      </c>
      <c r="E324" t="s">
        <v>73</v>
      </c>
      <c r="F324">
        <v>15115.2</v>
      </c>
      <c r="G324">
        <v>2116.13</v>
      </c>
      <c r="H324">
        <v>17231.33</v>
      </c>
      <c r="I324">
        <v>25273</v>
      </c>
      <c r="J324" t="s">
        <v>674</v>
      </c>
      <c r="K324">
        <v>1</v>
      </c>
      <c r="L324" t="str">
        <f>Hyperlink("http://www.seavest.co.za/inv/fpdf16/inv-preview.php?Id=44595","Click for Invoice PDF")</f>
        <v>Click for Invoice PDF</v>
      </c>
      <c r="M324"/>
    </row>
    <row r="325" spans="1:215">
      <c r="A325" t="s">
        <v>675</v>
      </c>
      <c r="B325"/>
      <c r="C325" t="s">
        <v>14</v>
      </c>
      <c r="D325" t="s">
        <v>15</v>
      </c>
      <c r="E325" t="s">
        <v>176</v>
      </c>
      <c r="F325">
        <v>13493.5</v>
      </c>
      <c r="G325">
        <v>1889.09</v>
      </c>
      <c r="H325">
        <v>15382.59</v>
      </c>
      <c r="I325">
        <v>22018</v>
      </c>
      <c r="J325" t="s">
        <v>676</v>
      </c>
      <c r="K325">
        <v>27</v>
      </c>
      <c r="L325" t="str">
        <f>Hyperlink("http://www.seavest.co.za/inv/fpdf16/inv-preview.php?Id=41593","Click for Invoice PDF")</f>
        <v>Click for Invoice PDF</v>
      </c>
      <c r="M325"/>
    </row>
    <row r="326" spans="1:215">
      <c r="A326" t="s">
        <v>677</v>
      </c>
      <c r="B326"/>
      <c r="C326" t="s">
        <v>14</v>
      </c>
      <c r="D326" t="s">
        <v>488</v>
      </c>
      <c r="E326" t="s">
        <v>176</v>
      </c>
      <c r="F326">
        <v>0</v>
      </c>
      <c r="G326">
        <v>0</v>
      </c>
      <c r="H326">
        <v>0</v>
      </c>
      <c r="I326">
        <v>24213</v>
      </c>
      <c r="J326" t="s">
        <v>678</v>
      </c>
      <c r="K326">
        <v>126</v>
      </c>
      <c r="L326" t="str">
        <f>Hyperlink("http://www.seavest.co.za/inv/fpdf16/inv-preview.php?Id=43079","Click for Invoice PDF")</f>
        <v>Click for Invoice PDF</v>
      </c>
      <c r="M326"/>
    </row>
    <row r="327" spans="1:215">
      <c r="A327" t="s">
        <v>679</v>
      </c>
      <c r="B327"/>
      <c r="C327" t="s">
        <v>67</v>
      </c>
      <c r="D327" t="s">
        <v>95</v>
      </c>
      <c r="E327" t="s">
        <v>259</v>
      </c>
      <c r="F327">
        <v>8799.200000000001</v>
      </c>
      <c r="G327">
        <v>1319.88</v>
      </c>
      <c r="H327">
        <v>10119.08</v>
      </c>
      <c r="I327">
        <v>25291</v>
      </c>
      <c r="J327" t="s">
        <v>678</v>
      </c>
      <c r="K327">
        <v>126</v>
      </c>
      <c r="L327" t="str">
        <f>Hyperlink("http://www.seavest.co.za/inv/fpdf16/inv-preview.php?Id=44370","Click for Invoice PDF")</f>
        <v>Click for Invoice PDF</v>
      </c>
      <c r="M327"/>
    </row>
    <row r="328" spans="1:215">
      <c r="A328" t="s">
        <v>680</v>
      </c>
      <c r="B328"/>
      <c r="C328" t="s">
        <v>14</v>
      </c>
      <c r="D328" t="s">
        <v>681</v>
      </c>
      <c r="E328" t="s">
        <v>176</v>
      </c>
      <c r="F328">
        <v>20544.22</v>
      </c>
      <c r="G328">
        <v>3081.63</v>
      </c>
      <c r="H328">
        <v>23625.85</v>
      </c>
      <c r="I328">
        <v>24111</v>
      </c>
      <c r="J328" t="s">
        <v>682</v>
      </c>
      <c r="K328">
        <v>218</v>
      </c>
      <c r="L328" t="str">
        <f>Hyperlink("http://www.seavest.co.za/inv/fpdf16/inv-preview.php?Id=43501","Click for Invoice PDF")</f>
        <v>Click for Invoice PDF</v>
      </c>
      <c r="M328"/>
    </row>
    <row r="329" spans="1:215">
      <c r="A329" t="s">
        <v>683</v>
      </c>
      <c r="B329"/>
      <c r="C329" t="s">
        <v>14</v>
      </c>
      <c r="D329" t="s">
        <v>374</v>
      </c>
      <c r="E329" t="s">
        <v>176</v>
      </c>
      <c r="F329">
        <v>8883.48</v>
      </c>
      <c r="G329">
        <v>1332.52</v>
      </c>
      <c r="H329">
        <v>10216</v>
      </c>
      <c r="I329">
        <v>24342</v>
      </c>
      <c r="J329" t="s">
        <v>682</v>
      </c>
      <c r="K329">
        <v>217</v>
      </c>
      <c r="L329" t="str">
        <f>Hyperlink("http://www.seavest.co.za/inv/fpdf16/inv-preview.php?Id=43717","Click for Invoice PDF")</f>
        <v>Click for Invoice PDF</v>
      </c>
      <c r="M329"/>
    </row>
    <row r="330" spans="1:215">
      <c r="A330" t="s">
        <v>684</v>
      </c>
      <c r="B330"/>
      <c r="C330" t="s">
        <v>67</v>
      </c>
      <c r="D330" t="s">
        <v>663</v>
      </c>
      <c r="E330" t="s">
        <v>73</v>
      </c>
      <c r="F330">
        <v>9999999.99</v>
      </c>
      <c r="G330">
        <v>902.1799999999999</v>
      </c>
      <c r="H330">
        <v>6916.68</v>
      </c>
      <c r="I330">
        <v>23969</v>
      </c>
      <c r="J330" t="s">
        <v>682</v>
      </c>
      <c r="K330">
        <v>218</v>
      </c>
      <c r="L330" t="str">
        <f>Hyperlink("http://www.seavest.co.za/inv/fpdf16/inv-preview.php?Id=42690","Click for Invoice PDF")</f>
        <v>Click for Invoice PDF</v>
      </c>
      <c r="M330"/>
    </row>
    <row r="331" spans="1:215">
      <c r="A331" t="s">
        <v>685</v>
      </c>
      <c r="B331"/>
      <c r="C331" t="s">
        <v>67</v>
      </c>
      <c r="D331" t="s">
        <v>686</v>
      </c>
      <c r="E331" t="s">
        <v>209</v>
      </c>
      <c r="F331">
        <v>11787.76</v>
      </c>
      <c r="G331">
        <v>1768.16</v>
      </c>
      <c r="H331">
        <v>13555.92</v>
      </c>
      <c r="I331">
        <v>24341</v>
      </c>
      <c r="J331" t="s">
        <v>682</v>
      </c>
      <c r="K331">
        <v>208</v>
      </c>
      <c r="L331" t="str">
        <f>Hyperlink("http://www.seavest.co.za/inv/fpdf16/inv-preview.php?Id=43698","Click for Invoice PDF")</f>
        <v>Click for Invoice PDF</v>
      </c>
      <c r="M331"/>
    </row>
    <row r="332" spans="1:215">
      <c r="A332" t="s">
        <v>687</v>
      </c>
      <c r="B332"/>
      <c r="C332" t="s">
        <v>67</v>
      </c>
      <c r="D332" t="s">
        <v>592</v>
      </c>
      <c r="E332" t="s">
        <v>73</v>
      </c>
      <c r="F332">
        <v>5066.2</v>
      </c>
      <c r="G332">
        <v>759.9299999999999</v>
      </c>
      <c r="H332">
        <v>5826.13</v>
      </c>
      <c r="I332">
        <v>24153</v>
      </c>
      <c r="J332" t="s">
        <v>682</v>
      </c>
      <c r="K332">
        <v>218</v>
      </c>
      <c r="L332" t="str">
        <f>Hyperlink("http://www.seavest.co.za/inv/fpdf16/inv-preview.php?Id=43659","Click for Invoice PDF")</f>
        <v>Click for Invoice PDF</v>
      </c>
      <c r="M332"/>
    </row>
    <row r="333" spans="1:215">
      <c r="A333" t="s">
        <v>688</v>
      </c>
      <c r="B333"/>
      <c r="C333" t="s">
        <v>67</v>
      </c>
      <c r="D333" t="s">
        <v>689</v>
      </c>
      <c r="E333" t="s">
        <v>176</v>
      </c>
      <c r="F333">
        <v>10712.32</v>
      </c>
      <c r="G333">
        <v>1606.85</v>
      </c>
      <c r="H333">
        <v>12319.17</v>
      </c>
      <c r="I333">
        <v>24278</v>
      </c>
      <c r="J333" t="s">
        <v>682</v>
      </c>
      <c r="K333">
        <v>218</v>
      </c>
      <c r="L333" t="str">
        <f>Hyperlink("http://www.seavest.co.za/inv/fpdf16/inv-preview.php?Id=43759","Click for Invoice PDF")</f>
        <v>Click for Invoice PDF</v>
      </c>
      <c r="M333"/>
    </row>
    <row r="334" spans="1:215">
      <c r="A334" t="s">
        <v>690</v>
      </c>
      <c r="B334"/>
      <c r="C334" t="s">
        <v>67</v>
      </c>
      <c r="D334" t="s">
        <v>95</v>
      </c>
      <c r="E334" t="s">
        <v>259</v>
      </c>
      <c r="F334">
        <v>12087.96</v>
      </c>
      <c r="G334">
        <v>1813.19</v>
      </c>
      <c r="H334">
        <v>13901.15</v>
      </c>
      <c r="I334">
        <v>24384</v>
      </c>
      <c r="J334" t="s">
        <v>682</v>
      </c>
      <c r="K334">
        <v>218</v>
      </c>
      <c r="L334" t="str">
        <f>Hyperlink("http://www.seavest.co.za/inv/fpdf16/inv-preview.php?Id=43805","Click for Invoice PDF")</f>
        <v>Click for Invoice PDF</v>
      </c>
      <c r="M334"/>
    </row>
    <row r="335" spans="1:215">
      <c r="A335" t="s">
        <v>691</v>
      </c>
      <c r="B335"/>
      <c r="C335" t="s">
        <v>67</v>
      </c>
      <c r="D335" t="s">
        <v>692</v>
      </c>
      <c r="E335" t="s">
        <v>183</v>
      </c>
      <c r="F335">
        <v>0</v>
      </c>
      <c r="G335">
        <v>0</v>
      </c>
      <c r="H335">
        <v>0</v>
      </c>
      <c r="I335">
        <v>20268</v>
      </c>
      <c r="J335" t="s">
        <v>693</v>
      </c>
      <c r="K335">
        <v>34</v>
      </c>
      <c r="L335" t="str">
        <f>Hyperlink("http://www.seavest.co.za/inv/fpdf16/inv-preview.php?Id=39970","Click for Invoice PDF")</f>
        <v>Click for Invoice PDF</v>
      </c>
      <c r="M335"/>
    </row>
    <row r="336" spans="1:215">
      <c r="A336" t="s">
        <v>694</v>
      </c>
      <c r="B336"/>
      <c r="C336" t="s">
        <v>67</v>
      </c>
      <c r="D336" t="s">
        <v>453</v>
      </c>
      <c r="E336" t="s">
        <v>294</v>
      </c>
      <c r="F336">
        <v>1287.2</v>
      </c>
      <c r="G336">
        <v>193.08</v>
      </c>
      <c r="H336">
        <v>1480.28</v>
      </c>
      <c r="I336">
        <v>20243</v>
      </c>
      <c r="J336" t="s">
        <v>693</v>
      </c>
      <c r="K336">
        <v>21</v>
      </c>
      <c r="L336" t="str">
        <f>Hyperlink("http://www.seavest.co.za/inv/fpdf16/inv-preview.php?Id=39999","Click for Invoice PDF")</f>
        <v>Click for Invoice PDF</v>
      </c>
      <c r="M336"/>
    </row>
    <row r="337" spans="1:215">
      <c r="A337" t="s">
        <v>695</v>
      </c>
      <c r="B337"/>
      <c r="C337" t="s">
        <v>14</v>
      </c>
      <c r="D337" t="s">
        <v>24</v>
      </c>
      <c r="E337" t="s">
        <v>176</v>
      </c>
      <c r="F337">
        <v>2927.04</v>
      </c>
      <c r="G337">
        <v>409.79</v>
      </c>
      <c r="H337">
        <v>3336.83</v>
      </c>
      <c r="I337">
        <v>0</v>
      </c>
      <c r="J337" t="s">
        <v>696</v>
      </c>
      <c r="K337">
        <v>28</v>
      </c>
      <c r="L337" t="str">
        <f>Hyperlink("http://www.seavest.co.za/inv/fpdf16/inv-preview.php?Id=44981","Click for Invoice PDF")</f>
        <v>Click for Invoice PDF</v>
      </c>
      <c r="M337"/>
    </row>
    <row r="338" spans="1:215">
      <c r="A338" t="s">
        <v>697</v>
      </c>
      <c r="B338"/>
      <c r="C338" t="s">
        <v>14</v>
      </c>
      <c r="D338" t="s">
        <v>21</v>
      </c>
      <c r="E338" t="s">
        <v>176</v>
      </c>
      <c r="F338">
        <v>8286.48</v>
      </c>
      <c r="G338">
        <v>0</v>
      </c>
      <c r="H338">
        <v>8286.48</v>
      </c>
      <c r="I338">
        <v>0</v>
      </c>
      <c r="J338" t="s">
        <v>696</v>
      </c>
      <c r="K338">
        <v>28</v>
      </c>
      <c r="L338" t="str">
        <f>Hyperlink("http://www.seavest.co.za/inv/fpdf16/inv-preview.php?Id=44980","Click for Invoice PDF")</f>
        <v>Click for Invoice PDF</v>
      </c>
      <c r="M338"/>
    </row>
    <row r="339" spans="1:215">
      <c r="A339" t="s">
        <v>698</v>
      </c>
      <c r="B339"/>
      <c r="C339" t="s">
        <v>14</v>
      </c>
      <c r="D339" t="s">
        <v>699</v>
      </c>
      <c r="E339" t="s">
        <v>176</v>
      </c>
      <c r="F339">
        <v>1280.4</v>
      </c>
      <c r="G339">
        <v>192.06</v>
      </c>
      <c r="H339">
        <v>1472.46</v>
      </c>
      <c r="I339">
        <v>25713</v>
      </c>
      <c r="J339" t="s">
        <v>696</v>
      </c>
      <c r="K339">
        <v>28</v>
      </c>
      <c r="L339" t="str">
        <f>Hyperlink("http://www.seavest.co.za/inv/fpdf16/inv-preview.php?Id=44869","Click for Invoice PDF")</f>
        <v>Click for Invoice PDF</v>
      </c>
      <c r="M339"/>
    </row>
    <row r="340" spans="1:215">
      <c r="A340" t="s">
        <v>700</v>
      </c>
      <c r="B340"/>
      <c r="C340" t="s">
        <v>14</v>
      </c>
      <c r="D340" t="s">
        <v>30</v>
      </c>
      <c r="E340" t="s">
        <v>176</v>
      </c>
      <c r="F340">
        <v>11370.8</v>
      </c>
      <c r="G340">
        <v>1591.91</v>
      </c>
      <c r="H340">
        <v>12962.71</v>
      </c>
      <c r="I340">
        <v>25718</v>
      </c>
      <c r="J340" t="s">
        <v>696</v>
      </c>
      <c r="K340">
        <v>28</v>
      </c>
      <c r="L340" t="str">
        <f>Hyperlink("http://www.seavest.co.za/inv/fpdf16/inv-preview.php?Id=44986","Click for Invoice PDF")</f>
        <v>Click for Invoice PDF</v>
      </c>
      <c r="M340"/>
    </row>
    <row r="341" spans="1:215">
      <c r="A341" t="s">
        <v>701</v>
      </c>
      <c r="B341"/>
      <c r="C341" t="s">
        <v>67</v>
      </c>
      <c r="D341" t="s">
        <v>146</v>
      </c>
      <c r="E341" t="s">
        <v>82</v>
      </c>
      <c r="F341">
        <v>3412.14</v>
      </c>
      <c r="G341">
        <v>511.82</v>
      </c>
      <c r="H341">
        <v>3923.96</v>
      </c>
      <c r="I341">
        <v>25710</v>
      </c>
      <c r="J341" t="s">
        <v>696</v>
      </c>
      <c r="K341">
        <v>8</v>
      </c>
      <c r="L341" t="str">
        <f>Hyperlink("http://www.seavest.co.za/inv/fpdf16/inv-preview.php?Id=44979","Click for Invoice PDF")</f>
        <v>Click for Invoice PDF</v>
      </c>
      <c r="M341"/>
    </row>
    <row r="342" spans="1:215">
      <c r="A342" t="s">
        <v>702</v>
      </c>
      <c r="B342"/>
      <c r="C342" t="s">
        <v>67</v>
      </c>
      <c r="D342" t="s">
        <v>703</v>
      </c>
      <c r="E342" t="s">
        <v>238</v>
      </c>
      <c r="F342">
        <v>4763.56</v>
      </c>
      <c r="G342">
        <v>714.53</v>
      </c>
      <c r="H342">
        <v>5478.09</v>
      </c>
      <c r="I342">
        <v>25708</v>
      </c>
      <c r="J342" t="s">
        <v>696</v>
      </c>
      <c r="K342">
        <v>6</v>
      </c>
      <c r="L342" t="str">
        <f>Hyperlink("http://www.seavest.co.za/inv/fpdf16/inv-preview.php?Id=44974","Click for Invoice PDF")</f>
        <v>Click for Invoice PDF</v>
      </c>
      <c r="M342"/>
    </row>
    <row r="343" spans="1:215">
      <c r="A343" t="s">
        <v>704</v>
      </c>
      <c r="B343"/>
      <c r="C343" t="s">
        <v>14</v>
      </c>
      <c r="D343" t="s">
        <v>251</v>
      </c>
      <c r="E343" t="s">
        <v>176</v>
      </c>
      <c r="F343">
        <v>4699.26</v>
      </c>
      <c r="G343">
        <v>704.89</v>
      </c>
      <c r="H343">
        <v>5404.15</v>
      </c>
      <c r="I343">
        <v>25483</v>
      </c>
      <c r="J343" t="s">
        <v>705</v>
      </c>
      <c r="K343">
        <v>62</v>
      </c>
      <c r="L343" t="str">
        <f>Hyperlink("http://www.seavest.co.za/inv/fpdf16/inv-preview.php?Id=44785","Click for Invoice PDF")</f>
        <v>Click for Invoice PDF</v>
      </c>
      <c r="M343"/>
    </row>
    <row r="344" spans="1:215">
      <c r="A344" t="s">
        <v>706</v>
      </c>
      <c r="B344"/>
      <c r="C344" t="s">
        <v>67</v>
      </c>
      <c r="D344" t="s">
        <v>592</v>
      </c>
      <c r="E344" t="s">
        <v>73</v>
      </c>
      <c r="F344">
        <v>0</v>
      </c>
      <c r="G344">
        <v>0</v>
      </c>
      <c r="H344">
        <v>0</v>
      </c>
      <c r="I344">
        <v>23401</v>
      </c>
      <c r="J344" t="s">
        <v>707</v>
      </c>
      <c r="K344">
        <v>307</v>
      </c>
      <c r="L344" t="str">
        <f>Hyperlink("http://www.seavest.co.za/inv/fpdf16/inv-preview.php?Id=42185","Click for Invoice PDF")</f>
        <v>Click for Invoice PDF</v>
      </c>
      <c r="M344"/>
    </row>
    <row r="345" spans="1:215">
      <c r="A345" t="s">
        <v>708</v>
      </c>
      <c r="B345"/>
      <c r="C345" t="s">
        <v>67</v>
      </c>
      <c r="D345" t="s">
        <v>365</v>
      </c>
      <c r="E345" t="s">
        <v>218</v>
      </c>
      <c r="F345">
        <v>0</v>
      </c>
      <c r="G345">
        <v>0</v>
      </c>
      <c r="H345">
        <v>0</v>
      </c>
      <c r="I345">
        <v>23136</v>
      </c>
      <c r="J345" t="s">
        <v>707</v>
      </c>
      <c r="K345">
        <v>307</v>
      </c>
      <c r="L345" t="str">
        <f>Hyperlink("http://www.seavest.co.za/inv/fpdf16/inv-preview.php?Id=42253","Click for Invoice PDF")</f>
        <v>Click for Invoice PDF</v>
      </c>
      <c r="M345"/>
    </row>
    <row r="346" spans="1:215">
      <c r="A346" t="s">
        <v>709</v>
      </c>
      <c r="B346"/>
      <c r="C346" t="s">
        <v>67</v>
      </c>
      <c r="D346" t="s">
        <v>77</v>
      </c>
      <c r="E346" t="s">
        <v>238</v>
      </c>
      <c r="F346">
        <v>0</v>
      </c>
      <c r="G346">
        <v>0</v>
      </c>
      <c r="H346">
        <v>0</v>
      </c>
      <c r="I346">
        <v>22756</v>
      </c>
      <c r="J346" t="s">
        <v>707</v>
      </c>
      <c r="K346">
        <v>307</v>
      </c>
      <c r="L346" t="str">
        <f>Hyperlink("http://www.seavest.co.za/inv/fpdf16/inv-preview.php?Id=42300","Click for Invoice PDF")</f>
        <v>Click for Invoice PDF</v>
      </c>
      <c r="M346"/>
    </row>
    <row r="347" spans="1:215">
      <c r="A347" t="s">
        <v>710</v>
      </c>
      <c r="B347"/>
      <c r="C347" t="s">
        <v>67</v>
      </c>
      <c r="D347" t="s">
        <v>559</v>
      </c>
      <c r="E347"/>
      <c r="F347">
        <v>5728.1</v>
      </c>
      <c r="G347">
        <v>859.22</v>
      </c>
      <c r="H347">
        <v>6587.32</v>
      </c>
      <c r="I347">
        <v>21092</v>
      </c>
      <c r="J347" t="s">
        <v>711</v>
      </c>
      <c r="K347">
        <v>609</v>
      </c>
      <c r="L347" t="str">
        <f>Hyperlink("http://www.seavest.co.za/inv/fpdf16/inv-preview.php?Id=40755","Click for Invoice PDF")</f>
        <v>Click for Invoice PDF</v>
      </c>
      <c r="M347"/>
    </row>
    <row r="348" spans="1:215">
      <c r="A348" t="s">
        <v>712</v>
      </c>
      <c r="B348"/>
      <c r="C348" t="s">
        <v>67</v>
      </c>
      <c r="D348" t="s">
        <v>134</v>
      </c>
      <c r="E348" t="s">
        <v>209</v>
      </c>
      <c r="F348">
        <v>36622.1</v>
      </c>
      <c r="G348">
        <v>5493.32</v>
      </c>
      <c r="H348">
        <v>42115.42</v>
      </c>
      <c r="I348">
        <v>20918</v>
      </c>
      <c r="J348" t="s">
        <v>711</v>
      </c>
      <c r="K348">
        <v>609</v>
      </c>
      <c r="L348" t="str">
        <f>Hyperlink("http://www.seavest.co.za/inv/fpdf16/inv-preview.php?Id=40498","Click for Invoice PDF")</f>
        <v>Click for Invoice PDF</v>
      </c>
      <c r="M348"/>
    </row>
    <row r="349" spans="1:215">
      <c r="A349" t="s">
        <v>713</v>
      </c>
      <c r="B349"/>
      <c r="C349" t="s">
        <v>14</v>
      </c>
      <c r="D349" t="s">
        <v>189</v>
      </c>
      <c r="E349" t="s">
        <v>485</v>
      </c>
      <c r="F349">
        <v>9112.9</v>
      </c>
      <c r="G349">
        <v>1366.94</v>
      </c>
      <c r="H349">
        <v>10479.84</v>
      </c>
      <c r="I349">
        <v>20686</v>
      </c>
      <c r="J349" t="s">
        <v>714</v>
      </c>
      <c r="K349">
        <v>632</v>
      </c>
      <c r="L349" t="str">
        <f>Hyperlink("http://www.seavest.co.za/inv/fpdf16/inv-preview.php?Id=40325","Click for Invoice PDF")</f>
        <v>Click for Invoice PDF</v>
      </c>
      <c r="M349"/>
    </row>
    <row r="350" spans="1:215">
      <c r="A350" t="s">
        <v>715</v>
      </c>
      <c r="B350"/>
      <c r="C350" t="s">
        <v>14</v>
      </c>
      <c r="D350" t="s">
        <v>251</v>
      </c>
      <c r="E350" t="s">
        <v>110</v>
      </c>
      <c r="F350">
        <v>3616.4</v>
      </c>
      <c r="G350">
        <v>542.46</v>
      </c>
      <c r="H350">
        <v>4158.86</v>
      </c>
      <c r="I350">
        <v>20710</v>
      </c>
      <c r="J350" t="s">
        <v>714</v>
      </c>
      <c r="K350">
        <v>632</v>
      </c>
      <c r="L350" t="str">
        <f>Hyperlink("http://www.seavest.co.za/inv/fpdf16/inv-preview.php?Id=40377","Click for Invoice PDF")</f>
        <v>Click for Invoice PDF</v>
      </c>
      <c r="M350"/>
    </row>
    <row r="351" spans="1:215">
      <c r="A351" t="s">
        <v>716</v>
      </c>
      <c r="B351"/>
      <c r="C351" t="s">
        <v>67</v>
      </c>
      <c r="D351" t="s">
        <v>365</v>
      </c>
      <c r="E351" t="s">
        <v>183</v>
      </c>
      <c r="F351">
        <v>0</v>
      </c>
      <c r="G351">
        <v>0</v>
      </c>
      <c r="H351">
        <v>0</v>
      </c>
      <c r="I351">
        <v>22866</v>
      </c>
      <c r="J351" t="s">
        <v>717</v>
      </c>
      <c r="K351">
        <v>276</v>
      </c>
      <c r="L351" t="str">
        <f>Hyperlink("http://www.seavest.co.za/inv/fpdf16/inv-preview.php?Id=42427","Click for Invoice PDF")</f>
        <v>Click for Invoice PDF</v>
      </c>
      <c r="M351"/>
    </row>
    <row r="352" spans="1:215">
      <c r="A352" t="s">
        <v>718</v>
      </c>
      <c r="B352"/>
      <c r="C352" t="s">
        <v>67</v>
      </c>
      <c r="D352" t="s">
        <v>719</v>
      </c>
      <c r="E352" t="s">
        <v>209</v>
      </c>
      <c r="F352">
        <v>6431.15</v>
      </c>
      <c r="G352">
        <v>964.67</v>
      </c>
      <c r="H352">
        <v>7395.82</v>
      </c>
      <c r="I352">
        <v>23451</v>
      </c>
      <c r="J352" t="s">
        <v>717</v>
      </c>
      <c r="K352">
        <v>276</v>
      </c>
      <c r="L352" t="str">
        <f>Hyperlink("http://www.seavest.co.za/inv/fpdf16/inv-preview.php?Id=43043","Click for Invoice PDF")</f>
        <v>Click for Invoice PDF</v>
      </c>
      <c r="M352"/>
    </row>
    <row r="353" spans="1:215">
      <c r="A353" t="s">
        <v>720</v>
      </c>
      <c r="B353"/>
      <c r="C353" t="s">
        <v>67</v>
      </c>
      <c r="D353" t="s">
        <v>592</v>
      </c>
      <c r="E353" t="s">
        <v>73</v>
      </c>
      <c r="F353">
        <v>0</v>
      </c>
      <c r="G353">
        <v>0</v>
      </c>
      <c r="H353">
        <v>0</v>
      </c>
      <c r="I353">
        <v>23163</v>
      </c>
      <c r="J353" t="s">
        <v>717</v>
      </c>
      <c r="K353">
        <v>276</v>
      </c>
      <c r="L353" t="str">
        <f>Hyperlink("http://www.seavest.co.za/inv/fpdf16/inv-preview.php?Id=42657","Click for Invoice PDF")</f>
        <v>Click for Invoice PDF</v>
      </c>
      <c r="M353"/>
    </row>
    <row r="354" spans="1:215">
      <c r="A354" t="s">
        <v>721</v>
      </c>
      <c r="B354"/>
      <c r="C354" t="s">
        <v>67</v>
      </c>
      <c r="D354" t="s">
        <v>722</v>
      </c>
      <c r="E354" t="s">
        <v>183</v>
      </c>
      <c r="F354">
        <v>0</v>
      </c>
      <c r="G354">
        <v>0</v>
      </c>
      <c r="H354">
        <v>0</v>
      </c>
      <c r="I354">
        <v>23745</v>
      </c>
      <c r="J354" t="s">
        <v>717</v>
      </c>
      <c r="K354">
        <v>210</v>
      </c>
      <c r="L354" t="str">
        <f>Hyperlink("http://www.seavest.co.za/inv/fpdf16/inv-preview.php?Id=42966","Click for Invoice PDF")</f>
        <v>Click for Invoice PDF</v>
      </c>
      <c r="M354"/>
    </row>
    <row r="355" spans="1:215">
      <c r="A355" t="s">
        <v>723</v>
      </c>
      <c r="B355"/>
      <c r="C355" t="s">
        <v>67</v>
      </c>
      <c r="D355" t="s">
        <v>208</v>
      </c>
      <c r="E355" t="s">
        <v>183</v>
      </c>
      <c r="F355">
        <v>9999999.99</v>
      </c>
      <c r="G355">
        <v>0</v>
      </c>
      <c r="H355">
        <v>0</v>
      </c>
      <c r="I355">
        <v>23748</v>
      </c>
      <c r="J355" t="s">
        <v>717</v>
      </c>
      <c r="K355">
        <v>246</v>
      </c>
      <c r="L355" t="str">
        <f>Hyperlink("http://www.seavest.co.za/inv/fpdf16/inv-preview.php?Id=43205","Click for Invoice PDF")</f>
        <v>Click for Invoice PDF</v>
      </c>
      <c r="M355"/>
    </row>
    <row r="356" spans="1:215">
      <c r="A356" t="s">
        <v>724</v>
      </c>
      <c r="B356"/>
      <c r="C356" t="s">
        <v>67</v>
      </c>
      <c r="D356" t="s">
        <v>151</v>
      </c>
      <c r="E356" t="s">
        <v>82</v>
      </c>
      <c r="F356">
        <v>248.4</v>
      </c>
      <c r="G356">
        <v>37.26</v>
      </c>
      <c r="H356">
        <v>285.66</v>
      </c>
      <c r="I356">
        <v>23751</v>
      </c>
      <c r="J356" t="s">
        <v>717</v>
      </c>
      <c r="K356">
        <v>258</v>
      </c>
      <c r="L356" t="str">
        <f>Hyperlink("http://www.seavest.co.za/inv/fpdf16/inv-preview.php?Id=43271","Click for Invoice PDF")</f>
        <v>Click for Invoice PDF</v>
      </c>
      <c r="M356"/>
    </row>
    <row r="357" spans="1:215">
      <c r="A357" t="s">
        <v>725</v>
      </c>
      <c r="B357"/>
      <c r="C357" t="s">
        <v>67</v>
      </c>
      <c r="D357" t="s">
        <v>75</v>
      </c>
      <c r="E357"/>
      <c r="F357">
        <v>11065.42</v>
      </c>
      <c r="G357">
        <v>0</v>
      </c>
      <c r="H357">
        <v>11065.42</v>
      </c>
      <c r="I357">
        <v>25280</v>
      </c>
      <c r="J357" t="s">
        <v>726</v>
      </c>
      <c r="K357">
        <v>90</v>
      </c>
      <c r="L357" t="str">
        <f>Hyperlink("http://www.seavest.co.za/inv/fpdf16/inv-preview.php?Id=44607","Click for Invoice PDF")</f>
        <v>Click for Invoice PDF</v>
      </c>
      <c r="M357"/>
    </row>
    <row r="358" spans="1:215">
      <c r="A358" t="s">
        <v>727</v>
      </c>
      <c r="B358"/>
      <c r="C358" t="s">
        <v>67</v>
      </c>
      <c r="D358" t="s">
        <v>622</v>
      </c>
      <c r="E358" t="s">
        <v>73</v>
      </c>
      <c r="F358">
        <v>6486.6</v>
      </c>
      <c r="G358">
        <v>908.12</v>
      </c>
      <c r="H358">
        <v>7394.72</v>
      </c>
      <c r="I358">
        <v>25274</v>
      </c>
      <c r="J358" t="s">
        <v>726</v>
      </c>
      <c r="K358">
        <v>2</v>
      </c>
      <c r="L358" t="str">
        <f>Hyperlink("http://www.seavest.co.za/inv/fpdf16/inv-preview.php?Id=44599","Click for Invoice PDF")</f>
        <v>Click for Invoice PDF</v>
      </c>
      <c r="M358"/>
    </row>
    <row r="359" spans="1:215">
      <c r="A359" t="s">
        <v>728</v>
      </c>
      <c r="B359"/>
      <c r="C359" t="s">
        <v>67</v>
      </c>
      <c r="D359" t="s">
        <v>362</v>
      </c>
      <c r="E359" t="s">
        <v>176</v>
      </c>
      <c r="F359">
        <v>12216.32</v>
      </c>
      <c r="G359">
        <v>1832.45</v>
      </c>
      <c r="H359">
        <v>14048.77</v>
      </c>
      <c r="I359">
        <v>24385</v>
      </c>
      <c r="J359" t="s">
        <v>729</v>
      </c>
      <c r="K359">
        <v>208</v>
      </c>
      <c r="L359" t="str">
        <f>Hyperlink("http://www.seavest.co.za/inv/fpdf16/inv-preview.php?Id=43794","Click for Invoice PDF")</f>
        <v>Click for Invoice PDF</v>
      </c>
      <c r="M359"/>
    </row>
    <row r="360" spans="1:215">
      <c r="A360" t="s">
        <v>730</v>
      </c>
      <c r="B360"/>
      <c r="C360" t="s">
        <v>14</v>
      </c>
      <c r="D360" t="s">
        <v>58</v>
      </c>
      <c r="E360" t="s">
        <v>176</v>
      </c>
      <c r="F360">
        <v>8011</v>
      </c>
      <c r="G360">
        <v>1201.65</v>
      </c>
      <c r="H360">
        <v>9212.65</v>
      </c>
      <c r="I360">
        <v>24787</v>
      </c>
      <c r="J360" t="s">
        <v>731</v>
      </c>
      <c r="K360">
        <v>152</v>
      </c>
      <c r="L360" t="str">
        <f>Hyperlink("http://www.seavest.co.za/inv/fpdf16/inv-preview.php?Id=44151","Click for Invoice PDF")</f>
        <v>Click for Invoice PDF</v>
      </c>
      <c r="M360"/>
    </row>
    <row r="361" spans="1:215">
      <c r="A361" t="s">
        <v>732</v>
      </c>
      <c r="B361"/>
      <c r="C361" t="s">
        <v>14</v>
      </c>
      <c r="D361" t="s">
        <v>58</v>
      </c>
      <c r="E361" t="s">
        <v>176</v>
      </c>
      <c r="F361">
        <v>6538</v>
      </c>
      <c r="G361">
        <v>980.7</v>
      </c>
      <c r="H361">
        <v>7518.7</v>
      </c>
      <c r="I361">
        <v>24870</v>
      </c>
      <c r="J361" t="s">
        <v>731</v>
      </c>
      <c r="K361">
        <v>154</v>
      </c>
      <c r="L361" t="str">
        <f>Hyperlink("http://www.seavest.co.za/inv/fpdf16/inv-preview.php?Id=44231","Click for Invoice PDF")</f>
        <v>Click for Invoice PDF</v>
      </c>
      <c r="M361"/>
    </row>
    <row r="362" spans="1:215">
      <c r="A362" t="s">
        <v>733</v>
      </c>
      <c r="B362"/>
      <c r="C362" t="s">
        <v>67</v>
      </c>
      <c r="D362" t="s">
        <v>734</v>
      </c>
      <c r="E362" t="s">
        <v>176</v>
      </c>
      <c r="F362">
        <v>9999999.99</v>
      </c>
      <c r="G362">
        <v>34546.35</v>
      </c>
      <c r="H362">
        <v>264855.35</v>
      </c>
      <c r="I362">
        <v>24876</v>
      </c>
      <c r="J362" t="s">
        <v>731</v>
      </c>
      <c r="K362">
        <v>155</v>
      </c>
      <c r="L362" t="str">
        <f>Hyperlink("http://www.seavest.co.za/inv/fpdf16/inv-preview.php?Id=43863","Click for Invoice PDF")</f>
        <v>Click for Invoice PDF</v>
      </c>
      <c r="M362"/>
    </row>
    <row r="363" spans="1:215">
      <c r="A363" t="s">
        <v>735</v>
      </c>
      <c r="B363"/>
      <c r="C363" t="s">
        <v>67</v>
      </c>
      <c r="D363" t="s">
        <v>217</v>
      </c>
      <c r="E363" t="s">
        <v>183</v>
      </c>
      <c r="F363">
        <v>0</v>
      </c>
      <c r="G363">
        <v>0</v>
      </c>
      <c r="H363">
        <v>0</v>
      </c>
      <c r="I363">
        <v>22972</v>
      </c>
      <c r="J363" t="s">
        <v>736</v>
      </c>
      <c r="K363">
        <v>277</v>
      </c>
      <c r="L363" t="str">
        <f>Hyperlink("http://www.seavest.co.za/inv/fpdf16/inv-preview.php?Id=42495","Click for Invoice PDF")</f>
        <v>Click for Invoice PDF</v>
      </c>
      <c r="M363"/>
    </row>
    <row r="364" spans="1:215">
      <c r="A364" t="s">
        <v>737</v>
      </c>
      <c r="B364"/>
      <c r="C364" t="s">
        <v>14</v>
      </c>
      <c r="D364" t="s">
        <v>189</v>
      </c>
      <c r="E364" t="s">
        <v>176</v>
      </c>
      <c r="F364">
        <v>3873.28</v>
      </c>
      <c r="G364">
        <v>580.99</v>
      </c>
      <c r="H364">
        <v>4454.27</v>
      </c>
      <c r="I364">
        <v>25725</v>
      </c>
      <c r="J364" t="s">
        <v>738</v>
      </c>
      <c r="K364">
        <v>28</v>
      </c>
      <c r="L364" t="str">
        <f>Hyperlink("http://www.seavest.co.za/inv/fpdf16/inv-preview.php?Id=44969","Click for Invoice PDF")</f>
        <v>Click for Invoice PDF</v>
      </c>
      <c r="M364"/>
    </row>
    <row r="365" spans="1:215">
      <c r="A365" t="s">
        <v>739</v>
      </c>
      <c r="B365"/>
      <c r="C365" t="s">
        <v>14</v>
      </c>
      <c r="D365" t="s">
        <v>60</v>
      </c>
      <c r="E365" t="s">
        <v>176</v>
      </c>
      <c r="F365">
        <v>4738.7</v>
      </c>
      <c r="G365">
        <v>710.8099999999999</v>
      </c>
      <c r="H365">
        <v>5449.51</v>
      </c>
      <c r="I365">
        <v>25724</v>
      </c>
      <c r="J365" t="s">
        <v>738</v>
      </c>
      <c r="K365">
        <v>28</v>
      </c>
      <c r="L365" t="str">
        <f>Hyperlink("http://www.seavest.co.za/inv/fpdf16/inv-preview.php?Id=44965","Click for Invoice PDF")</f>
        <v>Click for Invoice PDF</v>
      </c>
      <c r="M365"/>
    </row>
    <row r="366" spans="1:215">
      <c r="A366" t="s">
        <v>740</v>
      </c>
      <c r="B366"/>
      <c r="C366" t="s">
        <v>14</v>
      </c>
      <c r="D366" t="s">
        <v>741</v>
      </c>
      <c r="E366" t="s">
        <v>176</v>
      </c>
      <c r="F366">
        <v>6041.7</v>
      </c>
      <c r="G366">
        <v>906.26</v>
      </c>
      <c r="H366">
        <v>6947.96</v>
      </c>
      <c r="I366">
        <v>25674</v>
      </c>
      <c r="J366" t="s">
        <v>738</v>
      </c>
      <c r="K366">
        <v>28</v>
      </c>
      <c r="L366" t="str">
        <f>Hyperlink("http://www.seavest.co.za/inv/fpdf16/inv-preview.php?Id=44957","Click for Invoice PDF")</f>
        <v>Click for Invoice PDF</v>
      </c>
      <c r="M366"/>
    </row>
    <row r="367" spans="1:215">
      <c r="A367" t="s">
        <v>742</v>
      </c>
      <c r="B367"/>
      <c r="C367" t="s">
        <v>67</v>
      </c>
      <c r="D367" t="s">
        <v>144</v>
      </c>
      <c r="E367" t="s">
        <v>73</v>
      </c>
      <c r="F367">
        <v>8581.059999999999</v>
      </c>
      <c r="G367">
        <v>1287.16</v>
      </c>
      <c r="H367">
        <v>9868.219999999999</v>
      </c>
      <c r="I367">
        <v>25904</v>
      </c>
      <c r="J367" t="s">
        <v>743</v>
      </c>
      <c r="K367">
        <v>6</v>
      </c>
      <c r="L367" t="str">
        <f>Hyperlink("http://www.seavest.co.za/inv/fpdf16/inv-preview.php?Id=44806","Click for Invoice PDF")</f>
        <v>Click for Invoice PDF</v>
      </c>
      <c r="M367"/>
    </row>
    <row r="368" spans="1:215">
      <c r="A368" t="s">
        <v>744</v>
      </c>
      <c r="B368"/>
      <c r="C368" t="s">
        <v>14</v>
      </c>
      <c r="D368" t="s">
        <v>745</v>
      </c>
      <c r="E368" t="s">
        <v>176</v>
      </c>
      <c r="F368">
        <v>4874.52</v>
      </c>
      <c r="G368">
        <v>731.1799999999999</v>
      </c>
      <c r="H368">
        <v>5605.7</v>
      </c>
      <c r="I368">
        <v>24170</v>
      </c>
      <c r="J368" t="s">
        <v>746</v>
      </c>
      <c r="K368">
        <v>238</v>
      </c>
      <c r="L368" t="str">
        <f>Hyperlink("http://www.seavest.co.za/inv/fpdf16/inv-preview.php?Id=43371","Click for Invoice PDF")</f>
        <v>Click for Invoice PDF</v>
      </c>
      <c r="M368"/>
    </row>
    <row r="369" spans="1:215">
      <c r="A369" t="s">
        <v>747</v>
      </c>
      <c r="B369"/>
      <c r="C369" t="s">
        <v>14</v>
      </c>
      <c r="D369" t="s">
        <v>186</v>
      </c>
      <c r="E369" t="s">
        <v>176</v>
      </c>
      <c r="F369">
        <v>2984.35</v>
      </c>
      <c r="G369">
        <v>447.65</v>
      </c>
      <c r="H369">
        <v>3432</v>
      </c>
      <c r="I369">
        <v>24169</v>
      </c>
      <c r="J369" t="s">
        <v>746</v>
      </c>
      <c r="K369">
        <v>240</v>
      </c>
      <c r="L369" t="str">
        <f>Hyperlink("http://www.seavest.co.za/inv/fpdf16/inv-preview.php?Id=42776","Click for Invoice PDF")</f>
        <v>Click for Invoice PDF</v>
      </c>
      <c r="M369"/>
    </row>
    <row r="370" spans="1:215">
      <c r="A370" t="s">
        <v>748</v>
      </c>
      <c r="B370"/>
      <c r="C370" t="s">
        <v>14</v>
      </c>
      <c r="D370" t="s">
        <v>251</v>
      </c>
      <c r="E370" t="s">
        <v>176</v>
      </c>
      <c r="F370">
        <v>775.02</v>
      </c>
      <c r="G370">
        <v>116.25</v>
      </c>
      <c r="H370">
        <v>891.27</v>
      </c>
      <c r="I370">
        <v>23838</v>
      </c>
      <c r="J370" t="s">
        <v>746</v>
      </c>
      <c r="K370">
        <v>238</v>
      </c>
      <c r="L370" t="str">
        <f>Hyperlink("http://www.seavest.co.za/inv/fpdf16/inv-preview.php?Id=43449","Click for Invoice PDF")</f>
        <v>Click for Invoice PDF</v>
      </c>
      <c r="M370"/>
    </row>
    <row r="371" spans="1:215">
      <c r="A371" t="s">
        <v>749</v>
      </c>
      <c r="B371"/>
      <c r="C371" t="s">
        <v>67</v>
      </c>
      <c r="D371" t="s">
        <v>750</v>
      </c>
      <c r="E371" t="s">
        <v>82</v>
      </c>
      <c r="F371">
        <v>13069.1</v>
      </c>
      <c r="G371">
        <v>1960.37</v>
      </c>
      <c r="H371">
        <v>15029.47</v>
      </c>
      <c r="I371">
        <v>24003</v>
      </c>
      <c r="J371" t="s">
        <v>746</v>
      </c>
      <c r="K371">
        <v>240</v>
      </c>
      <c r="L371" t="str">
        <f>Hyperlink("http://www.seavest.co.za/inv/fpdf16/inv-preview.php?Id=43543","Click for Invoice PDF")</f>
        <v>Click for Invoice PDF</v>
      </c>
      <c r="M371"/>
    </row>
    <row r="372" spans="1:215">
      <c r="A372" t="s">
        <v>751</v>
      </c>
      <c r="B372"/>
      <c r="C372" t="s">
        <v>14</v>
      </c>
      <c r="D372" t="s">
        <v>310</v>
      </c>
      <c r="E372" t="s">
        <v>110</v>
      </c>
      <c r="F372">
        <v>5203</v>
      </c>
      <c r="G372">
        <v>780.45</v>
      </c>
      <c r="H372">
        <v>5983.45</v>
      </c>
      <c r="I372">
        <v>20820</v>
      </c>
      <c r="J372" t="s">
        <v>752</v>
      </c>
      <c r="K372">
        <v>632</v>
      </c>
      <c r="L372" t="str">
        <f>Hyperlink("http://www.seavest.co.za/inv/fpdf16/inv-preview.php?Id=40472","Click for Invoice PDF")</f>
        <v>Click for Invoice PDF</v>
      </c>
      <c r="M372"/>
    </row>
    <row r="373" spans="1:215">
      <c r="A373" t="s">
        <v>753</v>
      </c>
      <c r="B373"/>
      <c r="C373" t="s">
        <v>67</v>
      </c>
      <c r="D373" t="s">
        <v>559</v>
      </c>
      <c r="E373" t="s">
        <v>209</v>
      </c>
      <c r="F373">
        <v>5081</v>
      </c>
      <c r="G373">
        <v>762.15</v>
      </c>
      <c r="H373">
        <v>5843.15</v>
      </c>
      <c r="I373">
        <v>20829</v>
      </c>
      <c r="J373" t="s">
        <v>752</v>
      </c>
      <c r="K373">
        <v>632</v>
      </c>
      <c r="L373" t="str">
        <f>Hyperlink("http://www.seavest.co.za/inv/fpdf16/inv-preview.php?Id=40531","Click for Invoice PDF")</f>
        <v>Click for Invoice PDF</v>
      </c>
      <c r="M373"/>
    </row>
    <row r="374" spans="1:215">
      <c r="A374" t="s">
        <v>754</v>
      </c>
      <c r="B374"/>
      <c r="C374" t="s">
        <v>67</v>
      </c>
      <c r="D374" t="s">
        <v>755</v>
      </c>
      <c r="E374" t="s">
        <v>183</v>
      </c>
      <c r="F374">
        <v>0</v>
      </c>
      <c r="G374">
        <v>0</v>
      </c>
      <c r="H374">
        <v>0</v>
      </c>
      <c r="I374">
        <v>23414</v>
      </c>
      <c r="J374" t="s">
        <v>756</v>
      </c>
      <c r="K374">
        <v>275</v>
      </c>
      <c r="L374" t="str">
        <f>Hyperlink("http://www.seavest.co.za/inv/fpdf16/inv-preview.php?Id=42918","Click for Invoice PDF")</f>
        <v>Click for Invoice PDF</v>
      </c>
      <c r="M374"/>
    </row>
    <row r="375" spans="1:215">
      <c r="A375" t="s">
        <v>757</v>
      </c>
      <c r="B375"/>
      <c r="C375" t="s">
        <v>67</v>
      </c>
      <c r="D375" t="s">
        <v>634</v>
      </c>
      <c r="E375" t="s">
        <v>73</v>
      </c>
      <c r="F375">
        <v>7085.88</v>
      </c>
      <c r="G375">
        <v>992.02</v>
      </c>
      <c r="H375">
        <v>8077.9</v>
      </c>
      <c r="I375">
        <v>25100</v>
      </c>
      <c r="J375" t="s">
        <v>758</v>
      </c>
      <c r="K375">
        <v>2</v>
      </c>
      <c r="L375" t="str">
        <f>Hyperlink("http://www.seavest.co.za/inv/fpdf16/inv-preview.php?Id=44445","Click for Invoice PDF")</f>
        <v>Click for Invoice PDF</v>
      </c>
      <c r="M375"/>
    </row>
    <row r="376" spans="1:215">
      <c r="A376" t="s">
        <v>759</v>
      </c>
      <c r="B376"/>
      <c r="C376" t="s">
        <v>14</v>
      </c>
      <c r="D376" t="s">
        <v>460</v>
      </c>
      <c r="E376" t="s">
        <v>176</v>
      </c>
      <c r="F376">
        <v>750</v>
      </c>
      <c r="G376">
        <v>112.5</v>
      </c>
      <c r="H376">
        <v>862.5</v>
      </c>
      <c r="I376">
        <v>25096</v>
      </c>
      <c r="J376" t="s">
        <v>758</v>
      </c>
      <c r="K376">
        <v>121</v>
      </c>
      <c r="L376" t="str">
        <f>Hyperlink("http://www.seavest.co.za/inv/fpdf16/inv-preview.php?Id=44416","Click for Invoice PDF")</f>
        <v>Click for Invoice PDF</v>
      </c>
      <c r="M376"/>
    </row>
    <row r="377" spans="1:215">
      <c r="A377" t="s">
        <v>760</v>
      </c>
      <c r="B377"/>
      <c r="C377" t="s">
        <v>67</v>
      </c>
      <c r="D377" t="s">
        <v>634</v>
      </c>
      <c r="E377" t="s">
        <v>73</v>
      </c>
      <c r="F377">
        <v>9999999.99</v>
      </c>
      <c r="G377">
        <v>588.9</v>
      </c>
      <c r="H377">
        <v>4795.3</v>
      </c>
      <c r="I377">
        <v>25090</v>
      </c>
      <c r="J377" t="s">
        <v>758</v>
      </c>
      <c r="K377">
        <v>4</v>
      </c>
      <c r="L377" t="str">
        <f>Hyperlink("http://www.seavest.co.za/inv/fpdf16/inv-preview.php?Id=44442","Click for Invoice PDF")</f>
        <v>Click for Invoice PDF</v>
      </c>
      <c r="M377"/>
    </row>
    <row r="378" spans="1:215">
      <c r="A378" t="s">
        <v>761</v>
      </c>
      <c r="B378"/>
      <c r="C378" t="s">
        <v>14</v>
      </c>
      <c r="D378" t="s">
        <v>762</v>
      </c>
      <c r="E378" t="s">
        <v>176</v>
      </c>
      <c r="F378">
        <v>6093.96</v>
      </c>
      <c r="G378">
        <v>914.09</v>
      </c>
      <c r="H378">
        <v>7008.05</v>
      </c>
      <c r="I378">
        <v>24393</v>
      </c>
      <c r="J378" t="s">
        <v>763</v>
      </c>
      <c r="K378">
        <v>215</v>
      </c>
      <c r="L378" t="str">
        <f>Hyperlink("http://www.seavest.co.za/inv/fpdf16/inv-preview.php?Id=43855","Click for Invoice PDF")</f>
        <v>Click for Invoice PDF</v>
      </c>
      <c r="M378"/>
    </row>
    <row r="379" spans="1:215">
      <c r="A379" t="s">
        <v>764</v>
      </c>
      <c r="B379"/>
      <c r="C379" t="s">
        <v>67</v>
      </c>
      <c r="D379" t="s">
        <v>722</v>
      </c>
      <c r="E379" t="s">
        <v>73</v>
      </c>
      <c r="F379">
        <v>11010</v>
      </c>
      <c r="G379">
        <v>1651.5</v>
      </c>
      <c r="H379">
        <v>12661.5</v>
      </c>
      <c r="I379">
        <v>23950</v>
      </c>
      <c r="J379" t="s">
        <v>763</v>
      </c>
      <c r="K379">
        <v>216</v>
      </c>
      <c r="L379" t="str">
        <f>Hyperlink("http://www.seavest.co.za/inv/fpdf16/inv-preview.php?Id=43075","Click for Invoice PDF")</f>
        <v>Click for Invoice PDF</v>
      </c>
      <c r="M379"/>
    </row>
    <row r="380" spans="1:215">
      <c r="A380" t="s">
        <v>765</v>
      </c>
      <c r="B380"/>
      <c r="C380" t="s">
        <v>67</v>
      </c>
      <c r="D380" t="s">
        <v>766</v>
      </c>
      <c r="E380" t="s">
        <v>259</v>
      </c>
      <c r="F380">
        <v>15076.74</v>
      </c>
      <c r="G380">
        <v>2261.51</v>
      </c>
      <c r="H380">
        <v>17338.25</v>
      </c>
      <c r="I380">
        <v>24137</v>
      </c>
      <c r="J380" t="s">
        <v>763</v>
      </c>
      <c r="K380">
        <v>216</v>
      </c>
      <c r="L380" t="str">
        <f>Hyperlink("http://www.seavest.co.za/inv/fpdf16/inv-preview.php?Id=43645","Click for Invoice PDF")</f>
        <v>Click for Invoice PDF</v>
      </c>
      <c r="M380"/>
    </row>
    <row r="381" spans="1:215">
      <c r="A381" t="s">
        <v>767</v>
      </c>
      <c r="B381"/>
      <c r="C381" t="s">
        <v>14</v>
      </c>
      <c r="D381" t="s">
        <v>768</v>
      </c>
      <c r="E381" t="s">
        <v>176</v>
      </c>
      <c r="F381">
        <v>8417.84</v>
      </c>
      <c r="G381">
        <v>1262.68</v>
      </c>
      <c r="H381">
        <v>9680.52</v>
      </c>
      <c r="I381">
        <v>24887</v>
      </c>
      <c r="J381" t="s">
        <v>769</v>
      </c>
      <c r="K381">
        <v>153</v>
      </c>
      <c r="L381" t="str">
        <f>Hyperlink("http://www.seavest.co.za/inv/fpdf16/inv-preview.php?Id=44230","Click for Invoice PDF")</f>
        <v>Click for Invoice PDF</v>
      </c>
      <c r="M381"/>
    </row>
    <row r="382" spans="1:215">
      <c r="A382" t="s">
        <v>770</v>
      </c>
      <c r="B382"/>
      <c r="C382" t="s">
        <v>14</v>
      </c>
      <c r="D382" t="s">
        <v>771</v>
      </c>
      <c r="E382" t="s">
        <v>176</v>
      </c>
      <c r="F382">
        <v>14607</v>
      </c>
      <c r="G382">
        <v>2191.05</v>
      </c>
      <c r="H382">
        <v>16798.05</v>
      </c>
      <c r="I382">
        <v>24886</v>
      </c>
      <c r="J382" t="s">
        <v>769</v>
      </c>
      <c r="K382">
        <v>135</v>
      </c>
      <c r="L382" t="str">
        <f>Hyperlink("http://www.seavest.co.za/inv/fpdf16/inv-preview.php?Id=44202","Click for Invoice PDF")</f>
        <v>Click for Invoice PDF</v>
      </c>
      <c r="M382"/>
    </row>
    <row r="383" spans="1:215">
      <c r="A383" t="s">
        <v>772</v>
      </c>
      <c r="B383"/>
      <c r="C383" t="s">
        <v>14</v>
      </c>
      <c r="D383" t="s">
        <v>773</v>
      </c>
      <c r="E383" t="s">
        <v>176</v>
      </c>
      <c r="F383">
        <v>0</v>
      </c>
      <c r="G383">
        <v>0</v>
      </c>
      <c r="H383">
        <v>0</v>
      </c>
      <c r="I383">
        <v>24826</v>
      </c>
      <c r="J383" t="s">
        <v>769</v>
      </c>
      <c r="K383">
        <v>153</v>
      </c>
      <c r="L383" t="str">
        <f>Hyperlink("http://www.seavest.co.za/inv/fpdf16/inv-preview.php?Id=44139","Click for Invoice PDF")</f>
        <v>Click for Invoice PDF</v>
      </c>
      <c r="M383"/>
    </row>
    <row r="384" spans="1:215">
      <c r="A384" t="s">
        <v>774</v>
      </c>
      <c r="B384"/>
      <c r="C384" t="s">
        <v>67</v>
      </c>
      <c r="D384" t="s">
        <v>130</v>
      </c>
      <c r="E384" t="s">
        <v>73</v>
      </c>
      <c r="F384">
        <v>3232.5</v>
      </c>
      <c r="G384">
        <v>484.88</v>
      </c>
      <c r="H384">
        <v>3717.38</v>
      </c>
      <c r="I384">
        <v>24834</v>
      </c>
      <c r="J384" t="s">
        <v>769</v>
      </c>
      <c r="K384">
        <v>146</v>
      </c>
      <c r="L384" t="str">
        <f>Hyperlink("http://www.seavest.co.za/inv/fpdf16/inv-preview.php?Id=44185","Click for Invoice PDF")</f>
        <v>Click for Invoice PDF</v>
      </c>
      <c r="M384"/>
    </row>
    <row r="385" spans="1:215">
      <c r="A385" t="s">
        <v>775</v>
      </c>
      <c r="B385"/>
      <c r="C385" t="s">
        <v>14</v>
      </c>
      <c r="D385" t="s">
        <v>776</v>
      </c>
      <c r="E385" t="s">
        <v>110</v>
      </c>
      <c r="F385">
        <v>17706.59</v>
      </c>
      <c r="G385">
        <v>2478.92</v>
      </c>
      <c r="H385">
        <v>20185.51</v>
      </c>
      <c r="I385">
        <v>20422</v>
      </c>
      <c r="J385" t="s">
        <v>777</v>
      </c>
      <c r="K385">
        <v>27</v>
      </c>
      <c r="L385" t="str">
        <f>Hyperlink("http://www.seavest.co.za/inv/fpdf16/inv-preview.php?Id=40151","Click for Invoice PDF")</f>
        <v>Click for Invoice PDF</v>
      </c>
      <c r="M385"/>
    </row>
    <row r="386" spans="1:215">
      <c r="A386" t="s">
        <v>778</v>
      </c>
      <c r="B386"/>
      <c r="C386" t="s">
        <v>67</v>
      </c>
      <c r="D386" t="s">
        <v>329</v>
      </c>
      <c r="E386" t="s">
        <v>73</v>
      </c>
      <c r="F386">
        <v>39438.45</v>
      </c>
      <c r="G386">
        <v>5915.77</v>
      </c>
      <c r="H386">
        <v>45354.22</v>
      </c>
      <c r="I386">
        <v>19808</v>
      </c>
      <c r="J386" t="s">
        <v>779</v>
      </c>
      <c r="K386">
        <v>37</v>
      </c>
      <c r="L386" t="str">
        <f>Hyperlink("http://www.seavest.co.za/inv/fpdf16/inv-preview.php?Id=39516","Click for Invoice PDF")</f>
        <v>Click for Invoice PDF</v>
      </c>
      <c r="M386"/>
    </row>
    <row r="387" spans="1:215">
      <c r="A387" t="s">
        <v>780</v>
      </c>
      <c r="B387"/>
      <c r="C387" t="s">
        <v>67</v>
      </c>
      <c r="D387" t="s">
        <v>781</v>
      </c>
      <c r="E387" t="s">
        <v>209</v>
      </c>
      <c r="F387">
        <v>10774.3</v>
      </c>
      <c r="G387">
        <v>1616.15</v>
      </c>
      <c r="H387">
        <v>12390.45</v>
      </c>
      <c r="I387">
        <v>22582</v>
      </c>
      <c r="J387" t="s">
        <v>782</v>
      </c>
      <c r="K387">
        <v>340</v>
      </c>
      <c r="L387" t="str">
        <f>Hyperlink("http://www.seavest.co.za/inv/fpdf16/inv-preview.php?Id=42126","Click for Invoice PDF")</f>
        <v>Click for Invoice PDF</v>
      </c>
      <c r="M387"/>
    </row>
    <row r="388" spans="1:215">
      <c r="A388" t="s">
        <v>783</v>
      </c>
      <c r="B388"/>
      <c r="C388" t="s">
        <v>67</v>
      </c>
      <c r="D388" t="s">
        <v>144</v>
      </c>
      <c r="E388" t="s">
        <v>218</v>
      </c>
      <c r="F388">
        <v>8513.059999999999</v>
      </c>
      <c r="G388">
        <v>1276.96</v>
      </c>
      <c r="H388">
        <v>9790.02</v>
      </c>
      <c r="I388">
        <v>25523</v>
      </c>
      <c r="J388" t="s">
        <v>784</v>
      </c>
      <c r="K388">
        <v>57</v>
      </c>
      <c r="L388" t="str">
        <f>Hyperlink("http://www.seavest.co.za/inv/fpdf16/inv-preview.php?Id=44819","Click for Invoice PDF")</f>
        <v>Click for Invoice PDF</v>
      </c>
      <c r="M388"/>
    </row>
    <row r="389" spans="1:215">
      <c r="A389" t="s">
        <v>785</v>
      </c>
      <c r="B389"/>
      <c r="C389" t="s">
        <v>67</v>
      </c>
      <c r="D389" t="s">
        <v>284</v>
      </c>
      <c r="E389" t="s">
        <v>259</v>
      </c>
      <c r="F389">
        <v>49885</v>
      </c>
      <c r="G389">
        <v>7482.75</v>
      </c>
      <c r="H389">
        <v>57367.75</v>
      </c>
      <c r="I389">
        <v>20744</v>
      </c>
      <c r="J389" t="s">
        <v>786</v>
      </c>
      <c r="K389">
        <v>328</v>
      </c>
      <c r="L389" t="str">
        <f>Hyperlink("http://www.seavest.co.za/inv/fpdf16/inv-preview.php?Id=40412","Click for Invoice PDF")</f>
        <v>Click for Invoice PDF</v>
      </c>
      <c r="M389"/>
    </row>
    <row r="390" spans="1:215">
      <c r="A390" t="s">
        <v>787</v>
      </c>
      <c r="B390"/>
      <c r="C390" t="s">
        <v>14</v>
      </c>
      <c r="D390" t="s">
        <v>310</v>
      </c>
      <c r="E390" t="s">
        <v>176</v>
      </c>
      <c r="F390">
        <v>10248.36</v>
      </c>
      <c r="G390">
        <v>1537.25</v>
      </c>
      <c r="H390">
        <v>11785.61</v>
      </c>
      <c r="I390">
        <v>23857</v>
      </c>
      <c r="J390" t="s">
        <v>788</v>
      </c>
      <c r="K390">
        <v>240</v>
      </c>
      <c r="L390" t="str">
        <f>Hyperlink("http://www.seavest.co.za/inv/fpdf16/inv-preview.php?Id=43313","Click for Invoice PDF")</f>
        <v>Click for Invoice PDF</v>
      </c>
      <c r="M390"/>
    </row>
    <row r="391" spans="1:215">
      <c r="A391" t="s">
        <v>789</v>
      </c>
      <c r="B391"/>
      <c r="C391" t="s">
        <v>14</v>
      </c>
      <c r="D391" t="s">
        <v>24</v>
      </c>
      <c r="E391" t="s">
        <v>176</v>
      </c>
      <c r="F391">
        <v>4532.31</v>
      </c>
      <c r="G391">
        <v>679.85</v>
      </c>
      <c r="H391">
        <v>5212.16</v>
      </c>
      <c r="I391">
        <v>23943</v>
      </c>
      <c r="J391" t="s">
        <v>788</v>
      </c>
      <c r="K391">
        <v>240</v>
      </c>
      <c r="L391" t="str">
        <f>Hyperlink("http://www.seavest.co.za/inv/fpdf16/inv-preview.php?Id=43460","Click for Invoice PDF")</f>
        <v>Click for Invoice PDF</v>
      </c>
      <c r="M391"/>
    </row>
    <row r="392" spans="1:215">
      <c r="A392" t="s">
        <v>790</v>
      </c>
      <c r="B392"/>
      <c r="C392" t="s">
        <v>67</v>
      </c>
      <c r="D392" t="s">
        <v>791</v>
      </c>
      <c r="E392" t="s">
        <v>196</v>
      </c>
      <c r="F392">
        <v>9999999.99</v>
      </c>
      <c r="G392">
        <v>1861.83</v>
      </c>
      <c r="H392">
        <v>14274.03</v>
      </c>
      <c r="I392">
        <v>24023</v>
      </c>
      <c r="J392" t="s">
        <v>788</v>
      </c>
      <c r="K392">
        <v>239</v>
      </c>
      <c r="L392" t="str">
        <f>Hyperlink("http://www.seavest.co.za/inv/fpdf16/inv-preview.php?Id=43551","Click for Invoice PDF")</f>
        <v>Click for Invoice PDF</v>
      </c>
      <c r="M392"/>
    </row>
    <row r="393" spans="1:215">
      <c r="A393" t="s">
        <v>792</v>
      </c>
      <c r="B393"/>
      <c r="C393" t="s">
        <v>14</v>
      </c>
      <c r="D393" t="s">
        <v>315</v>
      </c>
      <c r="E393" t="s">
        <v>485</v>
      </c>
      <c r="F393">
        <v>3453</v>
      </c>
      <c r="G393">
        <v>517.95</v>
      </c>
      <c r="H393">
        <v>3970.95</v>
      </c>
      <c r="I393">
        <v>20843</v>
      </c>
      <c r="J393" t="s">
        <v>793</v>
      </c>
      <c r="K393">
        <v>632</v>
      </c>
      <c r="L393" t="str">
        <f>Hyperlink("http://www.seavest.co.za/inv/fpdf16/inv-preview.php?Id=40543","Click for Invoice PDF")</f>
        <v>Click for Invoice PDF</v>
      </c>
      <c r="M393"/>
    </row>
    <row r="394" spans="1:215">
      <c r="A394" t="s">
        <v>794</v>
      </c>
      <c r="B394"/>
      <c r="C394" t="s">
        <v>67</v>
      </c>
      <c r="D394" t="s">
        <v>795</v>
      </c>
      <c r="E394" t="s">
        <v>196</v>
      </c>
      <c r="F394">
        <v>6723.05</v>
      </c>
      <c r="G394">
        <v>1008.46</v>
      </c>
      <c r="H394">
        <v>7731.51</v>
      </c>
      <c r="I394">
        <v>23868</v>
      </c>
      <c r="J394" t="s">
        <v>796</v>
      </c>
      <c r="K394">
        <v>274</v>
      </c>
      <c r="L394" t="str">
        <f>Hyperlink("http://www.seavest.co.za/inv/fpdf16/inv-preview.php?Id=43455","Click for Invoice PDF")</f>
        <v>Click for Invoice PDF</v>
      </c>
      <c r="M394"/>
    </row>
    <row r="395" spans="1:215">
      <c r="A395" t="s">
        <v>797</v>
      </c>
      <c r="B395"/>
      <c r="C395" t="s">
        <v>14</v>
      </c>
      <c r="D395" t="s">
        <v>248</v>
      </c>
      <c r="E395" t="s">
        <v>176</v>
      </c>
      <c r="F395">
        <v>14936.7</v>
      </c>
      <c r="G395">
        <v>2240.51</v>
      </c>
      <c r="H395">
        <v>17177.21</v>
      </c>
      <c r="I395">
        <v>25120</v>
      </c>
      <c r="J395" t="s">
        <v>798</v>
      </c>
      <c r="K395">
        <v>120</v>
      </c>
      <c r="L395" t="str">
        <f>Hyperlink("http://www.seavest.co.za/inv/fpdf16/inv-preview.php?Id=44433","Click for Invoice PDF")</f>
        <v>Click for Invoice PDF</v>
      </c>
      <c r="M395"/>
    </row>
    <row r="396" spans="1:215">
      <c r="A396" t="s">
        <v>799</v>
      </c>
      <c r="B396"/>
      <c r="C396" t="s">
        <v>67</v>
      </c>
      <c r="D396" t="s">
        <v>800</v>
      </c>
      <c r="E396" t="s">
        <v>73</v>
      </c>
      <c r="F396">
        <v>3779.17</v>
      </c>
      <c r="G396">
        <v>529.08</v>
      </c>
      <c r="H396">
        <v>4308.25</v>
      </c>
      <c r="I396">
        <v>24403</v>
      </c>
      <c r="J396" t="s">
        <v>801</v>
      </c>
      <c r="K396">
        <v>1</v>
      </c>
      <c r="L396" t="str">
        <f>Hyperlink("http://www.seavest.co.za/inv/fpdf16/inv-preview.php?Id=43882","Click for Invoice PDF")</f>
        <v>Click for Invoice PDF</v>
      </c>
      <c r="M396"/>
    </row>
    <row r="397" spans="1:215">
      <c r="A397" t="s">
        <v>802</v>
      </c>
      <c r="B397"/>
      <c r="C397" t="s">
        <v>67</v>
      </c>
      <c r="D397" t="s">
        <v>592</v>
      </c>
      <c r="E397" t="s">
        <v>73</v>
      </c>
      <c r="F397">
        <v>5764.4</v>
      </c>
      <c r="G397">
        <v>864.66</v>
      </c>
      <c r="H397">
        <v>6629.06</v>
      </c>
      <c r="I397">
        <v>24395</v>
      </c>
      <c r="J397" t="s">
        <v>801</v>
      </c>
      <c r="K397">
        <v>196</v>
      </c>
      <c r="L397" t="str">
        <f>Hyperlink("http://www.seavest.co.za/inv/fpdf16/inv-preview.php?Id=43850","Click for Invoice PDF")</f>
        <v>Click for Invoice PDF</v>
      </c>
      <c r="M397"/>
    </row>
    <row r="398" spans="1:215">
      <c r="A398" t="s">
        <v>803</v>
      </c>
      <c r="B398"/>
      <c r="C398" t="s">
        <v>67</v>
      </c>
      <c r="D398" t="s">
        <v>804</v>
      </c>
      <c r="E398" t="s">
        <v>73</v>
      </c>
      <c r="F398">
        <v>7227.28</v>
      </c>
      <c r="G398">
        <v>1011.82</v>
      </c>
      <c r="H398">
        <v>8239.1</v>
      </c>
      <c r="I398">
        <v>24398</v>
      </c>
      <c r="J398" t="s">
        <v>801</v>
      </c>
      <c r="K398">
        <v>5</v>
      </c>
      <c r="L398" t="str">
        <f>Hyperlink("http://www.seavest.co.za/inv/fpdf16/inv-preview.php?Id=43872","Click for Invoice PDF")</f>
        <v>Click for Invoice PDF</v>
      </c>
      <c r="M398"/>
    </row>
    <row r="399" spans="1:215">
      <c r="A399" t="s">
        <v>805</v>
      </c>
      <c r="B399"/>
      <c r="C399" t="s">
        <v>67</v>
      </c>
      <c r="D399" t="s">
        <v>548</v>
      </c>
      <c r="E399" t="s">
        <v>73</v>
      </c>
      <c r="F399">
        <v>3194.04</v>
      </c>
      <c r="G399">
        <v>479.11</v>
      </c>
      <c r="H399">
        <v>3673.15</v>
      </c>
      <c r="I399">
        <v>24401</v>
      </c>
      <c r="J399" t="s">
        <v>801</v>
      </c>
      <c r="K399">
        <v>208</v>
      </c>
      <c r="L399" t="str">
        <f>Hyperlink("http://www.seavest.co.za/inv/fpdf16/inv-preview.php?Id=43879","Click for Invoice PDF")</f>
        <v>Click for Invoice PDF</v>
      </c>
      <c r="M399"/>
    </row>
    <row r="400" spans="1:215">
      <c r="A400" t="s">
        <v>806</v>
      </c>
      <c r="B400"/>
      <c r="C400" t="s">
        <v>67</v>
      </c>
      <c r="D400" t="s">
        <v>800</v>
      </c>
      <c r="E400" t="s">
        <v>73</v>
      </c>
      <c r="F400">
        <v>4795.71</v>
      </c>
      <c r="G400">
        <v>671.4</v>
      </c>
      <c r="H400">
        <v>5467.11</v>
      </c>
      <c r="I400">
        <v>24404</v>
      </c>
      <c r="J400" t="s">
        <v>801</v>
      </c>
      <c r="K400">
        <v>2</v>
      </c>
      <c r="L400" t="str">
        <f>Hyperlink("http://www.seavest.co.za/inv/fpdf16/inv-preview.php?Id=43883","Click for Invoice PDF")</f>
        <v>Click for Invoice PDF</v>
      </c>
      <c r="M400"/>
    </row>
    <row r="401" spans="1:215">
      <c r="A401" t="s">
        <v>807</v>
      </c>
      <c r="B401"/>
      <c r="C401" t="s">
        <v>14</v>
      </c>
      <c r="D401" t="s">
        <v>189</v>
      </c>
      <c r="E401" t="s">
        <v>176</v>
      </c>
      <c r="F401">
        <v>6827.05</v>
      </c>
      <c r="G401">
        <v>1024.06</v>
      </c>
      <c r="H401">
        <v>7851.11</v>
      </c>
      <c r="I401">
        <v>21723</v>
      </c>
      <c r="J401" t="s">
        <v>808</v>
      </c>
      <c r="K401">
        <v>513</v>
      </c>
      <c r="L401" t="str">
        <f>Hyperlink("http://www.seavest.co.za/inv/fpdf16/inv-preview.php?Id=41315","Click for Invoice PDF")</f>
        <v>Click for Invoice PDF</v>
      </c>
      <c r="M401"/>
    </row>
    <row r="402" spans="1:215">
      <c r="A402" t="s">
        <v>809</v>
      </c>
      <c r="B402"/>
      <c r="C402" t="s">
        <v>67</v>
      </c>
      <c r="D402" t="s">
        <v>810</v>
      </c>
      <c r="E402" t="s">
        <v>209</v>
      </c>
      <c r="F402">
        <v>0</v>
      </c>
      <c r="G402">
        <v>0</v>
      </c>
      <c r="H402">
        <v>0</v>
      </c>
      <c r="I402">
        <v>22673</v>
      </c>
      <c r="J402" t="s">
        <v>811</v>
      </c>
      <c r="K402">
        <v>335</v>
      </c>
      <c r="L402" t="str">
        <f>Hyperlink("http://www.seavest.co.za/inv/fpdf16/inv-preview.php?Id=42194","Click for Invoice PDF")</f>
        <v>Click for Invoice PDF</v>
      </c>
      <c r="M402"/>
    </row>
    <row r="403" spans="1:215">
      <c r="A403" t="s">
        <v>812</v>
      </c>
      <c r="B403"/>
      <c r="C403" t="s">
        <v>67</v>
      </c>
      <c r="D403" t="s">
        <v>370</v>
      </c>
      <c r="E403" t="s">
        <v>73</v>
      </c>
      <c r="F403">
        <v>7198.35</v>
      </c>
      <c r="G403">
        <v>1079.75</v>
      </c>
      <c r="H403">
        <v>8278.1</v>
      </c>
      <c r="I403">
        <v>23194</v>
      </c>
      <c r="J403" t="s">
        <v>813</v>
      </c>
      <c r="K403">
        <v>329</v>
      </c>
      <c r="L403" t="str">
        <f>Hyperlink("http://www.seavest.co.za/inv/fpdf16/inv-preview.php?Id=42764","Click for Invoice PDF")</f>
        <v>Click for Invoice PDF</v>
      </c>
      <c r="M403"/>
    </row>
    <row r="404" spans="1:215">
      <c r="A404" t="s">
        <v>814</v>
      </c>
      <c r="B404"/>
      <c r="C404" t="s">
        <v>67</v>
      </c>
      <c r="D404" t="s">
        <v>795</v>
      </c>
      <c r="E404"/>
      <c r="F404">
        <v>7183.1</v>
      </c>
      <c r="G404">
        <v>1077.47</v>
      </c>
      <c r="H404">
        <v>8260.57</v>
      </c>
      <c r="I404">
        <v>23999</v>
      </c>
      <c r="J404" t="s">
        <v>815</v>
      </c>
      <c r="K404">
        <v>239</v>
      </c>
      <c r="L404" t="str">
        <f>Hyperlink("http://www.seavest.co.za/inv/fpdf16/inv-preview.php?Id=43541","Click for Invoice PDF")</f>
        <v>Click for Invoice PDF</v>
      </c>
      <c r="M404"/>
    </row>
    <row r="405" spans="1:215">
      <c r="A405" t="s">
        <v>816</v>
      </c>
      <c r="B405"/>
      <c r="C405" t="s">
        <v>14</v>
      </c>
      <c r="D405" t="s">
        <v>315</v>
      </c>
      <c r="E405" t="s">
        <v>176</v>
      </c>
      <c r="F405">
        <v>3300</v>
      </c>
      <c r="G405">
        <v>495</v>
      </c>
      <c r="H405">
        <v>3795</v>
      </c>
      <c r="I405">
        <v>22826</v>
      </c>
      <c r="J405" t="s">
        <v>817</v>
      </c>
      <c r="K405">
        <v>267</v>
      </c>
      <c r="L405" t="str">
        <f>Hyperlink("http://www.seavest.co.za/inv/fpdf16/inv-preview.php?Id=42349","Click for Invoice PDF")</f>
        <v>Click for Invoice PDF</v>
      </c>
      <c r="M405"/>
    </row>
    <row r="406" spans="1:215">
      <c r="A406" t="s">
        <v>818</v>
      </c>
      <c r="B406"/>
      <c r="C406" t="s">
        <v>67</v>
      </c>
      <c r="D406" t="s">
        <v>505</v>
      </c>
      <c r="E406" t="s">
        <v>73</v>
      </c>
      <c r="F406">
        <v>3844.52</v>
      </c>
      <c r="G406">
        <v>576.6799999999999</v>
      </c>
      <c r="H406">
        <v>4421.2</v>
      </c>
      <c r="I406">
        <v>23914</v>
      </c>
      <c r="J406" t="s">
        <v>817</v>
      </c>
      <c r="K406">
        <v>273</v>
      </c>
      <c r="L406" t="str">
        <f>Hyperlink("http://www.seavest.co.za/inv/fpdf16/inv-preview.php?Id=43336","Click for Invoice PDF")</f>
        <v>Click for Invoice PDF</v>
      </c>
      <c r="M406"/>
    </row>
    <row r="407" spans="1:215">
      <c r="A407" t="s">
        <v>819</v>
      </c>
      <c r="B407"/>
      <c r="C407" t="s">
        <v>67</v>
      </c>
      <c r="D407" t="s">
        <v>75</v>
      </c>
      <c r="E407" t="s">
        <v>209</v>
      </c>
      <c r="F407">
        <v>13122.8</v>
      </c>
      <c r="G407">
        <v>1968.42</v>
      </c>
      <c r="H407">
        <v>15091.22</v>
      </c>
      <c r="I407">
        <v>24208</v>
      </c>
      <c r="J407" t="s">
        <v>820</v>
      </c>
      <c r="K407">
        <v>208</v>
      </c>
      <c r="L407" t="str">
        <f>Hyperlink("http://www.seavest.co.za/inv/fpdf16/inv-preview.php?Id=43707","Click for Invoice PDF")</f>
        <v>Click for Invoice PDF</v>
      </c>
      <c r="M407"/>
    </row>
    <row r="408" spans="1:215">
      <c r="A408" t="s">
        <v>821</v>
      </c>
      <c r="B408"/>
      <c r="C408" t="s">
        <v>14</v>
      </c>
      <c r="D408" t="s">
        <v>248</v>
      </c>
      <c r="E408" t="s">
        <v>176</v>
      </c>
      <c r="F408">
        <v>0</v>
      </c>
      <c r="G408">
        <v>0</v>
      </c>
      <c r="H408">
        <v>0</v>
      </c>
      <c r="I408">
        <v>24930</v>
      </c>
      <c r="J408" t="s">
        <v>822</v>
      </c>
      <c r="K408">
        <v>127</v>
      </c>
      <c r="L408" t="str">
        <f>Hyperlink("http://www.seavest.co.za/inv/fpdf16/inv-preview.php?Id=44234","Click for Invoice PDF")</f>
        <v>Click for Invoice PDF</v>
      </c>
      <c r="M408"/>
    </row>
    <row r="409" spans="1:215">
      <c r="A409" t="s">
        <v>823</v>
      </c>
      <c r="B409"/>
      <c r="C409" t="s">
        <v>67</v>
      </c>
      <c r="D409" t="s">
        <v>539</v>
      </c>
      <c r="E409" t="s">
        <v>73</v>
      </c>
      <c r="F409">
        <v>4405.2</v>
      </c>
      <c r="G409">
        <v>616.73</v>
      </c>
      <c r="H409">
        <v>5021.93</v>
      </c>
      <c r="I409">
        <v>24917</v>
      </c>
      <c r="J409" t="s">
        <v>822</v>
      </c>
      <c r="K409">
        <v>4</v>
      </c>
      <c r="L409" t="str">
        <f>Hyperlink("http://www.seavest.co.za/inv/fpdf16/inv-preview.php?Id=44272","Click for Invoice PDF")</f>
        <v>Click for Invoice PDF</v>
      </c>
      <c r="M409"/>
    </row>
    <row r="410" spans="1:215">
      <c r="A410" t="s">
        <v>824</v>
      </c>
      <c r="B410"/>
      <c r="C410" t="s">
        <v>67</v>
      </c>
      <c r="D410" t="s">
        <v>825</v>
      </c>
      <c r="E410" t="s">
        <v>259</v>
      </c>
      <c r="F410">
        <v>6073.8</v>
      </c>
      <c r="G410">
        <v>911.0700000000001</v>
      </c>
      <c r="H410">
        <v>6984.87</v>
      </c>
      <c r="I410">
        <v>24891</v>
      </c>
      <c r="J410" t="s">
        <v>822</v>
      </c>
      <c r="K410">
        <v>70</v>
      </c>
      <c r="L410" t="str">
        <f>Hyperlink("http://www.seavest.co.za/inv/fpdf16/inv-preview.php?Id=44233","Click for Invoice PDF")</f>
        <v>Click for Invoice PDF</v>
      </c>
      <c r="M410"/>
    </row>
    <row r="411" spans="1:215">
      <c r="A411" t="s">
        <v>826</v>
      </c>
      <c r="B411"/>
      <c r="C411" t="s">
        <v>67</v>
      </c>
      <c r="D411" t="s">
        <v>827</v>
      </c>
      <c r="E411" t="s">
        <v>73</v>
      </c>
      <c r="F411">
        <v>7355.95</v>
      </c>
      <c r="G411">
        <v>1103.39</v>
      </c>
      <c r="H411">
        <v>8459.34</v>
      </c>
      <c r="I411">
        <v>23220</v>
      </c>
      <c r="J411" t="s">
        <v>828</v>
      </c>
      <c r="K411">
        <v>329</v>
      </c>
      <c r="L411" t="str">
        <f>Hyperlink("http://www.seavest.co.za/inv/fpdf16/inv-preview.php?Id=42785","Click for Invoice PDF")</f>
        <v>Click for Invoice PDF</v>
      </c>
      <c r="M411"/>
    </row>
    <row r="412" spans="1:215">
      <c r="A412" t="s">
        <v>829</v>
      </c>
      <c r="B412"/>
      <c r="C412" t="s">
        <v>67</v>
      </c>
      <c r="D412" t="s">
        <v>70</v>
      </c>
      <c r="E412" t="s">
        <v>209</v>
      </c>
      <c r="F412">
        <v>7067.37</v>
      </c>
      <c r="G412">
        <v>1060.11</v>
      </c>
      <c r="H412">
        <v>8127.48</v>
      </c>
      <c r="I412">
        <v>23239</v>
      </c>
      <c r="J412" t="s">
        <v>828</v>
      </c>
      <c r="K412">
        <v>331</v>
      </c>
      <c r="L412" t="str">
        <f>Hyperlink("http://www.seavest.co.za/inv/fpdf16/inv-preview.php?Id=42823","Click for Invoice PDF")</f>
        <v>Click for Invoice PDF</v>
      </c>
      <c r="M412"/>
    </row>
    <row r="413" spans="1:215">
      <c r="A413" t="s">
        <v>830</v>
      </c>
      <c r="B413"/>
      <c r="C413" t="s">
        <v>14</v>
      </c>
      <c r="D413" t="s">
        <v>251</v>
      </c>
      <c r="E413" t="s">
        <v>176</v>
      </c>
      <c r="F413">
        <v>5481.66</v>
      </c>
      <c r="G413">
        <v>822.25</v>
      </c>
      <c r="H413">
        <v>6303.91</v>
      </c>
      <c r="I413">
        <v>25733</v>
      </c>
      <c r="J413" t="s">
        <v>831</v>
      </c>
      <c r="K413">
        <v>28</v>
      </c>
      <c r="L413" t="str">
        <f>Hyperlink("http://www.seavest.co.za/inv/fpdf16/inv-preview.php?Id=44989","Click for Invoice PDF")</f>
        <v>Click for Invoice PDF</v>
      </c>
      <c r="M413"/>
    </row>
    <row r="414" spans="1:215">
      <c r="A414" t="s">
        <v>832</v>
      </c>
      <c r="B414"/>
      <c r="C414" t="s">
        <v>67</v>
      </c>
      <c r="D414" t="s">
        <v>665</v>
      </c>
      <c r="E414" t="s">
        <v>73</v>
      </c>
      <c r="F414">
        <v>10824.72</v>
      </c>
      <c r="G414">
        <v>1515.46</v>
      </c>
      <c r="H414">
        <v>12340.18</v>
      </c>
      <c r="I414">
        <v>25754</v>
      </c>
      <c r="J414" t="s">
        <v>831</v>
      </c>
      <c r="K414">
        <v>2</v>
      </c>
      <c r="L414" t="str">
        <f>Hyperlink("http://www.seavest.co.za/inv/fpdf16/inv-preview.php?Id=44993","Click for Invoice PDF")</f>
        <v>Click for Invoice PDF</v>
      </c>
      <c r="M414"/>
    </row>
    <row r="415" spans="1:215">
      <c r="A415" t="s">
        <v>833</v>
      </c>
      <c r="B415"/>
      <c r="C415" t="s">
        <v>67</v>
      </c>
      <c r="D415" t="s">
        <v>144</v>
      </c>
      <c r="E415" t="s">
        <v>73</v>
      </c>
      <c r="F415">
        <v>2203.4</v>
      </c>
      <c r="G415">
        <v>308.48</v>
      </c>
      <c r="H415">
        <v>2511.88</v>
      </c>
      <c r="I415">
        <v>25741</v>
      </c>
      <c r="J415" t="s">
        <v>831</v>
      </c>
      <c r="K415">
        <v>1</v>
      </c>
      <c r="L415" t="str">
        <f>Hyperlink("http://www.seavest.co.za/inv/fpdf16/inv-preview.php?Id=45001","Click for Invoice PDF")</f>
        <v>Click for Invoice PDF</v>
      </c>
      <c r="M415"/>
    </row>
    <row r="416" spans="1:215">
      <c r="A416" t="s">
        <v>834</v>
      </c>
      <c r="B416"/>
      <c r="C416" t="s">
        <v>14</v>
      </c>
      <c r="D416" t="s">
        <v>24</v>
      </c>
      <c r="E416" t="s">
        <v>176</v>
      </c>
      <c r="F416">
        <v>3556.7</v>
      </c>
      <c r="G416">
        <v>533.51</v>
      </c>
      <c r="H416">
        <v>4090.21</v>
      </c>
      <c r="I416">
        <v>25734</v>
      </c>
      <c r="J416" t="s">
        <v>831</v>
      </c>
      <c r="K416">
        <v>28</v>
      </c>
      <c r="L416" t="str">
        <f>Hyperlink("http://www.seavest.co.za/inv/fpdf16/inv-preview.php?Id=44996","Click for Invoice PDF")</f>
        <v>Click for Invoice PDF</v>
      </c>
      <c r="M416"/>
    </row>
    <row r="417" spans="1:215">
      <c r="A417" t="s">
        <v>835</v>
      </c>
      <c r="B417"/>
      <c r="C417" t="s">
        <v>67</v>
      </c>
      <c r="D417" t="s">
        <v>79</v>
      </c>
      <c r="E417" t="s">
        <v>196</v>
      </c>
      <c r="F417">
        <v>139690.94</v>
      </c>
      <c r="G417">
        <v>20953.64</v>
      </c>
      <c r="H417">
        <v>160644.58</v>
      </c>
      <c r="I417">
        <v>25164</v>
      </c>
      <c r="J417" t="s">
        <v>831</v>
      </c>
      <c r="K417">
        <v>29</v>
      </c>
      <c r="L417" t="str">
        <f>Hyperlink("http://www.seavest.co.za/inv/fpdf16/inv-preview.php?Id=44476","Click for Invoice PDF")</f>
        <v>Click for Invoice PDF</v>
      </c>
      <c r="M417"/>
    </row>
    <row r="418" spans="1:215">
      <c r="A418" t="s">
        <v>836</v>
      </c>
      <c r="B418"/>
      <c r="C418" t="s">
        <v>67</v>
      </c>
      <c r="D418" t="s">
        <v>429</v>
      </c>
      <c r="E418" t="s">
        <v>73</v>
      </c>
      <c r="F418">
        <v>2906.5</v>
      </c>
      <c r="G418">
        <v>435.98</v>
      </c>
      <c r="H418">
        <v>3342.48</v>
      </c>
      <c r="I418">
        <v>25746</v>
      </c>
      <c r="J418" t="s">
        <v>831</v>
      </c>
      <c r="K418">
        <v>14</v>
      </c>
      <c r="L418" t="str">
        <f>Hyperlink("http://www.seavest.co.za/inv/fpdf16/inv-preview.php?Id=45005","Click for Invoice PDF")</f>
        <v>Click for Invoice PDF</v>
      </c>
      <c r="M418"/>
    </row>
    <row r="419" spans="1:215">
      <c r="A419" t="s">
        <v>837</v>
      </c>
      <c r="B419"/>
      <c r="C419" t="s">
        <v>67</v>
      </c>
      <c r="D419" t="s">
        <v>85</v>
      </c>
      <c r="E419" t="s">
        <v>73</v>
      </c>
      <c r="F419">
        <v>9999999.99</v>
      </c>
      <c r="G419">
        <v>0</v>
      </c>
      <c r="H419">
        <v>0</v>
      </c>
      <c r="I419">
        <v>23530</v>
      </c>
      <c r="J419" t="s">
        <v>838</v>
      </c>
      <c r="K419">
        <v>303</v>
      </c>
      <c r="L419" t="str">
        <f>Hyperlink("http://www.seavest.co.za/inv/fpdf16/inv-preview.php?Id=43078","Click for Invoice PDF")</f>
        <v>Click for Invoice PDF</v>
      </c>
      <c r="M419"/>
    </row>
    <row r="420" spans="1:215">
      <c r="A420" t="s">
        <v>839</v>
      </c>
      <c r="B420"/>
      <c r="C420" t="s">
        <v>67</v>
      </c>
      <c r="D420" t="s">
        <v>840</v>
      </c>
      <c r="E420" t="s">
        <v>259</v>
      </c>
      <c r="F420">
        <v>50391.46</v>
      </c>
      <c r="G420">
        <v>7558.72</v>
      </c>
      <c r="H420">
        <v>57950.18</v>
      </c>
      <c r="I420">
        <v>23658</v>
      </c>
      <c r="J420" t="s">
        <v>838</v>
      </c>
      <c r="K420">
        <v>275</v>
      </c>
      <c r="L420" t="str">
        <f>Hyperlink("http://www.seavest.co.za/inv/fpdf16/inv-preview.php?Id=42740","Click for Invoice PDF")</f>
        <v>Click for Invoice PDF</v>
      </c>
      <c r="M420"/>
    </row>
    <row r="421" spans="1:215">
      <c r="A421" t="s">
        <v>841</v>
      </c>
      <c r="B421"/>
      <c r="C421" t="s">
        <v>67</v>
      </c>
      <c r="D421" t="s">
        <v>842</v>
      </c>
      <c r="E421" t="s">
        <v>196</v>
      </c>
      <c r="F421">
        <v>6898.52</v>
      </c>
      <c r="G421">
        <v>1034.78</v>
      </c>
      <c r="H421">
        <v>7933.3</v>
      </c>
      <c r="I421">
        <v>23663</v>
      </c>
      <c r="J421" t="s">
        <v>838</v>
      </c>
      <c r="K421">
        <v>277</v>
      </c>
      <c r="L421" t="str">
        <f>Hyperlink("http://www.seavest.co.za/inv/fpdf16/inv-preview.php?Id=43285","Click for Invoice PDF")</f>
        <v>Click for Invoice PDF</v>
      </c>
      <c r="M421"/>
    </row>
    <row r="422" spans="1:215">
      <c r="A422" t="s">
        <v>843</v>
      </c>
      <c r="B422"/>
      <c r="C422" t="s">
        <v>67</v>
      </c>
      <c r="D422" t="s">
        <v>844</v>
      </c>
      <c r="E422" t="s">
        <v>218</v>
      </c>
      <c r="F422">
        <v>6371.62</v>
      </c>
      <c r="G422">
        <v>955.74</v>
      </c>
      <c r="H422">
        <v>7327.36</v>
      </c>
      <c r="I422">
        <v>23666</v>
      </c>
      <c r="J422" t="s">
        <v>838</v>
      </c>
      <c r="K422">
        <v>275</v>
      </c>
      <c r="L422" t="str">
        <f>Hyperlink("http://www.seavest.co.za/inv/fpdf16/inv-preview.php?Id=43289","Click for Invoice PDF")</f>
        <v>Click for Invoice PDF</v>
      </c>
      <c r="M422"/>
    </row>
    <row r="423" spans="1:215">
      <c r="A423" t="s">
        <v>845</v>
      </c>
      <c r="B423" t="s">
        <v>846</v>
      </c>
      <c r="C423" t="s">
        <v>67</v>
      </c>
      <c r="D423" t="s">
        <v>329</v>
      </c>
      <c r="E423" t="s">
        <v>73</v>
      </c>
      <c r="F423">
        <v>6496.8</v>
      </c>
      <c r="G423">
        <v>974.52</v>
      </c>
      <c r="H423">
        <v>7471.32</v>
      </c>
      <c r="I423">
        <v>21020</v>
      </c>
      <c r="J423" t="s">
        <v>847</v>
      </c>
      <c r="K423">
        <v>544</v>
      </c>
      <c r="L423" t="str">
        <f>Hyperlink("http://www.seavest.co.za/inv/fpdf16/inv-preview.php?Id=40671","Click for Invoice PDF")</f>
        <v>Click for Invoice PDF</v>
      </c>
      <c r="M423"/>
    </row>
    <row r="424" spans="1:215">
      <c r="A424" t="s">
        <v>848</v>
      </c>
      <c r="B424"/>
      <c r="C424" t="s">
        <v>67</v>
      </c>
      <c r="D424" t="s">
        <v>781</v>
      </c>
      <c r="E424" t="s">
        <v>209</v>
      </c>
      <c r="F424">
        <v>6176</v>
      </c>
      <c r="G424">
        <v>926.4</v>
      </c>
      <c r="H424">
        <v>7102.4</v>
      </c>
      <c r="I424">
        <v>21031</v>
      </c>
      <c r="J424" t="s">
        <v>847</v>
      </c>
      <c r="K424">
        <v>551</v>
      </c>
      <c r="L424" t="str">
        <f>Hyperlink("http://www.seavest.co.za/inv/fpdf16/inv-preview.php?Id=40706","Click for Invoice PDF")</f>
        <v>Click for Invoice PDF</v>
      </c>
      <c r="M424"/>
    </row>
    <row r="425" spans="1:215">
      <c r="A425" t="s">
        <v>849</v>
      </c>
      <c r="B425"/>
      <c r="C425" t="s">
        <v>14</v>
      </c>
      <c r="D425" t="s">
        <v>475</v>
      </c>
      <c r="E425" t="s">
        <v>176</v>
      </c>
      <c r="F425">
        <v>0</v>
      </c>
      <c r="G425">
        <v>0</v>
      </c>
      <c r="H425">
        <v>0</v>
      </c>
      <c r="I425">
        <v>21860</v>
      </c>
      <c r="J425" t="s">
        <v>850</v>
      </c>
      <c r="K425">
        <v>272</v>
      </c>
      <c r="L425" t="str">
        <f>Hyperlink("http://www.seavest.co.za/inv/fpdf16/inv-preview.php?Id=41429","Click for Invoice PDF")</f>
        <v>Click for Invoice PDF</v>
      </c>
      <c r="M425"/>
    </row>
    <row r="426" spans="1:215">
      <c r="A426" t="s">
        <v>851</v>
      </c>
      <c r="B426"/>
      <c r="C426" t="s">
        <v>14</v>
      </c>
      <c r="D426" t="s">
        <v>231</v>
      </c>
      <c r="E426" t="s">
        <v>176</v>
      </c>
      <c r="F426">
        <v>0</v>
      </c>
      <c r="G426">
        <v>0</v>
      </c>
      <c r="H426">
        <v>0</v>
      </c>
      <c r="I426">
        <v>22020</v>
      </c>
      <c r="J426" t="s">
        <v>850</v>
      </c>
      <c r="K426">
        <v>272</v>
      </c>
      <c r="L426" t="str">
        <f>Hyperlink("http://www.seavest.co.za/inv/fpdf16/inv-preview.php?Id=41511","Click for Invoice PDF")</f>
        <v>Click for Invoice PDF</v>
      </c>
      <c r="M426"/>
    </row>
    <row r="427" spans="1:215">
      <c r="A427" t="s">
        <v>852</v>
      </c>
      <c r="B427"/>
      <c r="C427" t="s">
        <v>14</v>
      </c>
      <c r="D427" t="s">
        <v>28</v>
      </c>
      <c r="E427" t="s">
        <v>176</v>
      </c>
      <c r="F427">
        <v>4498.02</v>
      </c>
      <c r="G427">
        <v>674.7</v>
      </c>
      <c r="H427">
        <v>5172.72</v>
      </c>
      <c r="I427">
        <v>23925</v>
      </c>
      <c r="J427" t="s">
        <v>850</v>
      </c>
      <c r="K427">
        <v>268</v>
      </c>
      <c r="L427" t="str">
        <f>Hyperlink("http://www.seavest.co.za/inv/fpdf16/inv-preview.php?Id=43487","Click for Invoice PDF")</f>
        <v>Click for Invoice PDF</v>
      </c>
      <c r="M427"/>
    </row>
    <row r="428" spans="1:215">
      <c r="A428" t="s">
        <v>853</v>
      </c>
      <c r="B428"/>
      <c r="C428" t="s">
        <v>14</v>
      </c>
      <c r="D428" t="s">
        <v>231</v>
      </c>
      <c r="E428" t="s">
        <v>176</v>
      </c>
      <c r="F428">
        <v>4048.75</v>
      </c>
      <c r="G428">
        <v>607.3099999999999</v>
      </c>
      <c r="H428">
        <v>4656.06</v>
      </c>
      <c r="I428">
        <v>23919</v>
      </c>
      <c r="J428" t="s">
        <v>850</v>
      </c>
      <c r="K428">
        <v>272</v>
      </c>
      <c r="L428" t="str">
        <f>Hyperlink("http://www.seavest.co.za/inv/fpdf16/inv-preview.php?Id=43489","Click for Invoice PDF")</f>
        <v>Click for Invoice PDF</v>
      </c>
      <c r="M428"/>
    </row>
    <row r="429" spans="1:215">
      <c r="A429" t="s">
        <v>854</v>
      </c>
      <c r="B429"/>
      <c r="C429" t="s">
        <v>67</v>
      </c>
      <c r="D429" t="s">
        <v>254</v>
      </c>
      <c r="E429" t="s">
        <v>73</v>
      </c>
      <c r="F429">
        <v>0</v>
      </c>
      <c r="G429">
        <v>0</v>
      </c>
      <c r="H429">
        <v>0</v>
      </c>
      <c r="I429">
        <v>21631</v>
      </c>
      <c r="J429" t="s">
        <v>850</v>
      </c>
      <c r="K429">
        <v>272</v>
      </c>
      <c r="L429" t="str">
        <f>Hyperlink("http://www.seavest.co.za/inv/fpdf16/inv-preview.php?Id=41060","Click for Invoice PDF")</f>
        <v>Click for Invoice PDF</v>
      </c>
      <c r="M429"/>
    </row>
    <row r="430" spans="1:215">
      <c r="A430" t="s">
        <v>855</v>
      </c>
      <c r="B430"/>
      <c r="C430" t="s">
        <v>67</v>
      </c>
      <c r="D430" t="s">
        <v>254</v>
      </c>
      <c r="E430" t="s">
        <v>73</v>
      </c>
      <c r="F430">
        <v>0</v>
      </c>
      <c r="G430">
        <v>0</v>
      </c>
      <c r="H430">
        <v>0</v>
      </c>
      <c r="I430">
        <v>21423</v>
      </c>
      <c r="J430" t="s">
        <v>850</v>
      </c>
      <c r="K430">
        <v>272</v>
      </c>
      <c r="L430" t="str">
        <f>Hyperlink("http://www.seavest.co.za/inv/fpdf16/inv-preview.php?Id=41053","Click for Invoice PDF")</f>
        <v>Click for Invoice PDF</v>
      </c>
      <c r="M430"/>
    </row>
    <row r="431" spans="1:215">
      <c r="A431" t="s">
        <v>856</v>
      </c>
      <c r="B431"/>
      <c r="C431" t="s">
        <v>67</v>
      </c>
      <c r="D431" t="s">
        <v>857</v>
      </c>
      <c r="E431" t="s">
        <v>176</v>
      </c>
      <c r="F431">
        <v>0</v>
      </c>
      <c r="G431">
        <v>0</v>
      </c>
      <c r="H431">
        <v>0</v>
      </c>
      <c r="I431">
        <v>22581</v>
      </c>
      <c r="J431" t="s">
        <v>850</v>
      </c>
      <c r="K431">
        <v>272</v>
      </c>
      <c r="L431" t="str">
        <f>Hyperlink("http://www.seavest.co.za/inv/fpdf16/inv-preview.php?Id=42114","Click for Invoice PDF")</f>
        <v>Click for Invoice PDF</v>
      </c>
      <c r="M431"/>
    </row>
    <row r="432" spans="1:215">
      <c r="A432" t="s">
        <v>858</v>
      </c>
      <c r="B432"/>
      <c r="C432" t="s">
        <v>67</v>
      </c>
      <c r="D432" t="s">
        <v>859</v>
      </c>
      <c r="E432" t="s">
        <v>73</v>
      </c>
      <c r="F432">
        <v>0</v>
      </c>
      <c r="G432">
        <v>0</v>
      </c>
      <c r="H432">
        <v>0</v>
      </c>
      <c r="I432">
        <v>22812</v>
      </c>
      <c r="J432" t="s">
        <v>850</v>
      </c>
      <c r="K432">
        <v>272</v>
      </c>
      <c r="L432" t="str">
        <f>Hyperlink("http://www.seavest.co.za/inv/fpdf16/inv-preview.php?Id=42360","Click for Invoice PDF")</f>
        <v>Click for Invoice PDF</v>
      </c>
      <c r="M432"/>
    </row>
    <row r="433" spans="1:215">
      <c r="A433" t="s">
        <v>860</v>
      </c>
      <c r="B433"/>
      <c r="C433" t="s">
        <v>67</v>
      </c>
      <c r="D433" t="s">
        <v>861</v>
      </c>
      <c r="E433" t="s">
        <v>183</v>
      </c>
      <c r="F433">
        <v>0</v>
      </c>
      <c r="G433">
        <v>0</v>
      </c>
      <c r="H433">
        <v>0</v>
      </c>
      <c r="I433">
        <v>22883</v>
      </c>
      <c r="J433" t="s">
        <v>850</v>
      </c>
      <c r="K433">
        <v>272</v>
      </c>
      <c r="L433" t="str">
        <f>Hyperlink("http://www.seavest.co.za/inv/fpdf16/inv-preview.php?Id=42439","Click for Invoice PDF")</f>
        <v>Click for Invoice PDF</v>
      </c>
      <c r="M433"/>
    </row>
    <row r="434" spans="1:215">
      <c r="A434" t="s">
        <v>862</v>
      </c>
      <c r="B434"/>
      <c r="C434" t="s">
        <v>67</v>
      </c>
      <c r="D434" t="s">
        <v>217</v>
      </c>
      <c r="E434" t="s">
        <v>183</v>
      </c>
      <c r="F434">
        <v>0</v>
      </c>
      <c r="G434">
        <v>0</v>
      </c>
      <c r="H434">
        <v>0</v>
      </c>
      <c r="I434">
        <v>23071</v>
      </c>
      <c r="J434" t="s">
        <v>850</v>
      </c>
      <c r="K434">
        <v>272</v>
      </c>
      <c r="L434" t="str">
        <f>Hyperlink("http://www.seavest.co.za/inv/fpdf16/inv-preview.php?Id=42528","Click for Invoice PDF")</f>
        <v>Click for Invoice PDF</v>
      </c>
      <c r="M434"/>
    </row>
    <row r="435" spans="1:215">
      <c r="A435" t="s">
        <v>863</v>
      </c>
      <c r="B435"/>
      <c r="C435" t="s">
        <v>67</v>
      </c>
      <c r="D435" t="s">
        <v>536</v>
      </c>
      <c r="E435"/>
      <c r="F435">
        <v>6052.92</v>
      </c>
      <c r="G435">
        <v>847.41</v>
      </c>
      <c r="H435">
        <v>6900.33</v>
      </c>
      <c r="I435">
        <v>25115</v>
      </c>
      <c r="J435" t="s">
        <v>864</v>
      </c>
      <c r="K435">
        <v>4</v>
      </c>
      <c r="L435" t="str">
        <f>Hyperlink("http://www.seavest.co.za/inv/fpdf16/inv-preview.php?Id=44455","Click for Invoice PDF")</f>
        <v>Click for Invoice PDF</v>
      </c>
      <c r="M435"/>
    </row>
    <row r="436" spans="1:215">
      <c r="A436" t="s">
        <v>865</v>
      </c>
      <c r="B436"/>
      <c r="C436" t="s">
        <v>67</v>
      </c>
      <c r="D436" t="s">
        <v>70</v>
      </c>
      <c r="E436" t="s">
        <v>209</v>
      </c>
      <c r="F436">
        <v>15908.8</v>
      </c>
      <c r="G436">
        <v>2386.32</v>
      </c>
      <c r="H436">
        <v>18295.12</v>
      </c>
      <c r="I436">
        <v>21359</v>
      </c>
      <c r="J436" t="s">
        <v>866</v>
      </c>
      <c r="K436">
        <v>461</v>
      </c>
      <c r="L436" t="str">
        <f>Hyperlink("http://www.seavest.co.za/inv/fpdf16/inv-preview.php?Id=41002","Click for Invoice PDF")</f>
        <v>Click for Invoice PDF</v>
      </c>
      <c r="M436"/>
    </row>
    <row r="437" spans="1:215">
      <c r="A437" t="s">
        <v>867</v>
      </c>
      <c r="B437"/>
      <c r="C437" t="s">
        <v>67</v>
      </c>
      <c r="D437" t="s">
        <v>868</v>
      </c>
      <c r="E437" t="s">
        <v>196</v>
      </c>
      <c r="F437">
        <v>13027.6</v>
      </c>
      <c r="G437">
        <v>1954.14</v>
      </c>
      <c r="H437">
        <v>14981.74</v>
      </c>
      <c r="I437">
        <v>24923</v>
      </c>
      <c r="J437" t="s">
        <v>869</v>
      </c>
      <c r="K437">
        <v>132</v>
      </c>
      <c r="L437" t="str">
        <f>Hyperlink("http://www.seavest.co.za/inv/fpdf16/inv-preview.php?Id=44245","Click for Invoice PDF")</f>
        <v>Click for Invoice PDF</v>
      </c>
      <c r="M437"/>
    </row>
    <row r="438" spans="1:215">
      <c r="A438" t="s">
        <v>870</v>
      </c>
      <c r="B438"/>
      <c r="C438" t="s">
        <v>67</v>
      </c>
      <c r="D438" t="s">
        <v>237</v>
      </c>
      <c r="E438" t="s">
        <v>238</v>
      </c>
      <c r="F438">
        <v>44157</v>
      </c>
      <c r="G438">
        <v>6181.98</v>
      </c>
      <c r="H438">
        <v>50338.98</v>
      </c>
      <c r="I438">
        <v>25560</v>
      </c>
      <c r="J438" t="s">
        <v>871</v>
      </c>
      <c r="K438">
        <v>29</v>
      </c>
      <c r="L438" t="str">
        <f>Hyperlink("http://www.seavest.co.za/inv/fpdf16/inv-preview.php?Id=44864","Click for Invoice PDF")</f>
        <v>Click for Invoice PDF</v>
      </c>
      <c r="M438"/>
    </row>
    <row r="439" spans="1:215">
      <c r="A439" t="s">
        <v>872</v>
      </c>
      <c r="B439"/>
      <c r="C439" t="s">
        <v>67</v>
      </c>
      <c r="D439" t="s">
        <v>559</v>
      </c>
      <c r="E439" t="s">
        <v>196</v>
      </c>
      <c r="F439">
        <v>6067</v>
      </c>
      <c r="G439">
        <v>910.05</v>
      </c>
      <c r="H439">
        <v>6977.05</v>
      </c>
      <c r="I439">
        <v>25789</v>
      </c>
      <c r="J439" t="s">
        <v>871</v>
      </c>
      <c r="K439">
        <v>7</v>
      </c>
      <c r="L439" t="str">
        <f>Hyperlink("http://www.seavest.co.za/inv/fpdf16/inv-preview.php?Id=45006","Click for Invoice PDF")</f>
        <v>Click for Invoice PDF</v>
      </c>
      <c r="M439"/>
    </row>
    <row r="440" spans="1:215">
      <c r="A440" t="s">
        <v>873</v>
      </c>
      <c r="B440"/>
      <c r="C440" t="s">
        <v>67</v>
      </c>
      <c r="D440" t="s">
        <v>559</v>
      </c>
      <c r="E440" t="s">
        <v>196</v>
      </c>
      <c r="F440">
        <v>8153.3</v>
      </c>
      <c r="G440">
        <v>1223</v>
      </c>
      <c r="H440">
        <v>9376.299999999999</v>
      </c>
      <c r="I440">
        <v>25743</v>
      </c>
      <c r="J440" t="s">
        <v>871</v>
      </c>
      <c r="K440">
        <v>8</v>
      </c>
      <c r="L440" t="str">
        <f>Hyperlink("http://www.seavest.co.za/inv/fpdf16/inv-preview.php?Id=45002","Click for Invoice PDF")</f>
        <v>Click for Invoice PDF</v>
      </c>
      <c r="M440"/>
    </row>
    <row r="441" spans="1:215">
      <c r="A441" t="s">
        <v>874</v>
      </c>
      <c r="B441"/>
      <c r="C441" t="s">
        <v>67</v>
      </c>
      <c r="D441" t="s">
        <v>79</v>
      </c>
      <c r="E441" t="s">
        <v>196</v>
      </c>
      <c r="F441">
        <v>24544.98</v>
      </c>
      <c r="G441">
        <v>3436.3</v>
      </c>
      <c r="H441">
        <v>27981.28</v>
      </c>
      <c r="I441">
        <v>25621</v>
      </c>
      <c r="J441" t="s">
        <v>871</v>
      </c>
      <c r="K441">
        <v>29</v>
      </c>
      <c r="L441" t="str">
        <f>Hyperlink("http://www.seavest.co.za/inv/fpdf16/inv-preview.php?Id=44920","Click for Invoice PDF")</f>
        <v>Click for Invoice PDF</v>
      </c>
      <c r="M441"/>
    </row>
    <row r="442" spans="1:215">
      <c r="A442" t="s">
        <v>875</v>
      </c>
      <c r="B442"/>
      <c r="C442" t="s">
        <v>14</v>
      </c>
      <c r="D442" t="s">
        <v>876</v>
      </c>
      <c r="E442" t="s">
        <v>176</v>
      </c>
      <c r="F442">
        <v>8125.84</v>
      </c>
      <c r="G442">
        <v>1218.88</v>
      </c>
      <c r="H442">
        <v>9344.719999999999</v>
      </c>
      <c r="I442">
        <v>24699</v>
      </c>
      <c r="J442" t="s">
        <v>877</v>
      </c>
      <c r="K442">
        <v>163</v>
      </c>
      <c r="L442" t="str">
        <f>Hyperlink("http://www.seavest.co.za/inv/fpdf16/inv-preview.php?Id=44040","Click for Invoice PDF")</f>
        <v>Click for Invoice PDF</v>
      </c>
      <c r="M442"/>
    </row>
    <row r="443" spans="1:215">
      <c r="A443" t="s">
        <v>878</v>
      </c>
      <c r="B443"/>
      <c r="C443" t="s">
        <v>67</v>
      </c>
      <c r="D443" t="s">
        <v>795</v>
      </c>
      <c r="E443" t="s">
        <v>196</v>
      </c>
      <c r="F443">
        <v>3660</v>
      </c>
      <c r="G443">
        <v>549</v>
      </c>
      <c r="H443">
        <v>4209</v>
      </c>
      <c r="I443">
        <v>24663</v>
      </c>
      <c r="J443" t="s">
        <v>877</v>
      </c>
      <c r="K443">
        <v>181</v>
      </c>
      <c r="L443" t="str">
        <f>Hyperlink("http://www.seavest.co.za/inv/fpdf16/inv-preview.php?Id=44052","Click for Invoice PDF")</f>
        <v>Click for Invoice PDF</v>
      </c>
      <c r="M443"/>
    </row>
    <row r="444" spans="1:215">
      <c r="A444" t="s">
        <v>879</v>
      </c>
      <c r="B444"/>
      <c r="C444" t="s">
        <v>67</v>
      </c>
      <c r="D444" t="s">
        <v>880</v>
      </c>
      <c r="E444" t="s">
        <v>259</v>
      </c>
      <c r="F444">
        <v>47008.3</v>
      </c>
      <c r="G444">
        <v>7051.25</v>
      </c>
      <c r="H444">
        <v>54059.55</v>
      </c>
      <c r="I444">
        <v>24470</v>
      </c>
      <c r="J444" t="s">
        <v>877</v>
      </c>
      <c r="K444">
        <v>181</v>
      </c>
      <c r="L444" t="str">
        <f>Hyperlink("http://www.seavest.co.za/inv/fpdf16/inv-preview.php?Id=43688","Click for Invoice PDF")</f>
        <v>Click for Invoice PDF</v>
      </c>
      <c r="M444"/>
    </row>
    <row r="445" spans="1:215">
      <c r="A445" t="s">
        <v>881</v>
      </c>
      <c r="B445"/>
      <c r="C445" t="s">
        <v>67</v>
      </c>
      <c r="D445" t="s">
        <v>79</v>
      </c>
      <c r="E445" t="s">
        <v>196</v>
      </c>
      <c r="F445">
        <v>56339.55</v>
      </c>
      <c r="G445">
        <v>8450.93</v>
      </c>
      <c r="H445">
        <v>64790.48</v>
      </c>
      <c r="I445">
        <v>24343</v>
      </c>
      <c r="J445" t="s">
        <v>877</v>
      </c>
      <c r="K445">
        <v>181</v>
      </c>
      <c r="L445" t="str">
        <f>Hyperlink("http://www.seavest.co.za/inv/fpdf16/inv-preview.php?Id=43815","Click for Invoice PDF")</f>
        <v>Click for Invoice PDF</v>
      </c>
      <c r="M445"/>
    </row>
    <row r="446" spans="1:215">
      <c r="A446" t="s">
        <v>882</v>
      </c>
      <c r="B446"/>
      <c r="C446" t="s">
        <v>67</v>
      </c>
      <c r="D446" t="s">
        <v>883</v>
      </c>
      <c r="E446" t="s">
        <v>82</v>
      </c>
      <c r="F446">
        <v>0</v>
      </c>
      <c r="G446">
        <v>0</v>
      </c>
      <c r="H446">
        <v>0</v>
      </c>
      <c r="I446">
        <v>24571</v>
      </c>
      <c r="J446" t="s">
        <v>877</v>
      </c>
      <c r="K446">
        <v>152</v>
      </c>
      <c r="L446" t="str">
        <f>Hyperlink("http://www.seavest.co.za/inv/fpdf16/inv-preview.php?Id=43959","Click for Invoice PDF")</f>
        <v>Click for Invoice PDF</v>
      </c>
      <c r="M446"/>
    </row>
    <row r="447" spans="1:215">
      <c r="A447" t="s">
        <v>884</v>
      </c>
      <c r="B447"/>
      <c r="C447" t="s">
        <v>67</v>
      </c>
      <c r="D447" t="s">
        <v>116</v>
      </c>
      <c r="E447" t="s">
        <v>259</v>
      </c>
      <c r="F447">
        <v>7982.96</v>
      </c>
      <c r="G447">
        <v>1197.44</v>
      </c>
      <c r="H447">
        <v>9180.4</v>
      </c>
      <c r="I447">
        <v>24677</v>
      </c>
      <c r="J447" t="s">
        <v>877</v>
      </c>
      <c r="K447">
        <v>181</v>
      </c>
      <c r="L447" t="str">
        <f>Hyperlink("http://www.seavest.co.za/inv/fpdf16/inv-preview.php?Id=44033","Click for Invoice PDF")</f>
        <v>Click for Invoice PDF</v>
      </c>
      <c r="M447"/>
    </row>
    <row r="448" spans="1:215">
      <c r="A448" t="s">
        <v>885</v>
      </c>
      <c r="B448"/>
      <c r="C448" t="s">
        <v>67</v>
      </c>
      <c r="D448" t="s">
        <v>825</v>
      </c>
      <c r="E448" t="s">
        <v>259</v>
      </c>
      <c r="F448">
        <v>3784.76</v>
      </c>
      <c r="G448">
        <v>567.71</v>
      </c>
      <c r="H448">
        <v>4352.47</v>
      </c>
      <c r="I448">
        <v>24624</v>
      </c>
      <c r="J448" t="s">
        <v>877</v>
      </c>
      <c r="K448">
        <v>181</v>
      </c>
      <c r="L448" t="str">
        <f>Hyperlink("http://www.seavest.co.za/inv/fpdf16/inv-preview.php?Id=44034","Click for Invoice PDF")</f>
        <v>Click for Invoice PDF</v>
      </c>
      <c r="M448"/>
    </row>
    <row r="449" spans="1:215">
      <c r="A449" t="s">
        <v>886</v>
      </c>
      <c r="B449"/>
      <c r="C449" t="s">
        <v>67</v>
      </c>
      <c r="D449" t="s">
        <v>349</v>
      </c>
      <c r="E449" t="s">
        <v>82</v>
      </c>
      <c r="F449">
        <v>6531.6</v>
      </c>
      <c r="G449">
        <v>979.74</v>
      </c>
      <c r="H449">
        <v>7511.34</v>
      </c>
      <c r="I449">
        <v>24666</v>
      </c>
      <c r="J449" t="s">
        <v>877</v>
      </c>
      <c r="K449">
        <v>181</v>
      </c>
      <c r="L449" t="str">
        <f>Hyperlink("http://www.seavest.co.za/inv/fpdf16/inv-preview.php?Id=44048","Click for Invoice PDF")</f>
        <v>Click for Invoice PDF</v>
      </c>
      <c r="M449"/>
    </row>
    <row r="450" spans="1:215">
      <c r="A450" t="s">
        <v>887</v>
      </c>
      <c r="B450"/>
      <c r="C450" t="s">
        <v>67</v>
      </c>
      <c r="D450" t="s">
        <v>151</v>
      </c>
      <c r="E450" t="s">
        <v>183</v>
      </c>
      <c r="F450">
        <v>6842.7</v>
      </c>
      <c r="G450">
        <v>1026.41</v>
      </c>
      <c r="H450">
        <v>7869.11</v>
      </c>
      <c r="I450">
        <v>22156</v>
      </c>
      <c r="J450" t="s">
        <v>888</v>
      </c>
      <c r="K450">
        <v>277</v>
      </c>
      <c r="L450" t="str">
        <f>Hyperlink("http://www.seavest.co.za/inv/fpdf16/inv-preview.php?Id=41738","Click for Invoice PDF")</f>
        <v>Click for Invoice PDF</v>
      </c>
      <c r="M450"/>
    </row>
    <row r="451" spans="1:215">
      <c r="A451" t="s">
        <v>889</v>
      </c>
      <c r="B451"/>
      <c r="C451" t="s">
        <v>67</v>
      </c>
      <c r="D451" t="s">
        <v>546</v>
      </c>
      <c r="E451" t="s">
        <v>209</v>
      </c>
      <c r="F451">
        <v>6455.2</v>
      </c>
      <c r="G451">
        <v>968.28</v>
      </c>
      <c r="H451">
        <v>7423.48</v>
      </c>
      <c r="I451">
        <v>22639</v>
      </c>
      <c r="J451" t="s">
        <v>888</v>
      </c>
      <c r="K451">
        <v>204</v>
      </c>
      <c r="L451" t="str">
        <f>Hyperlink("http://www.seavest.co.za/inv/fpdf16/inv-preview.php?Id=42168","Click for Invoice PDF")</f>
        <v>Click for Invoice PDF</v>
      </c>
      <c r="M451"/>
    </row>
    <row r="452" spans="1:215">
      <c r="A452" t="s">
        <v>890</v>
      </c>
      <c r="B452"/>
      <c r="C452" t="s">
        <v>67</v>
      </c>
      <c r="D452" t="s">
        <v>217</v>
      </c>
      <c r="E452" t="s">
        <v>183</v>
      </c>
      <c r="F452">
        <v>0</v>
      </c>
      <c r="G452">
        <v>0</v>
      </c>
      <c r="H452">
        <v>0</v>
      </c>
      <c r="I452">
        <v>22969</v>
      </c>
      <c r="J452" t="s">
        <v>891</v>
      </c>
      <c r="K452">
        <v>240</v>
      </c>
      <c r="L452" t="str">
        <f>Hyperlink("http://www.seavest.co.za/inv/fpdf16/inv-preview.php?Id=42450","Click for Invoice PDF")</f>
        <v>Click for Invoice PDF</v>
      </c>
      <c r="M452"/>
    </row>
    <row r="453" spans="1:215">
      <c r="A453" t="s">
        <v>892</v>
      </c>
      <c r="B453"/>
      <c r="C453" t="s">
        <v>67</v>
      </c>
      <c r="D453" t="s">
        <v>365</v>
      </c>
      <c r="E453" t="s">
        <v>183</v>
      </c>
      <c r="F453">
        <v>9999999.99</v>
      </c>
      <c r="G453">
        <v>0</v>
      </c>
      <c r="H453">
        <v>0</v>
      </c>
      <c r="I453">
        <v>23778</v>
      </c>
      <c r="J453" t="s">
        <v>891</v>
      </c>
      <c r="K453">
        <v>240</v>
      </c>
      <c r="L453" t="str">
        <f>Hyperlink("http://www.seavest.co.za/inv/fpdf16/inv-preview.php?Id=42985","Click for Invoice PDF")</f>
        <v>Click for Invoice PDF</v>
      </c>
      <c r="M453"/>
    </row>
    <row r="454" spans="1:215">
      <c r="A454" t="s">
        <v>893</v>
      </c>
      <c r="B454"/>
      <c r="C454" t="s">
        <v>67</v>
      </c>
      <c r="D454" t="s">
        <v>217</v>
      </c>
      <c r="E454" t="s">
        <v>183</v>
      </c>
      <c r="F454">
        <v>0</v>
      </c>
      <c r="G454">
        <v>0</v>
      </c>
      <c r="H454">
        <v>0</v>
      </c>
      <c r="I454">
        <v>23596</v>
      </c>
      <c r="J454" t="s">
        <v>891</v>
      </c>
      <c r="K454">
        <v>240</v>
      </c>
      <c r="L454" t="str">
        <f>Hyperlink("http://www.seavest.co.za/inv/fpdf16/inv-preview.php?Id=42994","Click for Invoice PDF")</f>
        <v>Click for Invoice PDF</v>
      </c>
      <c r="M454"/>
    </row>
    <row r="455" spans="1:215">
      <c r="A455" t="s">
        <v>894</v>
      </c>
      <c r="B455"/>
      <c r="C455" t="s">
        <v>67</v>
      </c>
      <c r="D455" t="s">
        <v>349</v>
      </c>
      <c r="E455" t="s">
        <v>82</v>
      </c>
      <c r="F455">
        <v>0</v>
      </c>
      <c r="G455">
        <v>0</v>
      </c>
      <c r="H455">
        <v>0</v>
      </c>
      <c r="I455">
        <v>23777</v>
      </c>
      <c r="J455" t="s">
        <v>891</v>
      </c>
      <c r="K455">
        <v>240</v>
      </c>
      <c r="L455" t="str">
        <f>Hyperlink("http://www.seavest.co.za/inv/fpdf16/inv-preview.php?Id=43354","Click for Invoice PDF")</f>
        <v>Click for Invoice PDF</v>
      </c>
      <c r="M455"/>
    </row>
    <row r="456" spans="1:215">
      <c r="A456" t="s">
        <v>895</v>
      </c>
      <c r="B456"/>
      <c r="C456" t="s">
        <v>14</v>
      </c>
      <c r="D456" t="s">
        <v>15</v>
      </c>
      <c r="E456" t="s">
        <v>110</v>
      </c>
      <c r="F456">
        <v>2096.2</v>
      </c>
      <c r="G456">
        <v>314.43</v>
      </c>
      <c r="H456">
        <v>2410.63</v>
      </c>
      <c r="I456">
        <v>20911</v>
      </c>
      <c r="J456" t="s">
        <v>896</v>
      </c>
      <c r="K456">
        <v>632</v>
      </c>
      <c r="L456" t="str">
        <f>Hyperlink("http://www.seavest.co.za/inv/fpdf16/inv-preview.php?Id=40399","Click for Invoice PDF")</f>
        <v>Click for Invoice PDF</v>
      </c>
      <c r="M456"/>
    </row>
    <row r="457" spans="1:215">
      <c r="A457" t="s">
        <v>897</v>
      </c>
      <c r="B457"/>
      <c r="C457" t="s">
        <v>14</v>
      </c>
      <c r="D457" t="s">
        <v>435</v>
      </c>
      <c r="E457" t="s">
        <v>176</v>
      </c>
      <c r="F457">
        <v>0</v>
      </c>
      <c r="G457">
        <v>0</v>
      </c>
      <c r="H457">
        <v>0</v>
      </c>
      <c r="I457">
        <v>23953</v>
      </c>
      <c r="J457" t="s">
        <v>898</v>
      </c>
      <c r="K457">
        <v>259</v>
      </c>
      <c r="L457" t="str">
        <f>Hyperlink("http://www.seavest.co.za/inv/fpdf16/inv-preview.php?Id=43130","Click for Invoice PDF")</f>
        <v>Click for Invoice PDF</v>
      </c>
      <c r="M457"/>
    </row>
    <row r="458" spans="1:215">
      <c r="A458" t="s">
        <v>899</v>
      </c>
      <c r="B458"/>
      <c r="C458" t="s">
        <v>14</v>
      </c>
      <c r="D458" t="s">
        <v>488</v>
      </c>
      <c r="E458" t="s">
        <v>176</v>
      </c>
      <c r="F458">
        <v>4580.75</v>
      </c>
      <c r="G458">
        <v>687.11</v>
      </c>
      <c r="H458">
        <v>5267.86</v>
      </c>
      <c r="I458">
        <v>23939</v>
      </c>
      <c r="J458" t="s">
        <v>898</v>
      </c>
      <c r="K458">
        <v>268</v>
      </c>
      <c r="L458" t="str">
        <f>Hyperlink("http://www.seavest.co.za/inv/fpdf16/inv-preview.php?Id=43204","Click for Invoice PDF")</f>
        <v>Click for Invoice PDF</v>
      </c>
      <c r="M458"/>
    </row>
    <row r="459" spans="1:215">
      <c r="A459" t="s">
        <v>900</v>
      </c>
      <c r="B459"/>
      <c r="C459" t="s">
        <v>14</v>
      </c>
      <c r="D459" t="s">
        <v>470</v>
      </c>
      <c r="E459" t="s">
        <v>176</v>
      </c>
      <c r="F459">
        <v>14392</v>
      </c>
      <c r="G459">
        <v>2158.8</v>
      </c>
      <c r="H459">
        <v>16550.8</v>
      </c>
      <c r="I459">
        <v>23792</v>
      </c>
      <c r="J459" t="s">
        <v>898</v>
      </c>
      <c r="K459">
        <v>267</v>
      </c>
      <c r="L459" t="str">
        <f>Hyperlink("http://www.seavest.co.za/inv/fpdf16/inv-preview.php?Id=43387","Click for Invoice PDF")</f>
        <v>Click for Invoice PDF</v>
      </c>
      <c r="M459"/>
    </row>
    <row r="460" spans="1:215">
      <c r="A460" t="s">
        <v>901</v>
      </c>
      <c r="B460"/>
      <c r="C460" t="s">
        <v>67</v>
      </c>
      <c r="D460" t="s">
        <v>840</v>
      </c>
      <c r="E460" t="s">
        <v>259</v>
      </c>
      <c r="F460">
        <v>0</v>
      </c>
      <c r="G460">
        <v>0</v>
      </c>
      <c r="H460">
        <v>0</v>
      </c>
      <c r="I460">
        <v>23171</v>
      </c>
      <c r="J460" t="s">
        <v>898</v>
      </c>
      <c r="K460">
        <v>270</v>
      </c>
      <c r="L460" t="str">
        <f>Hyperlink("http://www.seavest.co.za/inv/fpdf16/inv-preview.php?Id=42734","Click for Invoice PDF")</f>
        <v>Click for Invoice PDF</v>
      </c>
      <c r="M460"/>
    </row>
    <row r="461" spans="1:215">
      <c r="A461" t="s">
        <v>902</v>
      </c>
      <c r="B461"/>
      <c r="C461" t="s">
        <v>67</v>
      </c>
      <c r="D461" t="s">
        <v>903</v>
      </c>
      <c r="E461" t="s">
        <v>183</v>
      </c>
      <c r="F461">
        <v>13148.02</v>
      </c>
      <c r="G461">
        <v>1972.2</v>
      </c>
      <c r="H461">
        <v>15120.22</v>
      </c>
      <c r="I461">
        <v>23389</v>
      </c>
      <c r="J461" t="s">
        <v>898</v>
      </c>
      <c r="K461">
        <v>268</v>
      </c>
      <c r="L461" t="str">
        <f>Hyperlink("http://www.seavest.co.za/inv/fpdf16/inv-preview.php?Id=42989","Click for Invoice PDF")</f>
        <v>Click for Invoice PDF</v>
      </c>
      <c r="M461"/>
    </row>
    <row r="462" spans="1:215">
      <c r="A462" t="s">
        <v>904</v>
      </c>
      <c r="B462"/>
      <c r="C462" t="s">
        <v>67</v>
      </c>
      <c r="D462" t="s">
        <v>95</v>
      </c>
      <c r="E462" t="s">
        <v>259</v>
      </c>
      <c r="F462">
        <v>23891.02</v>
      </c>
      <c r="G462">
        <v>3583.65</v>
      </c>
      <c r="H462">
        <v>27474.67</v>
      </c>
      <c r="I462">
        <v>23602</v>
      </c>
      <c r="J462" t="s">
        <v>898</v>
      </c>
      <c r="K462">
        <v>251</v>
      </c>
      <c r="L462" t="str">
        <f>Hyperlink("http://www.seavest.co.za/inv/fpdf16/inv-preview.php?Id=43241","Click for Invoice PDF")</f>
        <v>Click for Invoice PDF</v>
      </c>
      <c r="M462"/>
    </row>
    <row r="463" spans="1:215">
      <c r="A463" t="s">
        <v>905</v>
      </c>
      <c r="B463"/>
      <c r="C463" t="s">
        <v>67</v>
      </c>
      <c r="D463" t="s">
        <v>906</v>
      </c>
      <c r="E463" t="s">
        <v>238</v>
      </c>
      <c r="F463">
        <v>4187.52</v>
      </c>
      <c r="G463">
        <v>628.13</v>
      </c>
      <c r="H463">
        <v>4815.65</v>
      </c>
      <c r="I463">
        <v>23904</v>
      </c>
      <c r="J463" t="s">
        <v>898</v>
      </c>
      <c r="K463">
        <v>268</v>
      </c>
      <c r="L463" t="str">
        <f>Hyperlink("http://www.seavest.co.za/inv/fpdf16/inv-preview.php?Id=43484","Click for Invoice PDF")</f>
        <v>Click for Invoice PDF</v>
      </c>
      <c r="M463"/>
    </row>
    <row r="464" spans="1:215">
      <c r="A464" t="s">
        <v>907</v>
      </c>
      <c r="B464"/>
      <c r="C464" t="s">
        <v>67</v>
      </c>
      <c r="D464" t="s">
        <v>424</v>
      </c>
      <c r="E464" t="s">
        <v>73</v>
      </c>
      <c r="F464">
        <v>745.2</v>
      </c>
      <c r="G464">
        <v>111.78</v>
      </c>
      <c r="H464">
        <v>856.98</v>
      </c>
      <c r="I464">
        <v>20047</v>
      </c>
      <c r="J464" t="s">
        <v>908</v>
      </c>
      <c r="K464">
        <v>64</v>
      </c>
      <c r="L464" t="str">
        <f>Hyperlink("http://www.seavest.co.za/inv/fpdf16/inv-preview.php?Id=39792","Click for Invoice PDF")</f>
        <v>Click for Invoice PDF</v>
      </c>
      <c r="M464"/>
    </row>
    <row r="465" spans="1:215">
      <c r="A465" t="s">
        <v>909</v>
      </c>
      <c r="B465"/>
      <c r="C465" t="s">
        <v>67</v>
      </c>
      <c r="D465" t="s">
        <v>212</v>
      </c>
      <c r="E465" t="s">
        <v>183</v>
      </c>
      <c r="F465">
        <v>4355.5</v>
      </c>
      <c r="G465">
        <v>653.33</v>
      </c>
      <c r="H465">
        <v>5008.83</v>
      </c>
      <c r="I465">
        <v>20060</v>
      </c>
      <c r="J465" t="s">
        <v>908</v>
      </c>
      <c r="K465">
        <v>34</v>
      </c>
      <c r="L465" t="str">
        <f>Hyperlink("http://www.seavest.co.za/inv/fpdf16/inv-preview.php?Id=39800","Click for Invoice PDF")</f>
        <v>Click for Invoice PDF</v>
      </c>
      <c r="M465"/>
    </row>
    <row r="466" spans="1:215">
      <c r="A466" t="s">
        <v>910</v>
      </c>
      <c r="B466"/>
      <c r="C466" t="s">
        <v>67</v>
      </c>
      <c r="D466" t="s">
        <v>362</v>
      </c>
      <c r="E466" t="s">
        <v>196</v>
      </c>
      <c r="F466">
        <v>1496</v>
      </c>
      <c r="G466">
        <v>224.4</v>
      </c>
      <c r="H466">
        <v>1720.4</v>
      </c>
      <c r="I466">
        <v>20061</v>
      </c>
      <c r="J466" t="s">
        <v>908</v>
      </c>
      <c r="K466">
        <v>34</v>
      </c>
      <c r="L466" t="str">
        <f>Hyperlink("http://www.seavest.co.za/inv/fpdf16/inv-preview.php?Id=39802","Click for Invoice PDF")</f>
        <v>Click for Invoice PDF</v>
      </c>
      <c r="M466"/>
    </row>
    <row r="467" spans="1:215">
      <c r="A467" t="s">
        <v>911</v>
      </c>
      <c r="B467"/>
      <c r="C467" t="s">
        <v>67</v>
      </c>
      <c r="D467" t="s">
        <v>912</v>
      </c>
      <c r="E467" t="s">
        <v>196</v>
      </c>
      <c r="F467">
        <v>2030.5</v>
      </c>
      <c r="G467">
        <v>304.58</v>
      </c>
      <c r="H467">
        <v>2335.08</v>
      </c>
      <c r="I467">
        <v>20065</v>
      </c>
      <c r="J467" t="s">
        <v>908</v>
      </c>
      <c r="K467">
        <v>34</v>
      </c>
      <c r="L467" t="str">
        <f>Hyperlink("http://www.seavest.co.za/inv/fpdf16/inv-preview.php?Id=39807","Click for Invoice PDF")</f>
        <v>Click for Invoice PDF</v>
      </c>
      <c r="M467"/>
    </row>
    <row r="468" spans="1:215">
      <c r="A468" t="s">
        <v>913</v>
      </c>
      <c r="B468"/>
      <c r="C468" t="s">
        <v>67</v>
      </c>
      <c r="D468" t="s">
        <v>91</v>
      </c>
      <c r="E468" t="s">
        <v>183</v>
      </c>
      <c r="F468">
        <v>3515.5</v>
      </c>
      <c r="G468">
        <v>527.33</v>
      </c>
      <c r="H468">
        <v>4042.83</v>
      </c>
      <c r="I468">
        <v>20086</v>
      </c>
      <c r="J468" t="s">
        <v>908</v>
      </c>
      <c r="K468">
        <v>34</v>
      </c>
      <c r="L468" t="str">
        <f>Hyperlink("http://www.seavest.co.za/inv/fpdf16/inv-preview.php?Id=39818","Click for Invoice PDF")</f>
        <v>Click for Invoice PDF</v>
      </c>
      <c r="M468"/>
    </row>
    <row r="469" spans="1:215">
      <c r="A469" t="s">
        <v>914</v>
      </c>
      <c r="B469"/>
      <c r="C469" t="s">
        <v>67</v>
      </c>
      <c r="D469" t="s">
        <v>915</v>
      </c>
      <c r="E469" t="s">
        <v>73</v>
      </c>
      <c r="F469">
        <v>2276.9</v>
      </c>
      <c r="G469">
        <v>341.54</v>
      </c>
      <c r="H469">
        <v>2618.44</v>
      </c>
      <c r="I469">
        <v>20088</v>
      </c>
      <c r="J469" t="s">
        <v>908</v>
      </c>
      <c r="K469">
        <v>34</v>
      </c>
      <c r="L469" t="str">
        <f>Hyperlink("http://www.seavest.co.za/inv/fpdf16/inv-preview.php?Id=39820","Click for Invoice PDF")</f>
        <v>Click for Invoice PDF</v>
      </c>
      <c r="M469"/>
    </row>
    <row r="470" spans="1:215">
      <c r="A470" t="s">
        <v>916</v>
      </c>
      <c r="B470"/>
      <c r="C470" t="s">
        <v>67</v>
      </c>
      <c r="D470" t="s">
        <v>151</v>
      </c>
      <c r="E470" t="s">
        <v>183</v>
      </c>
      <c r="F470">
        <v>10084.69</v>
      </c>
      <c r="G470">
        <v>1512.7</v>
      </c>
      <c r="H470">
        <v>11597.39</v>
      </c>
      <c r="I470">
        <v>20103</v>
      </c>
      <c r="J470" t="s">
        <v>908</v>
      </c>
      <c r="K470">
        <v>72</v>
      </c>
      <c r="L470" t="str">
        <f>Hyperlink("http://www.seavest.co.za/inv/fpdf16/inv-preview.php?Id=39839","Click for Invoice PDF")</f>
        <v>Click for Invoice PDF</v>
      </c>
      <c r="M470"/>
    </row>
    <row r="471" spans="1:215">
      <c r="A471" t="s">
        <v>716</v>
      </c>
      <c r="B471"/>
      <c r="C471" t="s">
        <v>67</v>
      </c>
      <c r="D471" t="s">
        <v>665</v>
      </c>
      <c r="E471" t="s">
        <v>73</v>
      </c>
      <c r="F471">
        <v>5248.85</v>
      </c>
      <c r="G471">
        <v>787.33</v>
      </c>
      <c r="H471">
        <v>6036.18</v>
      </c>
      <c r="I471">
        <v>22993</v>
      </c>
      <c r="J471" t="s">
        <v>917</v>
      </c>
      <c r="K471">
        <v>308</v>
      </c>
      <c r="L471" t="str">
        <f>Hyperlink("http://www.seavest.co.za/inv/fpdf16/inv-preview.php?Id=42537","Click for Invoice PDF")</f>
        <v>Click for Invoice PDF</v>
      </c>
      <c r="M471"/>
    </row>
    <row r="472" spans="1:215">
      <c r="A472" t="s">
        <v>918</v>
      </c>
      <c r="B472"/>
      <c r="C472" t="s">
        <v>14</v>
      </c>
      <c r="D472" t="s">
        <v>30</v>
      </c>
      <c r="E472" t="s">
        <v>176</v>
      </c>
      <c r="F472">
        <v>11327.8</v>
      </c>
      <c r="G472">
        <v>1699.17</v>
      </c>
      <c r="H472">
        <v>13026.97</v>
      </c>
      <c r="I472">
        <v>24697</v>
      </c>
      <c r="J472" t="s">
        <v>919</v>
      </c>
      <c r="K472">
        <v>126</v>
      </c>
      <c r="L472" t="str">
        <f>Hyperlink("http://www.seavest.co.za/inv/fpdf16/inv-preview.php?Id=44085","Click for Invoice PDF")</f>
        <v>Click for Invoice PDF</v>
      </c>
      <c r="M472"/>
    </row>
    <row r="473" spans="1:215">
      <c r="A473" t="s">
        <v>920</v>
      </c>
      <c r="B473"/>
      <c r="C473" t="s">
        <v>67</v>
      </c>
      <c r="D473" t="s">
        <v>221</v>
      </c>
      <c r="E473" t="s">
        <v>73</v>
      </c>
      <c r="F473">
        <v>6447.76</v>
      </c>
      <c r="G473">
        <v>0</v>
      </c>
      <c r="H473">
        <v>6447.76</v>
      </c>
      <c r="I473">
        <v>0</v>
      </c>
      <c r="J473" t="s">
        <v>921</v>
      </c>
      <c r="K473">
        <v>55</v>
      </c>
      <c r="L473" t="str">
        <f>Hyperlink("http://www.seavest.co.za/inv/fpdf16/inv-preview.php?Id=44826","Click for Invoice PDF")</f>
        <v>Click for Invoice PDF</v>
      </c>
      <c r="M473"/>
    </row>
    <row r="474" spans="1:215">
      <c r="A474" t="s">
        <v>922</v>
      </c>
      <c r="B474"/>
      <c r="C474" t="s">
        <v>67</v>
      </c>
      <c r="D474" t="s">
        <v>505</v>
      </c>
      <c r="E474" t="s">
        <v>73</v>
      </c>
      <c r="F474">
        <v>10743.72</v>
      </c>
      <c r="G474">
        <v>1611.56</v>
      </c>
      <c r="H474">
        <v>12355.28</v>
      </c>
      <c r="I474">
        <v>25587</v>
      </c>
      <c r="J474" t="s">
        <v>921</v>
      </c>
      <c r="K474">
        <v>55</v>
      </c>
      <c r="L474" t="str">
        <f>Hyperlink("http://www.seavest.co.za/inv/fpdf16/inv-preview.php?Id=44834","Click for Invoice PDF")</f>
        <v>Click for Invoice PDF</v>
      </c>
      <c r="M474"/>
    </row>
    <row r="475" spans="1:215">
      <c r="A475" t="s">
        <v>923</v>
      </c>
      <c r="B475"/>
      <c r="C475" t="s">
        <v>67</v>
      </c>
      <c r="D475" t="s">
        <v>536</v>
      </c>
      <c r="E475" t="s">
        <v>73</v>
      </c>
      <c r="F475">
        <v>9999999.99</v>
      </c>
      <c r="G475">
        <v>21986.4</v>
      </c>
      <c r="H475">
        <v>168562.4</v>
      </c>
      <c r="I475">
        <v>23597</v>
      </c>
      <c r="J475" t="s">
        <v>924</v>
      </c>
      <c r="K475">
        <v>277</v>
      </c>
      <c r="L475" t="str">
        <f>Hyperlink("http://www.seavest.co.za/inv/fpdf16/inv-preview.php?Id=43237","Click for Invoice PDF")</f>
        <v>Click for Invoice PDF</v>
      </c>
      <c r="M475"/>
    </row>
    <row r="476" spans="1:215">
      <c r="A476" t="s">
        <v>925</v>
      </c>
      <c r="B476"/>
      <c r="C476" t="s">
        <v>14</v>
      </c>
      <c r="D476" t="s">
        <v>28</v>
      </c>
      <c r="E476" t="s">
        <v>485</v>
      </c>
      <c r="F476">
        <v>91722.25</v>
      </c>
      <c r="G476">
        <v>13758.34</v>
      </c>
      <c r="H476">
        <v>105480.59</v>
      </c>
      <c r="I476">
        <v>21096</v>
      </c>
      <c r="J476" t="s">
        <v>926</v>
      </c>
      <c r="K476">
        <v>601</v>
      </c>
      <c r="L476" t="str">
        <f>Hyperlink("http://www.seavest.co.za/inv/fpdf16/inv-preview.php?Id=40688","Click for Invoice PDF")</f>
        <v>Click for Invoice PDF</v>
      </c>
      <c r="M476"/>
    </row>
    <row r="477" spans="1:215">
      <c r="A477" t="s">
        <v>927</v>
      </c>
      <c r="B477"/>
      <c r="C477" t="s">
        <v>67</v>
      </c>
      <c r="D477" t="s">
        <v>928</v>
      </c>
      <c r="E477" t="s">
        <v>209</v>
      </c>
      <c r="F477">
        <v>4060</v>
      </c>
      <c r="G477">
        <v>609</v>
      </c>
      <c r="H477">
        <v>4669</v>
      </c>
      <c r="I477">
        <v>21169</v>
      </c>
      <c r="J477" t="s">
        <v>926</v>
      </c>
      <c r="K477">
        <v>600</v>
      </c>
      <c r="L477" t="str">
        <f>Hyperlink("http://www.seavest.co.za/inv/fpdf16/inv-preview.php?Id=40839","Click for Invoice PDF")</f>
        <v>Click for Invoice PDF</v>
      </c>
      <c r="M477"/>
    </row>
    <row r="478" spans="1:215">
      <c r="A478" t="s">
        <v>929</v>
      </c>
      <c r="B478"/>
      <c r="C478" t="s">
        <v>67</v>
      </c>
      <c r="D478" t="s">
        <v>75</v>
      </c>
      <c r="E478" t="s">
        <v>209</v>
      </c>
      <c r="F478">
        <v>8262</v>
      </c>
      <c r="G478">
        <v>1239.3</v>
      </c>
      <c r="H478">
        <v>9501.299999999999</v>
      </c>
      <c r="I478">
        <v>21022</v>
      </c>
      <c r="J478" t="s">
        <v>926</v>
      </c>
      <c r="K478">
        <v>601</v>
      </c>
      <c r="L478" t="str">
        <f>Hyperlink("http://www.seavest.co.za/inv/fpdf16/inv-preview.php?Id=40771","Click for Invoice PDF")</f>
        <v>Click for Invoice PDF</v>
      </c>
      <c r="M478"/>
    </row>
    <row r="479" spans="1:215">
      <c r="A479" t="s">
        <v>930</v>
      </c>
      <c r="B479"/>
      <c r="C479" t="s">
        <v>67</v>
      </c>
      <c r="D479" t="s">
        <v>795</v>
      </c>
      <c r="E479" t="s">
        <v>196</v>
      </c>
      <c r="F479">
        <v>9555.200000000001</v>
      </c>
      <c r="G479">
        <v>1433.28</v>
      </c>
      <c r="H479">
        <v>10988.48</v>
      </c>
      <c r="I479">
        <v>23844</v>
      </c>
      <c r="J479" t="s">
        <v>931</v>
      </c>
      <c r="K479">
        <v>239</v>
      </c>
      <c r="L479" t="str">
        <f>Hyperlink("http://www.seavest.co.za/inv/fpdf16/inv-preview.php?Id=43437","Click for Invoice PDF")</f>
        <v>Click for Invoice PDF</v>
      </c>
      <c r="M479"/>
    </row>
    <row r="480" spans="1:215">
      <c r="A480" t="s">
        <v>932</v>
      </c>
      <c r="B480"/>
      <c r="C480" t="s">
        <v>14</v>
      </c>
      <c r="D480" t="s">
        <v>191</v>
      </c>
      <c r="E480" t="s">
        <v>176</v>
      </c>
      <c r="F480">
        <v>5577.8</v>
      </c>
      <c r="G480">
        <v>836.67</v>
      </c>
      <c r="H480">
        <v>6414.47</v>
      </c>
      <c r="I480">
        <v>23959</v>
      </c>
      <c r="J480" t="s">
        <v>933</v>
      </c>
      <c r="K480">
        <v>260</v>
      </c>
      <c r="L480" t="str">
        <f>Hyperlink("http://www.seavest.co.za/inv/fpdf16/inv-preview.php?Id=42863","Click for Invoice PDF")</f>
        <v>Click for Invoice PDF</v>
      </c>
      <c r="M480"/>
    </row>
    <row r="481" spans="1:215">
      <c r="A481" t="s">
        <v>934</v>
      </c>
      <c r="B481"/>
      <c r="C481" t="s">
        <v>67</v>
      </c>
      <c r="D481" t="s">
        <v>555</v>
      </c>
      <c r="E481" t="s">
        <v>218</v>
      </c>
      <c r="F481">
        <v>0</v>
      </c>
      <c r="G481">
        <v>0</v>
      </c>
      <c r="H481">
        <v>0</v>
      </c>
      <c r="I481">
        <v>23899</v>
      </c>
      <c r="J481" t="s">
        <v>933</v>
      </c>
      <c r="K481">
        <v>270</v>
      </c>
      <c r="L481" t="str">
        <f>Hyperlink("http://www.seavest.co.za/inv/fpdf16/inv-preview.php?Id=43383","Click for Invoice PDF")</f>
        <v>Click for Invoice PDF</v>
      </c>
      <c r="M481"/>
    </row>
    <row r="482" spans="1:215">
      <c r="A482" t="s">
        <v>935</v>
      </c>
      <c r="B482"/>
      <c r="C482" t="s">
        <v>67</v>
      </c>
      <c r="D482" t="s">
        <v>85</v>
      </c>
      <c r="E482" t="s">
        <v>73</v>
      </c>
      <c r="F482">
        <v>9999999.99</v>
      </c>
      <c r="G482">
        <v>14143.8</v>
      </c>
      <c r="H482">
        <v>108435.78</v>
      </c>
      <c r="I482">
        <v>25337</v>
      </c>
      <c r="J482" t="s">
        <v>936</v>
      </c>
      <c r="K482">
        <v>79</v>
      </c>
      <c r="L482" t="str">
        <f>Hyperlink("http://www.seavest.co.za/inv/fpdf16/inv-preview.php?Id=44636","Click for Invoice PDF")</f>
        <v>Click for Invoice PDF</v>
      </c>
      <c r="M482"/>
    </row>
    <row r="483" spans="1:215">
      <c r="A483" t="s">
        <v>937</v>
      </c>
      <c r="B483"/>
      <c r="C483" t="s">
        <v>67</v>
      </c>
      <c r="D483" t="s">
        <v>237</v>
      </c>
      <c r="E483" t="s">
        <v>238</v>
      </c>
      <c r="F483">
        <v>4315.22</v>
      </c>
      <c r="G483">
        <v>647.28</v>
      </c>
      <c r="H483">
        <v>4962.5</v>
      </c>
      <c r="I483">
        <v>25127</v>
      </c>
      <c r="J483" t="s">
        <v>938</v>
      </c>
      <c r="K483">
        <v>118</v>
      </c>
      <c r="L483" t="str">
        <f>Hyperlink("http://www.seavest.co.za/inv/fpdf16/inv-preview.php?Id=44470","Click for Invoice PDF")</f>
        <v>Click for Invoice PDF</v>
      </c>
      <c r="M483"/>
    </row>
    <row r="484" spans="1:215">
      <c r="A484" t="s">
        <v>939</v>
      </c>
      <c r="B484"/>
      <c r="C484" t="s">
        <v>67</v>
      </c>
      <c r="D484" t="s">
        <v>237</v>
      </c>
      <c r="E484" t="s">
        <v>238</v>
      </c>
      <c r="F484">
        <v>62678.05</v>
      </c>
      <c r="G484">
        <v>9401.709999999999</v>
      </c>
      <c r="H484">
        <v>72079.75999999999</v>
      </c>
      <c r="I484">
        <v>24266</v>
      </c>
      <c r="J484" t="s">
        <v>940</v>
      </c>
      <c r="K484">
        <v>135</v>
      </c>
      <c r="L484" t="str">
        <f>Hyperlink("http://www.seavest.co.za/inv/fpdf16/inv-preview.php?Id=43753","Click for Invoice PDF")</f>
        <v>Click for Invoice PDF</v>
      </c>
      <c r="M484"/>
    </row>
    <row r="485" spans="1:215">
      <c r="A485" t="s">
        <v>941</v>
      </c>
      <c r="B485"/>
      <c r="C485" t="s">
        <v>67</v>
      </c>
      <c r="D485" t="s">
        <v>942</v>
      </c>
      <c r="E485" t="s">
        <v>209</v>
      </c>
      <c r="F485">
        <v>4050</v>
      </c>
      <c r="G485">
        <v>607.5</v>
      </c>
      <c r="H485">
        <v>4657.5</v>
      </c>
      <c r="I485">
        <v>19478</v>
      </c>
      <c r="J485" t="s">
        <v>943</v>
      </c>
      <c r="K485">
        <v>37</v>
      </c>
      <c r="L485" t="str">
        <f>Hyperlink("http://www.seavest.co.za/inv/fpdf16/inv-preview.php?Id=39227","Click for Invoice PDF")</f>
        <v>Click for Invoice PDF</v>
      </c>
      <c r="M485"/>
    </row>
    <row r="486" spans="1:215">
      <c r="A486" t="s">
        <v>944</v>
      </c>
      <c r="B486"/>
      <c r="C486" t="s">
        <v>14</v>
      </c>
      <c r="D486" t="s">
        <v>191</v>
      </c>
      <c r="E486"/>
      <c r="F486">
        <v>8431.959999999999</v>
      </c>
      <c r="G486">
        <v>0</v>
      </c>
      <c r="H486">
        <v>8431.959999999999</v>
      </c>
      <c r="I486">
        <v>23465</v>
      </c>
      <c r="J486" t="s">
        <v>945</v>
      </c>
      <c r="K486">
        <v>37</v>
      </c>
      <c r="L486" t="str">
        <f>Hyperlink("http://www.seavest.co.za/inv/fpdf16/inv-preview.php?Id=42975","Click for Invoice PDF")</f>
        <v>Click for Invoice PDF</v>
      </c>
      <c r="M486"/>
    </row>
    <row r="487" spans="1:215">
      <c r="A487" t="s">
        <v>946</v>
      </c>
      <c r="B487"/>
      <c r="C487" t="s">
        <v>67</v>
      </c>
      <c r="D487" t="s">
        <v>122</v>
      </c>
      <c r="E487" t="s">
        <v>73</v>
      </c>
      <c r="F487">
        <v>0</v>
      </c>
      <c r="G487">
        <v>0</v>
      </c>
      <c r="H487">
        <v>0</v>
      </c>
      <c r="I487">
        <v>23382</v>
      </c>
      <c r="J487" t="s">
        <v>945</v>
      </c>
      <c r="K487">
        <v>331</v>
      </c>
      <c r="L487" t="str">
        <f>Hyperlink("http://www.seavest.co.za/inv/fpdf16/inv-preview.php?Id=42602","Click for Invoice PDF")</f>
        <v>Click for Invoice PDF</v>
      </c>
      <c r="M487"/>
    </row>
    <row r="488" spans="1:215">
      <c r="A488" t="s">
        <v>947</v>
      </c>
      <c r="B488"/>
      <c r="C488" t="s">
        <v>14</v>
      </c>
      <c r="D488" t="s">
        <v>948</v>
      </c>
      <c r="E488" t="s">
        <v>176</v>
      </c>
      <c r="F488">
        <v>12479.05</v>
      </c>
      <c r="G488">
        <v>1871.86</v>
      </c>
      <c r="H488">
        <v>14350.91</v>
      </c>
      <c r="I488">
        <v>23141</v>
      </c>
      <c r="J488" t="s">
        <v>949</v>
      </c>
      <c r="K488">
        <v>309</v>
      </c>
      <c r="L488" t="str">
        <f>Hyperlink("http://www.seavest.co.za/inv/fpdf16/inv-preview.php?Id=42669","Click for Invoice PDF")</f>
        <v>Click for Invoice PDF</v>
      </c>
      <c r="M488"/>
    </row>
    <row r="489" spans="1:215">
      <c r="A489" t="s">
        <v>950</v>
      </c>
      <c r="B489"/>
      <c r="C489" t="s">
        <v>14</v>
      </c>
      <c r="D489" t="s">
        <v>21</v>
      </c>
      <c r="E489" t="s">
        <v>176</v>
      </c>
      <c r="F489">
        <v>164439.09</v>
      </c>
      <c r="G489">
        <v>24665.86</v>
      </c>
      <c r="H489">
        <v>189104.95</v>
      </c>
      <c r="I489">
        <v>23264</v>
      </c>
      <c r="J489" t="s">
        <v>949</v>
      </c>
      <c r="K489">
        <v>245</v>
      </c>
      <c r="L489" t="str">
        <f>Hyperlink("http://www.seavest.co.za/inv/fpdf16/inv-preview.php?Id=42861","Click for Invoice PDF")</f>
        <v>Click for Invoice PDF</v>
      </c>
      <c r="M489"/>
    </row>
    <row r="490" spans="1:215">
      <c r="A490" t="s">
        <v>951</v>
      </c>
      <c r="B490"/>
      <c r="C490" t="s">
        <v>67</v>
      </c>
      <c r="D490" t="s">
        <v>639</v>
      </c>
      <c r="E490" t="s">
        <v>73</v>
      </c>
      <c r="F490">
        <v>8096.25</v>
      </c>
      <c r="G490">
        <v>1214.44</v>
      </c>
      <c r="H490">
        <v>9310.690000000001</v>
      </c>
      <c r="I490">
        <v>23002</v>
      </c>
      <c r="J490" t="s">
        <v>952</v>
      </c>
      <c r="K490">
        <v>308</v>
      </c>
      <c r="L490" t="str">
        <f>Hyperlink("http://www.seavest.co.za/inv/fpdf16/inv-preview.php?Id=42552","Click for Invoice PDF")</f>
        <v>Click for Invoice PDF</v>
      </c>
      <c r="M490"/>
    </row>
    <row r="491" spans="1:215">
      <c r="A491" t="s">
        <v>953</v>
      </c>
      <c r="B491"/>
      <c r="C491" t="s">
        <v>67</v>
      </c>
      <c r="D491" t="s">
        <v>954</v>
      </c>
      <c r="E491" t="s">
        <v>218</v>
      </c>
      <c r="F491">
        <v>2749.4</v>
      </c>
      <c r="G491">
        <v>412.41</v>
      </c>
      <c r="H491">
        <v>3161.81</v>
      </c>
      <c r="I491">
        <v>25730</v>
      </c>
      <c r="J491" t="s">
        <v>955</v>
      </c>
      <c r="K491">
        <v>6</v>
      </c>
      <c r="L491" t="str">
        <f>Hyperlink("http://www.seavest.co.za/inv/fpdf16/inv-preview.php?Id=44793","Click for Invoice PDF")</f>
        <v>Click for Invoice PDF</v>
      </c>
      <c r="M491"/>
    </row>
    <row r="492" spans="1:215">
      <c r="A492" t="s">
        <v>956</v>
      </c>
      <c r="B492"/>
      <c r="C492" t="s">
        <v>67</v>
      </c>
      <c r="D492" t="s">
        <v>146</v>
      </c>
      <c r="E492" t="s">
        <v>82</v>
      </c>
      <c r="F492">
        <v>4714.18</v>
      </c>
      <c r="G492">
        <v>707.13</v>
      </c>
      <c r="H492">
        <v>5421.31</v>
      </c>
      <c r="I492">
        <v>25759</v>
      </c>
      <c r="J492" t="s">
        <v>955</v>
      </c>
      <c r="K492">
        <v>8</v>
      </c>
      <c r="L492" t="str">
        <f>Hyperlink("http://www.seavest.co.za/inv/fpdf16/inv-preview.php?Id=45014","Click for Invoice PDF")</f>
        <v>Click for Invoice PDF</v>
      </c>
      <c r="M492"/>
    </row>
    <row r="493" spans="1:215">
      <c r="A493" t="s">
        <v>957</v>
      </c>
      <c r="B493"/>
      <c r="C493" t="s">
        <v>67</v>
      </c>
      <c r="D493" t="s">
        <v>546</v>
      </c>
      <c r="E493" t="s">
        <v>209</v>
      </c>
      <c r="F493">
        <v>475.3</v>
      </c>
      <c r="G493">
        <v>71.3</v>
      </c>
      <c r="H493">
        <v>546.6</v>
      </c>
      <c r="I493">
        <v>22632</v>
      </c>
      <c r="J493" t="s">
        <v>958</v>
      </c>
      <c r="K493">
        <v>307</v>
      </c>
      <c r="L493" t="str">
        <f>Hyperlink("http://www.seavest.co.za/inv/fpdf16/inv-preview.php?Id=42123","Click for Invoice PDF")</f>
        <v>Click for Invoice PDF</v>
      </c>
      <c r="M493"/>
    </row>
    <row r="494" spans="1:215">
      <c r="A494" t="s">
        <v>959</v>
      </c>
      <c r="B494"/>
      <c r="C494" t="s">
        <v>14</v>
      </c>
      <c r="D494" t="s">
        <v>307</v>
      </c>
      <c r="E494" t="s">
        <v>485</v>
      </c>
      <c r="F494">
        <v>135524.97</v>
      </c>
      <c r="G494">
        <v>20328.75</v>
      </c>
      <c r="H494">
        <v>155853.72</v>
      </c>
      <c r="I494">
        <v>20510</v>
      </c>
      <c r="J494" t="s">
        <v>960</v>
      </c>
      <c r="K494">
        <v>524</v>
      </c>
      <c r="L494" t="str">
        <f>Hyperlink("http://www.seavest.co.za/inv/fpdf16/inv-preview.php?Id=40122","Click for Invoice PDF")</f>
        <v>Click for Invoice PDF</v>
      </c>
      <c r="M494"/>
    </row>
    <row r="495" spans="1:215">
      <c r="A495" t="s">
        <v>961</v>
      </c>
      <c r="B495"/>
      <c r="C495" t="s">
        <v>14</v>
      </c>
      <c r="D495" t="s">
        <v>21</v>
      </c>
      <c r="E495" t="s">
        <v>176</v>
      </c>
      <c r="F495">
        <v>0</v>
      </c>
      <c r="G495">
        <v>0</v>
      </c>
      <c r="H495">
        <v>0</v>
      </c>
      <c r="I495">
        <v>23858</v>
      </c>
      <c r="J495" t="s">
        <v>962</v>
      </c>
      <c r="K495">
        <v>238</v>
      </c>
      <c r="L495" t="str">
        <f>Hyperlink("http://www.seavest.co.za/inv/fpdf16/inv-preview.php?Id=42795","Click for Invoice PDF")</f>
        <v>Click for Invoice PDF</v>
      </c>
      <c r="M495"/>
    </row>
    <row r="496" spans="1:215">
      <c r="A496" t="s">
        <v>963</v>
      </c>
      <c r="B496"/>
      <c r="C496" t="s">
        <v>67</v>
      </c>
      <c r="D496" t="s">
        <v>663</v>
      </c>
      <c r="E496" t="s">
        <v>73</v>
      </c>
      <c r="F496">
        <v>4489.6</v>
      </c>
      <c r="G496">
        <v>673.4400000000001</v>
      </c>
      <c r="H496">
        <v>5163.04</v>
      </c>
      <c r="I496">
        <v>24136</v>
      </c>
      <c r="J496" t="s">
        <v>962</v>
      </c>
      <c r="K496">
        <v>236</v>
      </c>
      <c r="L496" t="str">
        <f>Hyperlink("http://www.seavest.co.za/inv/fpdf16/inv-preview.php?Id=43644","Click for Invoice PDF")</f>
        <v>Click for Invoice PDF</v>
      </c>
      <c r="M496"/>
    </row>
    <row r="497" spans="1:215">
      <c r="A497" t="s">
        <v>964</v>
      </c>
      <c r="B497"/>
      <c r="C497" t="s">
        <v>67</v>
      </c>
      <c r="D497" t="s">
        <v>70</v>
      </c>
      <c r="E497" t="s">
        <v>183</v>
      </c>
      <c r="F497">
        <v>6081.08</v>
      </c>
      <c r="G497">
        <v>912.16</v>
      </c>
      <c r="H497">
        <v>6993.24</v>
      </c>
      <c r="I497">
        <v>25330</v>
      </c>
      <c r="J497" t="s">
        <v>965</v>
      </c>
      <c r="K497">
        <v>83</v>
      </c>
      <c r="L497" t="str">
        <f>Hyperlink("http://www.seavest.co.za/inv/fpdf16/inv-preview.php?Id=44631","Click for Invoice PDF")</f>
        <v>Click for Invoice PDF</v>
      </c>
      <c r="M497"/>
    </row>
    <row r="498" spans="1:215">
      <c r="A498" t="s">
        <v>966</v>
      </c>
      <c r="B498"/>
      <c r="C498" t="s">
        <v>67</v>
      </c>
      <c r="D498" t="s">
        <v>967</v>
      </c>
      <c r="E498" t="s">
        <v>218</v>
      </c>
      <c r="F498">
        <v>1446</v>
      </c>
      <c r="G498">
        <v>216.9</v>
      </c>
      <c r="H498">
        <v>1662.9</v>
      </c>
      <c r="I498">
        <v>25339</v>
      </c>
      <c r="J498" t="s">
        <v>965</v>
      </c>
      <c r="K498">
        <v>83</v>
      </c>
      <c r="L498" t="str">
        <f>Hyperlink("http://www.seavest.co.za/inv/fpdf16/inv-preview.php?Id=44649","Click for Invoice PDF")</f>
        <v>Click for Invoice PDF</v>
      </c>
      <c r="M498"/>
    </row>
    <row r="499" spans="1:215">
      <c r="A499" t="s">
        <v>968</v>
      </c>
      <c r="B499"/>
      <c r="C499" t="s">
        <v>14</v>
      </c>
      <c r="D499" t="s">
        <v>15</v>
      </c>
      <c r="E499" t="s">
        <v>176</v>
      </c>
      <c r="F499">
        <v>3379.1</v>
      </c>
      <c r="G499">
        <v>473.07</v>
      </c>
      <c r="H499">
        <v>3852.17</v>
      </c>
      <c r="I499">
        <v>22014</v>
      </c>
      <c r="J499" t="s">
        <v>969</v>
      </c>
      <c r="K499">
        <v>21</v>
      </c>
      <c r="L499" t="str">
        <f>Hyperlink("http://www.seavest.co.za/inv/fpdf16/inv-preview.php?Id=41586","Click for Invoice PDF")</f>
        <v>Click for Invoice PDF</v>
      </c>
      <c r="M499"/>
    </row>
    <row r="500" spans="1:215">
      <c r="A500" t="s">
        <v>970</v>
      </c>
      <c r="B500"/>
      <c r="C500" t="s">
        <v>14</v>
      </c>
      <c r="D500" t="s">
        <v>741</v>
      </c>
      <c r="E500" t="s">
        <v>176</v>
      </c>
      <c r="F500">
        <v>9473.200000000001</v>
      </c>
      <c r="G500">
        <v>1420.98</v>
      </c>
      <c r="H500">
        <v>10894.18</v>
      </c>
      <c r="I500">
        <v>21963</v>
      </c>
      <c r="J500" t="s">
        <v>969</v>
      </c>
      <c r="K500">
        <v>477</v>
      </c>
      <c r="L500" t="str">
        <f>Hyperlink("http://www.seavest.co.za/inv/fpdf16/inv-preview.php?Id=41509","Click for Invoice PDF")</f>
        <v>Click for Invoice PDF</v>
      </c>
      <c r="M500"/>
    </row>
    <row r="501" spans="1:215">
      <c r="A501" t="s">
        <v>971</v>
      </c>
      <c r="B501"/>
      <c r="C501" t="s">
        <v>67</v>
      </c>
      <c r="D501" t="s">
        <v>546</v>
      </c>
      <c r="E501" t="s">
        <v>209</v>
      </c>
      <c r="F501">
        <v>36437.17</v>
      </c>
      <c r="G501">
        <v>5465.58</v>
      </c>
      <c r="H501">
        <v>41902.75</v>
      </c>
      <c r="I501">
        <v>21421</v>
      </c>
      <c r="J501" t="s">
        <v>969</v>
      </c>
      <c r="K501">
        <v>481</v>
      </c>
      <c r="L501" t="str">
        <f>Hyperlink("http://www.seavest.co.za/inv/fpdf16/inv-preview.php?Id=41047","Click for Invoice PDF")</f>
        <v>Click for Invoice PDF</v>
      </c>
      <c r="M501"/>
    </row>
    <row r="502" spans="1:215">
      <c r="A502" t="s">
        <v>972</v>
      </c>
      <c r="B502"/>
      <c r="C502" t="s">
        <v>67</v>
      </c>
      <c r="D502" t="s">
        <v>407</v>
      </c>
      <c r="E502" t="s">
        <v>218</v>
      </c>
      <c r="F502">
        <v>1300</v>
      </c>
      <c r="G502">
        <v>195</v>
      </c>
      <c r="H502">
        <v>1495</v>
      </c>
      <c r="I502">
        <v>22033</v>
      </c>
      <c r="J502" t="s">
        <v>969</v>
      </c>
      <c r="K502">
        <v>237</v>
      </c>
      <c r="L502" t="str">
        <f>Hyperlink("http://www.seavest.co.za/inv/fpdf16/inv-preview.php?Id=41609","Click for Invoice PDF")</f>
        <v>Click for Invoice PDF</v>
      </c>
      <c r="M502"/>
    </row>
    <row r="503" spans="1:215">
      <c r="A503" t="s">
        <v>973</v>
      </c>
      <c r="B503"/>
      <c r="C503" t="s">
        <v>67</v>
      </c>
      <c r="D503" t="s">
        <v>974</v>
      </c>
      <c r="E503" t="s">
        <v>73</v>
      </c>
      <c r="F503">
        <v>1795.46</v>
      </c>
      <c r="G503">
        <v>269.32</v>
      </c>
      <c r="H503">
        <v>2064.78</v>
      </c>
      <c r="I503">
        <v>25087</v>
      </c>
      <c r="J503" t="s">
        <v>975</v>
      </c>
      <c r="K503">
        <v>118</v>
      </c>
      <c r="L503" t="str">
        <f>Hyperlink("http://www.seavest.co.za/inv/fpdf16/inv-preview.php?Id=44377","Click for Invoice PDF")</f>
        <v>Click for Invoice PDF</v>
      </c>
      <c r="M503"/>
    </row>
    <row r="504" spans="1:215">
      <c r="A504" t="s">
        <v>976</v>
      </c>
      <c r="B504"/>
      <c r="C504" t="s">
        <v>67</v>
      </c>
      <c r="D504" t="s">
        <v>977</v>
      </c>
      <c r="E504" t="s">
        <v>238</v>
      </c>
      <c r="F504">
        <v>24093.5</v>
      </c>
      <c r="G504">
        <v>3614.03</v>
      </c>
      <c r="H504">
        <v>27707.53</v>
      </c>
      <c r="I504">
        <v>19274</v>
      </c>
      <c r="J504" t="s">
        <v>978</v>
      </c>
      <c r="K504">
        <v>37</v>
      </c>
      <c r="L504" t="str">
        <f>Hyperlink("http://www.seavest.co.za/inv/fpdf16/inv-preview.php?Id=38991","Click for Invoice PDF")</f>
        <v>Click for Invoice PDF</v>
      </c>
      <c r="M504"/>
    </row>
    <row r="505" spans="1:215">
      <c r="A505" t="s">
        <v>979</v>
      </c>
      <c r="B505"/>
      <c r="C505" t="s">
        <v>14</v>
      </c>
      <c r="D505" t="s">
        <v>980</v>
      </c>
      <c r="E505" t="s">
        <v>176</v>
      </c>
      <c r="F505">
        <v>9342.15</v>
      </c>
      <c r="G505">
        <v>1401.32</v>
      </c>
      <c r="H505">
        <v>10743.47</v>
      </c>
      <c r="I505">
        <v>22952</v>
      </c>
      <c r="J505" t="s">
        <v>981</v>
      </c>
      <c r="K505">
        <v>210</v>
      </c>
      <c r="L505" t="str">
        <f>Hyperlink("http://www.seavest.co.za/inv/fpdf16/inv-preview.php?Id=42469","Click for Invoice PDF")</f>
        <v>Click for Invoice PDF</v>
      </c>
      <c r="M505"/>
    </row>
    <row r="506" spans="1:215">
      <c r="A506" t="s">
        <v>982</v>
      </c>
      <c r="B506"/>
      <c r="C506" t="s">
        <v>67</v>
      </c>
      <c r="D506" t="s">
        <v>165</v>
      </c>
      <c r="E506" t="s">
        <v>196</v>
      </c>
      <c r="F506">
        <v>199899.89</v>
      </c>
      <c r="G506">
        <v>29984.98</v>
      </c>
      <c r="H506">
        <v>229884.87</v>
      </c>
      <c r="I506">
        <v>23894</v>
      </c>
      <c r="J506" t="s">
        <v>981</v>
      </c>
      <c r="K506">
        <v>210</v>
      </c>
      <c r="L506" t="str">
        <f>Hyperlink("http://www.seavest.co.za/inv/fpdf16/inv-preview.php?Id=43342","Click for Invoice PDF")</f>
        <v>Click for Invoice PDF</v>
      </c>
      <c r="M506"/>
    </row>
    <row r="507" spans="1:215">
      <c r="A507" t="s">
        <v>983</v>
      </c>
      <c r="B507"/>
      <c r="C507" t="s">
        <v>67</v>
      </c>
      <c r="D507" t="s">
        <v>91</v>
      </c>
      <c r="E507" t="s">
        <v>73</v>
      </c>
      <c r="F507">
        <v>712.6</v>
      </c>
      <c r="G507">
        <v>106.89</v>
      </c>
      <c r="H507">
        <v>819.49</v>
      </c>
      <c r="I507">
        <v>24432</v>
      </c>
      <c r="J507" t="s">
        <v>981</v>
      </c>
      <c r="K507">
        <v>208</v>
      </c>
      <c r="L507" t="str">
        <f>Hyperlink("http://www.seavest.co.za/inv/fpdf16/inv-preview.php?Id=43912","Click for Invoice PDF")</f>
        <v>Click for Invoice PDF</v>
      </c>
      <c r="M507"/>
    </row>
    <row r="508" spans="1:215">
      <c r="A508" t="s">
        <v>984</v>
      </c>
      <c r="B508"/>
      <c r="C508" t="s">
        <v>67</v>
      </c>
      <c r="D508" t="s">
        <v>519</v>
      </c>
      <c r="E508" t="s">
        <v>183</v>
      </c>
      <c r="F508">
        <v>0</v>
      </c>
      <c r="G508">
        <v>0</v>
      </c>
      <c r="H508">
        <v>0</v>
      </c>
      <c r="I508">
        <v>22726</v>
      </c>
      <c r="J508" t="s">
        <v>981</v>
      </c>
      <c r="K508">
        <v>210</v>
      </c>
      <c r="L508" t="str">
        <f>Hyperlink("http://www.seavest.co.za/inv/fpdf16/inv-preview.php?Id=42275","Click for Invoice PDF")</f>
        <v>Click for Invoice PDF</v>
      </c>
      <c r="M508"/>
    </row>
    <row r="509" spans="1:215">
      <c r="A509" t="s">
        <v>985</v>
      </c>
      <c r="B509"/>
      <c r="C509" t="s">
        <v>67</v>
      </c>
      <c r="D509" t="s">
        <v>840</v>
      </c>
      <c r="E509" t="s">
        <v>183</v>
      </c>
      <c r="F509">
        <v>0</v>
      </c>
      <c r="G509">
        <v>0</v>
      </c>
      <c r="H509">
        <v>0</v>
      </c>
      <c r="I509">
        <v>22765</v>
      </c>
      <c r="J509" t="s">
        <v>981</v>
      </c>
      <c r="K509">
        <v>210</v>
      </c>
      <c r="L509" t="str">
        <f>Hyperlink("http://www.seavest.co.za/inv/fpdf16/inv-preview.php?Id=42311","Click for Invoice PDF")</f>
        <v>Click for Invoice PDF</v>
      </c>
      <c r="M509"/>
    </row>
    <row r="510" spans="1:215">
      <c r="A510" t="s">
        <v>986</v>
      </c>
      <c r="B510"/>
      <c r="C510" t="s">
        <v>67</v>
      </c>
      <c r="D510" t="s">
        <v>987</v>
      </c>
      <c r="E510" t="s">
        <v>183</v>
      </c>
      <c r="F510">
        <v>3736.5</v>
      </c>
      <c r="G510">
        <v>560.48</v>
      </c>
      <c r="H510">
        <v>4296.98</v>
      </c>
      <c r="I510">
        <v>23295</v>
      </c>
      <c r="J510" t="s">
        <v>981</v>
      </c>
      <c r="K510">
        <v>210</v>
      </c>
      <c r="L510" t="str">
        <f>Hyperlink("http://www.seavest.co.za/inv/fpdf16/inv-preview.php?Id=42341","Click for Invoice PDF")</f>
        <v>Click for Invoice PDF</v>
      </c>
      <c r="M510"/>
    </row>
    <row r="511" spans="1:215">
      <c r="A511" t="s">
        <v>988</v>
      </c>
      <c r="B511"/>
      <c r="C511" t="s">
        <v>67</v>
      </c>
      <c r="D511" t="s">
        <v>99</v>
      </c>
      <c r="E511" t="s">
        <v>259</v>
      </c>
      <c r="F511">
        <v>0</v>
      </c>
      <c r="G511">
        <v>0</v>
      </c>
      <c r="H511">
        <v>0</v>
      </c>
      <c r="I511">
        <v>24017</v>
      </c>
      <c r="J511" t="s">
        <v>981</v>
      </c>
      <c r="K511">
        <v>210</v>
      </c>
      <c r="L511" t="str">
        <f>Hyperlink("http://www.seavest.co.za/inv/fpdf16/inv-preview.php?Id=42506","Click for Invoice PDF")</f>
        <v>Click for Invoice PDF</v>
      </c>
      <c r="M511"/>
    </row>
    <row r="512" spans="1:215">
      <c r="A512" t="s">
        <v>989</v>
      </c>
      <c r="B512"/>
      <c r="C512" t="s">
        <v>67</v>
      </c>
      <c r="D512" t="s">
        <v>202</v>
      </c>
      <c r="E512" t="s">
        <v>259</v>
      </c>
      <c r="F512">
        <v>0</v>
      </c>
      <c r="G512">
        <v>0</v>
      </c>
      <c r="H512">
        <v>0</v>
      </c>
      <c r="I512">
        <v>24086</v>
      </c>
      <c r="J512" t="s">
        <v>981</v>
      </c>
      <c r="K512">
        <v>210</v>
      </c>
      <c r="L512" t="str">
        <f>Hyperlink("http://www.seavest.co.za/inv/fpdf16/inv-preview.php?Id=43143","Click for Invoice PDF")</f>
        <v>Click for Invoice PDF</v>
      </c>
      <c r="M512"/>
    </row>
    <row r="513" spans="1:215">
      <c r="A513" t="s">
        <v>990</v>
      </c>
      <c r="B513"/>
      <c r="C513" t="s">
        <v>67</v>
      </c>
      <c r="D513" t="s">
        <v>539</v>
      </c>
      <c r="E513" t="s">
        <v>73</v>
      </c>
      <c r="F513">
        <v>0</v>
      </c>
      <c r="G513">
        <v>0</v>
      </c>
      <c r="H513">
        <v>0</v>
      </c>
      <c r="I513">
        <v>23935</v>
      </c>
      <c r="J513" t="s">
        <v>981</v>
      </c>
      <c r="K513">
        <v>210</v>
      </c>
      <c r="L513" t="str">
        <f>Hyperlink("http://www.seavest.co.za/inv/fpdf16/inv-preview.php?Id=43144","Click for Invoice PDF")</f>
        <v>Click for Invoice PDF</v>
      </c>
      <c r="M513"/>
    </row>
    <row r="514" spans="1:215">
      <c r="A514" t="s">
        <v>991</v>
      </c>
      <c r="B514"/>
      <c r="C514" t="s">
        <v>67</v>
      </c>
      <c r="D514" t="s">
        <v>842</v>
      </c>
      <c r="E514" t="s">
        <v>259</v>
      </c>
      <c r="F514">
        <v>0</v>
      </c>
      <c r="G514">
        <v>0</v>
      </c>
      <c r="H514">
        <v>0</v>
      </c>
      <c r="I514">
        <v>23566</v>
      </c>
      <c r="J514" t="s">
        <v>981</v>
      </c>
      <c r="K514">
        <v>210</v>
      </c>
      <c r="L514" t="str">
        <f>Hyperlink("http://www.seavest.co.za/inv/fpdf16/inv-preview.php?Id=43125","Click for Invoice PDF")</f>
        <v>Click for Invoice PDF</v>
      </c>
      <c r="M514"/>
    </row>
    <row r="515" spans="1:215">
      <c r="A515" t="s">
        <v>992</v>
      </c>
      <c r="B515"/>
      <c r="C515" t="s">
        <v>67</v>
      </c>
      <c r="D515" t="s">
        <v>993</v>
      </c>
      <c r="E515" t="s">
        <v>209</v>
      </c>
      <c r="F515">
        <v>0</v>
      </c>
      <c r="G515">
        <v>0</v>
      </c>
      <c r="H515">
        <v>0</v>
      </c>
      <c r="I515">
        <v>23891</v>
      </c>
      <c r="J515" t="s">
        <v>981</v>
      </c>
      <c r="K515">
        <v>210</v>
      </c>
      <c r="L515" t="str">
        <f>Hyperlink("http://www.seavest.co.za/inv/fpdf16/inv-preview.php?Id=43369","Click for Invoice PDF")</f>
        <v>Click for Invoice PDF</v>
      </c>
      <c r="M515"/>
    </row>
    <row r="516" spans="1:215">
      <c r="A516" t="s">
        <v>994</v>
      </c>
      <c r="B516"/>
      <c r="C516" t="s">
        <v>67</v>
      </c>
      <c r="D516" t="s">
        <v>162</v>
      </c>
      <c r="E516" t="s">
        <v>259</v>
      </c>
      <c r="F516">
        <v>0</v>
      </c>
      <c r="G516">
        <v>0</v>
      </c>
      <c r="H516">
        <v>0</v>
      </c>
      <c r="I516">
        <v>23974</v>
      </c>
      <c r="J516" t="s">
        <v>981</v>
      </c>
      <c r="K516">
        <v>210</v>
      </c>
      <c r="L516" t="str">
        <f>Hyperlink("http://www.seavest.co.za/inv/fpdf16/inv-preview.php?Id=43173","Click for Invoice PDF")</f>
        <v>Click for Invoice PDF</v>
      </c>
      <c r="M516"/>
    </row>
    <row r="517" spans="1:215">
      <c r="A517" t="s">
        <v>992</v>
      </c>
      <c r="B517"/>
      <c r="C517" t="s">
        <v>67</v>
      </c>
      <c r="D517" t="s">
        <v>995</v>
      </c>
      <c r="E517" t="s">
        <v>238</v>
      </c>
      <c r="F517">
        <v>9999999.99</v>
      </c>
      <c r="G517">
        <v>0</v>
      </c>
      <c r="H517">
        <v>0</v>
      </c>
      <c r="I517">
        <v>24009</v>
      </c>
      <c r="J517" t="s">
        <v>981</v>
      </c>
      <c r="K517">
        <v>210</v>
      </c>
      <c r="L517" t="str">
        <f>Hyperlink("http://www.seavest.co.za/inv/fpdf16/inv-preview.php?Id=43187","Click for Invoice PDF")</f>
        <v>Click for Invoice PDF</v>
      </c>
      <c r="M517"/>
    </row>
    <row r="518" spans="1:215">
      <c r="A518" t="s">
        <v>996</v>
      </c>
      <c r="B518"/>
      <c r="C518" t="s">
        <v>67</v>
      </c>
      <c r="D518" t="s">
        <v>112</v>
      </c>
      <c r="E518" t="s">
        <v>82</v>
      </c>
      <c r="F518">
        <v>0</v>
      </c>
      <c r="G518">
        <v>0</v>
      </c>
      <c r="H518">
        <v>0</v>
      </c>
      <c r="I518">
        <v>23848</v>
      </c>
      <c r="J518" t="s">
        <v>981</v>
      </c>
      <c r="K518">
        <v>210</v>
      </c>
      <c r="L518" t="str">
        <f>Hyperlink("http://www.seavest.co.za/inv/fpdf16/inv-preview.php?Id=43372","Click for Invoice PDF")</f>
        <v>Click for Invoice PDF</v>
      </c>
      <c r="M518"/>
    </row>
    <row r="519" spans="1:215">
      <c r="A519" t="s">
        <v>997</v>
      </c>
      <c r="B519"/>
      <c r="C519" t="s">
        <v>67</v>
      </c>
      <c r="D519" t="s">
        <v>68</v>
      </c>
      <c r="E519" t="s">
        <v>209</v>
      </c>
      <c r="F519">
        <v>0</v>
      </c>
      <c r="G519">
        <v>0</v>
      </c>
      <c r="H519">
        <v>0</v>
      </c>
      <c r="I519">
        <v>23793</v>
      </c>
      <c r="J519" t="s">
        <v>981</v>
      </c>
      <c r="K519">
        <v>210</v>
      </c>
      <c r="L519" t="str">
        <f>Hyperlink("http://www.seavest.co.za/inv/fpdf16/inv-preview.php?Id=43400","Click for Invoice PDF")</f>
        <v>Click for Invoice PDF</v>
      </c>
      <c r="M519"/>
    </row>
    <row r="520" spans="1:215">
      <c r="A520" t="s">
        <v>998</v>
      </c>
      <c r="B520"/>
      <c r="C520" t="s">
        <v>67</v>
      </c>
      <c r="D520" t="s">
        <v>883</v>
      </c>
      <c r="E520" t="s">
        <v>82</v>
      </c>
      <c r="F520">
        <v>0</v>
      </c>
      <c r="G520">
        <v>0</v>
      </c>
      <c r="H520">
        <v>0</v>
      </c>
      <c r="I520">
        <v>23831</v>
      </c>
      <c r="J520" t="s">
        <v>981</v>
      </c>
      <c r="K520">
        <v>210</v>
      </c>
      <c r="L520" t="str">
        <f>Hyperlink("http://www.seavest.co.za/inv/fpdf16/inv-preview.php?Id=43429","Click for Invoice PDF")</f>
        <v>Click for Invoice PDF</v>
      </c>
      <c r="M520"/>
    </row>
    <row r="521" spans="1:215">
      <c r="A521" t="s">
        <v>999</v>
      </c>
      <c r="B521"/>
      <c r="C521" t="s">
        <v>67</v>
      </c>
      <c r="D521" t="s">
        <v>292</v>
      </c>
      <c r="E521" t="s">
        <v>82</v>
      </c>
      <c r="F521">
        <v>0</v>
      </c>
      <c r="G521">
        <v>0</v>
      </c>
      <c r="H521">
        <v>0</v>
      </c>
      <c r="I521">
        <v>23870</v>
      </c>
      <c r="J521" t="s">
        <v>981</v>
      </c>
      <c r="K521">
        <v>210</v>
      </c>
      <c r="L521" t="str">
        <f>Hyperlink("http://www.seavest.co.za/inv/fpdf16/inv-preview.php?Id=43457","Click for Invoice PDF")</f>
        <v>Click for Invoice PDF</v>
      </c>
      <c r="M521"/>
    </row>
    <row r="522" spans="1:215">
      <c r="A522" t="s">
        <v>1000</v>
      </c>
      <c r="B522"/>
      <c r="C522" t="s">
        <v>67</v>
      </c>
      <c r="D522" t="s">
        <v>993</v>
      </c>
      <c r="E522" t="s">
        <v>209</v>
      </c>
      <c r="F522">
        <v>0</v>
      </c>
      <c r="G522">
        <v>0</v>
      </c>
      <c r="H522">
        <v>0</v>
      </c>
      <c r="I522">
        <v>23890</v>
      </c>
      <c r="J522" t="s">
        <v>981</v>
      </c>
      <c r="K522">
        <v>210</v>
      </c>
      <c r="L522" t="str">
        <f>Hyperlink("http://www.seavest.co.za/inv/fpdf16/inv-preview.php?Id=43466","Click for Invoice PDF")</f>
        <v>Click for Invoice PDF</v>
      </c>
      <c r="M522"/>
    </row>
    <row r="523" spans="1:215">
      <c r="A523" t="s">
        <v>1001</v>
      </c>
      <c r="B523"/>
      <c r="C523" t="s">
        <v>67</v>
      </c>
      <c r="D523" t="s">
        <v>130</v>
      </c>
      <c r="E523" t="s">
        <v>73</v>
      </c>
      <c r="F523">
        <v>0</v>
      </c>
      <c r="G523">
        <v>0</v>
      </c>
      <c r="H523">
        <v>0</v>
      </c>
      <c r="I523">
        <v>23927</v>
      </c>
      <c r="J523" t="s">
        <v>981</v>
      </c>
      <c r="K523">
        <v>210</v>
      </c>
      <c r="L523" t="str">
        <f>Hyperlink("http://www.seavest.co.za/inv/fpdf16/inv-preview.php?Id=43480","Click for Invoice PDF")</f>
        <v>Click for Invoice PDF</v>
      </c>
      <c r="M523"/>
    </row>
    <row r="524" spans="1:215">
      <c r="A524" t="s">
        <v>1002</v>
      </c>
      <c r="B524"/>
      <c r="C524" t="s">
        <v>67</v>
      </c>
      <c r="D524" t="s">
        <v>289</v>
      </c>
      <c r="E524" t="s">
        <v>82</v>
      </c>
      <c r="F524">
        <v>0</v>
      </c>
      <c r="G524">
        <v>0</v>
      </c>
      <c r="H524">
        <v>0</v>
      </c>
      <c r="I524">
        <v>24043</v>
      </c>
      <c r="J524" t="s">
        <v>981</v>
      </c>
      <c r="K524">
        <v>210</v>
      </c>
      <c r="L524" t="str">
        <f>Hyperlink("http://www.seavest.co.za/inv/fpdf16/inv-preview.php?Id=43574","Click for Invoice PDF")</f>
        <v>Click for Invoice PDF</v>
      </c>
      <c r="M524"/>
    </row>
    <row r="525" spans="1:215">
      <c r="A525" t="s">
        <v>1003</v>
      </c>
      <c r="B525"/>
      <c r="C525" t="s">
        <v>67</v>
      </c>
      <c r="D525" t="s">
        <v>825</v>
      </c>
      <c r="E525" t="s">
        <v>82</v>
      </c>
      <c r="F525">
        <v>0</v>
      </c>
      <c r="G525">
        <v>0</v>
      </c>
      <c r="H525">
        <v>0</v>
      </c>
      <c r="I525">
        <v>24394</v>
      </c>
      <c r="J525" t="s">
        <v>981</v>
      </c>
      <c r="K525">
        <v>210</v>
      </c>
      <c r="L525" t="str">
        <f>Hyperlink("http://www.seavest.co.za/inv/fpdf16/inv-preview.php?Id=43593","Click for Invoice PDF")</f>
        <v>Click for Invoice PDF</v>
      </c>
      <c r="M525"/>
    </row>
    <row r="526" spans="1:215">
      <c r="A526" t="s">
        <v>1004</v>
      </c>
      <c r="B526"/>
      <c r="C526" t="s">
        <v>67</v>
      </c>
      <c r="D526" t="s">
        <v>95</v>
      </c>
      <c r="E526" t="s">
        <v>259</v>
      </c>
      <c r="F526">
        <v>0</v>
      </c>
      <c r="G526">
        <v>0</v>
      </c>
      <c r="H526">
        <v>0</v>
      </c>
      <c r="I526">
        <v>24194</v>
      </c>
      <c r="J526" t="s">
        <v>981</v>
      </c>
      <c r="K526">
        <v>210</v>
      </c>
      <c r="L526" t="str">
        <f>Hyperlink("http://www.seavest.co.za/inv/fpdf16/inv-preview.php?Id=43692","Click for Invoice PDF")</f>
        <v>Click for Invoice PDF</v>
      </c>
      <c r="M526"/>
    </row>
    <row r="527" spans="1:215">
      <c r="A527" t="s">
        <v>1005</v>
      </c>
      <c r="B527"/>
      <c r="C527" t="s">
        <v>67</v>
      </c>
      <c r="D527" t="s">
        <v>804</v>
      </c>
      <c r="E527" t="s">
        <v>73</v>
      </c>
      <c r="F527">
        <v>0</v>
      </c>
      <c r="G527">
        <v>0</v>
      </c>
      <c r="H527">
        <v>0</v>
      </c>
      <c r="I527">
        <v>24327</v>
      </c>
      <c r="J527" t="s">
        <v>981</v>
      </c>
      <c r="K527">
        <v>208</v>
      </c>
      <c r="L527" t="str">
        <f>Hyperlink("http://www.seavest.co.za/inv/fpdf16/inv-preview.php?Id=43732","Click for Invoice PDF")</f>
        <v>Click for Invoice PDF</v>
      </c>
      <c r="M527"/>
    </row>
    <row r="528" spans="1:215">
      <c r="A528" t="s">
        <v>1006</v>
      </c>
      <c r="B528"/>
      <c r="C528" t="s">
        <v>67</v>
      </c>
      <c r="D528" t="s">
        <v>140</v>
      </c>
      <c r="E528" t="s">
        <v>82</v>
      </c>
      <c r="F528">
        <v>0</v>
      </c>
      <c r="G528">
        <v>0</v>
      </c>
      <c r="H528">
        <v>0</v>
      </c>
      <c r="I528">
        <v>24258</v>
      </c>
      <c r="J528" t="s">
        <v>981</v>
      </c>
      <c r="K528">
        <v>210</v>
      </c>
      <c r="L528" t="str">
        <f>Hyperlink("http://www.seavest.co.za/inv/fpdf16/inv-preview.php?Id=43745","Click for Invoice PDF")</f>
        <v>Click for Invoice PDF</v>
      </c>
      <c r="M528"/>
    </row>
    <row r="529" spans="1:215">
      <c r="A529" t="s">
        <v>1007</v>
      </c>
      <c r="B529"/>
      <c r="C529" t="s">
        <v>67</v>
      </c>
      <c r="D529" t="s">
        <v>217</v>
      </c>
      <c r="E529" t="s">
        <v>176</v>
      </c>
      <c r="F529">
        <v>0</v>
      </c>
      <c r="G529">
        <v>0</v>
      </c>
      <c r="H529">
        <v>0</v>
      </c>
      <c r="I529">
        <v>24302</v>
      </c>
      <c r="J529" t="s">
        <v>981</v>
      </c>
      <c r="K529">
        <v>210</v>
      </c>
      <c r="L529" t="str">
        <f>Hyperlink("http://www.seavest.co.za/inv/fpdf16/inv-preview.php?Id=43768","Click for Invoice PDF")</f>
        <v>Click for Invoice PDF</v>
      </c>
      <c r="M529"/>
    </row>
    <row r="530" spans="1:215">
      <c r="A530" t="s">
        <v>1008</v>
      </c>
      <c r="B530"/>
      <c r="C530" t="s">
        <v>67</v>
      </c>
      <c r="D530" t="s">
        <v>217</v>
      </c>
      <c r="E530" t="s">
        <v>176</v>
      </c>
      <c r="F530">
        <v>0</v>
      </c>
      <c r="G530">
        <v>0</v>
      </c>
      <c r="H530">
        <v>0</v>
      </c>
      <c r="I530">
        <v>24310</v>
      </c>
      <c r="J530" t="s">
        <v>981</v>
      </c>
      <c r="K530">
        <v>210</v>
      </c>
      <c r="L530" t="str">
        <f>Hyperlink("http://www.seavest.co.za/inv/fpdf16/inv-preview.php?Id=43769","Click for Invoice PDF")</f>
        <v>Click for Invoice PDF</v>
      </c>
      <c r="M530"/>
    </row>
    <row r="531" spans="1:215">
      <c r="A531" t="s">
        <v>1009</v>
      </c>
      <c r="B531"/>
      <c r="C531" t="s">
        <v>67</v>
      </c>
      <c r="D531" t="s">
        <v>151</v>
      </c>
      <c r="E531" t="s">
        <v>82</v>
      </c>
      <c r="F531">
        <v>34303</v>
      </c>
      <c r="G531">
        <v>5145.45</v>
      </c>
      <c r="H531">
        <v>39448.45</v>
      </c>
      <c r="I531">
        <v>24457</v>
      </c>
      <c r="J531" t="s">
        <v>981</v>
      </c>
      <c r="K531">
        <v>203</v>
      </c>
      <c r="L531" t="str">
        <f>Hyperlink("http://www.seavest.co.za/inv/fpdf16/inv-preview.php?Id=43925","Click for Invoice PDF")</f>
        <v>Click for Invoice PDF</v>
      </c>
      <c r="M531"/>
    </row>
    <row r="532" spans="1:215">
      <c r="A532" t="s">
        <v>1010</v>
      </c>
      <c r="B532"/>
      <c r="C532" t="s">
        <v>67</v>
      </c>
      <c r="D532" t="s">
        <v>106</v>
      </c>
      <c r="E532" t="s">
        <v>183</v>
      </c>
      <c r="F532">
        <v>12975.5</v>
      </c>
      <c r="G532">
        <v>1946.33</v>
      </c>
      <c r="H532">
        <v>14921.83</v>
      </c>
      <c r="I532">
        <v>24927</v>
      </c>
      <c r="J532" t="s">
        <v>1011</v>
      </c>
      <c r="K532">
        <v>139</v>
      </c>
      <c r="L532" t="str">
        <f>Hyperlink("http://www.seavest.co.za/inv/fpdf16/inv-preview.php?Id=44255","Click for Invoice PDF")</f>
        <v>Click for Invoice PDF</v>
      </c>
      <c r="M532"/>
    </row>
    <row r="533" spans="1:215">
      <c r="A533" t="s">
        <v>1012</v>
      </c>
      <c r="B533"/>
      <c r="C533" t="s">
        <v>14</v>
      </c>
      <c r="D533" t="s">
        <v>435</v>
      </c>
      <c r="E533" t="s">
        <v>485</v>
      </c>
      <c r="F533">
        <v>63258.2</v>
      </c>
      <c r="G533">
        <v>9488.73</v>
      </c>
      <c r="H533">
        <v>72746.92999999999</v>
      </c>
      <c r="I533">
        <v>20320</v>
      </c>
      <c r="J533" t="s">
        <v>1013</v>
      </c>
      <c r="K533">
        <v>671</v>
      </c>
      <c r="L533" t="str">
        <f>Hyperlink("http://www.seavest.co.za/inv/fpdf16/inv-preview.php?Id=40053","Click for Invoice PDF")</f>
        <v>Click for Invoice PDF</v>
      </c>
      <c r="M533"/>
    </row>
    <row r="534" spans="1:215">
      <c r="A534" t="s">
        <v>1014</v>
      </c>
      <c r="B534"/>
      <c r="C534" t="s">
        <v>67</v>
      </c>
      <c r="D534" t="s">
        <v>114</v>
      </c>
      <c r="E534" t="s">
        <v>209</v>
      </c>
      <c r="F534">
        <v>0</v>
      </c>
      <c r="G534">
        <v>0</v>
      </c>
      <c r="H534">
        <v>0</v>
      </c>
      <c r="I534">
        <v>23453</v>
      </c>
      <c r="J534" t="s">
        <v>1015</v>
      </c>
      <c r="K534">
        <v>322</v>
      </c>
      <c r="L534" t="str">
        <f>Hyperlink("http://www.seavest.co.za/inv/fpdf16/inv-preview.php?Id=43008","Click for Invoice PDF")</f>
        <v>Click for Invoice PDF</v>
      </c>
      <c r="M534"/>
    </row>
    <row r="535" spans="1:215">
      <c r="A535" t="s">
        <v>1016</v>
      </c>
      <c r="B535" t="s">
        <v>1017</v>
      </c>
      <c r="C535" t="s">
        <v>67</v>
      </c>
      <c r="D535" t="s">
        <v>136</v>
      </c>
      <c r="E535" t="s">
        <v>183</v>
      </c>
      <c r="F535">
        <v>2850.72</v>
      </c>
      <c r="G535">
        <v>427.61</v>
      </c>
      <c r="H535">
        <v>3278.33</v>
      </c>
      <c r="I535">
        <v>23256</v>
      </c>
      <c r="J535" t="s">
        <v>1018</v>
      </c>
      <c r="K535">
        <v>79</v>
      </c>
      <c r="L535" t="str">
        <f>Hyperlink("http://www.seavest.co.za/inv/fpdf16/inv-preview.php?Id=42815","Click for Invoice PDF")</f>
        <v>Click for Invoice PDF</v>
      </c>
      <c r="M535"/>
    </row>
    <row r="536" spans="1:215">
      <c r="A536" t="s">
        <v>1019</v>
      </c>
      <c r="B536"/>
      <c r="C536" t="s">
        <v>67</v>
      </c>
      <c r="D536" t="s">
        <v>546</v>
      </c>
      <c r="E536" t="s">
        <v>209</v>
      </c>
      <c r="F536">
        <v>4853.72</v>
      </c>
      <c r="G536">
        <v>728.0599999999999</v>
      </c>
      <c r="H536">
        <v>5581.78</v>
      </c>
      <c r="I536">
        <v>22649</v>
      </c>
      <c r="J536" t="s">
        <v>1020</v>
      </c>
      <c r="K536">
        <v>204</v>
      </c>
      <c r="L536" t="str">
        <f>Hyperlink("http://www.seavest.co.za/inv/fpdf16/inv-preview.php?Id=42170","Click for Invoice PDF")</f>
        <v>Click for Invoice PDF</v>
      </c>
      <c r="M536"/>
    </row>
    <row r="537" spans="1:215">
      <c r="A537" t="s">
        <v>1021</v>
      </c>
      <c r="B537"/>
      <c r="C537" t="s">
        <v>67</v>
      </c>
      <c r="D537" t="s">
        <v>546</v>
      </c>
      <c r="E537" t="s">
        <v>209</v>
      </c>
      <c r="F537">
        <v>5664.95</v>
      </c>
      <c r="G537">
        <v>849.74</v>
      </c>
      <c r="H537">
        <v>6514.69</v>
      </c>
      <c r="I537">
        <v>22658</v>
      </c>
      <c r="J537" t="s">
        <v>1020</v>
      </c>
      <c r="K537">
        <v>204</v>
      </c>
      <c r="L537" t="str">
        <f>Hyperlink("http://www.seavest.co.za/inv/fpdf16/inv-preview.php?Id=42195","Click for Invoice PDF")</f>
        <v>Click for Invoice PDF</v>
      </c>
      <c r="M537"/>
    </row>
    <row r="538" spans="1:215">
      <c r="A538" t="s">
        <v>1022</v>
      </c>
      <c r="B538"/>
      <c r="C538" t="s">
        <v>67</v>
      </c>
      <c r="D538" t="s">
        <v>1023</v>
      </c>
      <c r="E538" t="s">
        <v>82</v>
      </c>
      <c r="F538">
        <v>7759.96</v>
      </c>
      <c r="G538">
        <v>1086.39</v>
      </c>
      <c r="H538">
        <v>8846.35</v>
      </c>
      <c r="I538">
        <v>25819</v>
      </c>
      <c r="J538" t="s">
        <v>1024</v>
      </c>
      <c r="K538">
        <v>3</v>
      </c>
      <c r="L538" t="str">
        <f>Hyperlink("http://www.seavest.co.za/inv/fpdf16/inv-preview.php?Id=44846","Click for Invoice PDF")</f>
        <v>Click for Invoice PDF</v>
      </c>
      <c r="M538"/>
    </row>
    <row r="539" spans="1:215">
      <c r="A539" t="s">
        <v>1025</v>
      </c>
      <c r="B539"/>
      <c r="C539" t="s">
        <v>67</v>
      </c>
      <c r="D539" t="s">
        <v>221</v>
      </c>
      <c r="E539" t="s">
        <v>73</v>
      </c>
      <c r="F539">
        <v>11493.62</v>
      </c>
      <c r="G539">
        <v>1609.11</v>
      </c>
      <c r="H539">
        <v>13102.73</v>
      </c>
      <c r="I539">
        <v>25572</v>
      </c>
      <c r="J539" t="s">
        <v>1024</v>
      </c>
      <c r="K539">
        <v>3</v>
      </c>
      <c r="L539" t="str">
        <f>Hyperlink("http://www.seavest.co.za/inv/fpdf16/inv-preview.php?Id=44880","Click for Invoice PDF")</f>
        <v>Click for Invoice PDF</v>
      </c>
      <c r="M539"/>
    </row>
    <row r="540" spans="1:215">
      <c r="A540" t="s">
        <v>1026</v>
      </c>
      <c r="B540"/>
      <c r="C540" t="s">
        <v>14</v>
      </c>
      <c r="D540" t="s">
        <v>24</v>
      </c>
      <c r="E540" t="s">
        <v>485</v>
      </c>
      <c r="F540">
        <v>33311.8</v>
      </c>
      <c r="G540">
        <v>4996.77</v>
      </c>
      <c r="H540">
        <v>38308.57</v>
      </c>
      <c r="I540">
        <v>20815</v>
      </c>
      <c r="J540" t="s">
        <v>1027</v>
      </c>
      <c r="K540">
        <v>586</v>
      </c>
      <c r="L540" t="str">
        <f>Hyperlink("http://www.seavest.co.za/inv/fpdf16/inv-preview.php?Id=40469","Click for Invoice PDF")</f>
        <v>Click for Invoice PDF</v>
      </c>
      <c r="M540"/>
    </row>
    <row r="541" spans="1:215">
      <c r="A541" t="s">
        <v>1028</v>
      </c>
      <c r="B541"/>
      <c r="C541" t="s">
        <v>14</v>
      </c>
      <c r="D541" t="s">
        <v>1029</v>
      </c>
      <c r="E541" t="s">
        <v>176</v>
      </c>
      <c r="F541">
        <v>11361.74</v>
      </c>
      <c r="G541">
        <v>1704.26</v>
      </c>
      <c r="H541">
        <v>13066</v>
      </c>
      <c r="I541">
        <v>24204</v>
      </c>
      <c r="J541" t="s">
        <v>1030</v>
      </c>
      <c r="K541">
        <v>236</v>
      </c>
      <c r="L541" t="str">
        <f>Hyperlink("http://www.seavest.co.za/inv/fpdf16/inv-preview.php?Id=43518","Click for Invoice PDF")</f>
        <v>Click for Invoice PDF</v>
      </c>
      <c r="M541"/>
    </row>
    <row r="542" spans="1:215">
      <c r="A542" t="s">
        <v>1031</v>
      </c>
      <c r="B542"/>
      <c r="C542" t="s">
        <v>14</v>
      </c>
      <c r="D542" t="s">
        <v>251</v>
      </c>
      <c r="E542" t="s">
        <v>176</v>
      </c>
      <c r="F542">
        <v>3597.15</v>
      </c>
      <c r="G542">
        <v>539.5700000000001</v>
      </c>
      <c r="H542">
        <v>4136.72</v>
      </c>
      <c r="I542">
        <v>24116</v>
      </c>
      <c r="J542" t="s">
        <v>1030</v>
      </c>
      <c r="K542">
        <v>237</v>
      </c>
      <c r="L542" t="str">
        <f>Hyperlink("http://www.seavest.co.za/inv/fpdf16/inv-preview.php?Id=43619","Click for Invoice PDF")</f>
        <v>Click for Invoice PDF</v>
      </c>
      <c r="M542"/>
    </row>
    <row r="543" spans="1:215">
      <c r="A543" t="s">
        <v>1032</v>
      </c>
      <c r="B543"/>
      <c r="C543" t="s">
        <v>67</v>
      </c>
      <c r="D543" t="s">
        <v>93</v>
      </c>
      <c r="E543" t="s">
        <v>196</v>
      </c>
      <c r="F543">
        <v>0</v>
      </c>
      <c r="G543">
        <v>0</v>
      </c>
      <c r="H543">
        <v>0</v>
      </c>
      <c r="I543">
        <v>22970</v>
      </c>
      <c r="J543" t="s">
        <v>1030</v>
      </c>
      <c r="K543">
        <v>237</v>
      </c>
      <c r="L543" t="str">
        <f>Hyperlink("http://www.seavest.co.za/inv/fpdf16/inv-preview.php?Id=42540","Click for Invoice PDF")</f>
        <v>Click for Invoice PDF</v>
      </c>
      <c r="M543"/>
    </row>
    <row r="544" spans="1:215">
      <c r="A544" t="s">
        <v>1033</v>
      </c>
      <c r="B544"/>
      <c r="C544" t="s">
        <v>67</v>
      </c>
      <c r="D544" t="s">
        <v>202</v>
      </c>
      <c r="E544" t="s">
        <v>183</v>
      </c>
      <c r="F544">
        <v>0</v>
      </c>
      <c r="G544">
        <v>0</v>
      </c>
      <c r="H544">
        <v>0</v>
      </c>
      <c r="I544">
        <v>23761</v>
      </c>
      <c r="J544" t="s">
        <v>1030</v>
      </c>
      <c r="K544">
        <v>237</v>
      </c>
      <c r="L544" t="str">
        <f>Hyperlink("http://www.seavest.co.za/inv/fpdf16/inv-preview.php?Id=43159","Click for Invoice PDF")</f>
        <v>Click for Invoice PDF</v>
      </c>
      <c r="M544"/>
    </row>
    <row r="545" spans="1:215">
      <c r="A545" t="s">
        <v>1034</v>
      </c>
      <c r="B545"/>
      <c r="C545" t="s">
        <v>67</v>
      </c>
      <c r="D545" t="s">
        <v>1035</v>
      </c>
      <c r="E545" t="s">
        <v>196</v>
      </c>
      <c r="F545">
        <v>0</v>
      </c>
      <c r="G545">
        <v>0</v>
      </c>
      <c r="H545">
        <v>0</v>
      </c>
      <c r="I545">
        <v>23759</v>
      </c>
      <c r="J545" t="s">
        <v>1030</v>
      </c>
      <c r="K545">
        <v>237</v>
      </c>
      <c r="L545" t="str">
        <f>Hyperlink("http://www.seavest.co.za/inv/fpdf16/inv-preview.php?Id=43359","Click for Invoice PDF")</f>
        <v>Click for Invoice PDF</v>
      </c>
      <c r="M545"/>
    </row>
    <row r="546" spans="1:215">
      <c r="A546" t="s">
        <v>1036</v>
      </c>
      <c r="B546"/>
      <c r="C546" t="s">
        <v>14</v>
      </c>
      <c r="D546" t="s">
        <v>234</v>
      </c>
      <c r="E546" t="s">
        <v>176</v>
      </c>
      <c r="F546">
        <v>0</v>
      </c>
      <c r="G546">
        <v>0</v>
      </c>
      <c r="H546">
        <v>0</v>
      </c>
      <c r="I546">
        <v>23965</v>
      </c>
      <c r="J546" t="s">
        <v>1037</v>
      </c>
      <c r="K546">
        <v>260</v>
      </c>
      <c r="L546" t="str">
        <f>Hyperlink("http://www.seavest.co.za/inv/fpdf16/inv-preview.php?Id=42589","Click for Invoice PDF")</f>
        <v>Click for Invoice PDF</v>
      </c>
      <c r="M546"/>
    </row>
    <row r="547" spans="1:215">
      <c r="A547" t="s">
        <v>1038</v>
      </c>
      <c r="B547"/>
      <c r="C547" t="s">
        <v>67</v>
      </c>
      <c r="D547" t="s">
        <v>451</v>
      </c>
      <c r="E547" t="s">
        <v>73</v>
      </c>
      <c r="F547">
        <v>0</v>
      </c>
      <c r="G547">
        <v>0</v>
      </c>
      <c r="H547">
        <v>0</v>
      </c>
      <c r="I547">
        <v>23612</v>
      </c>
      <c r="J547" t="s">
        <v>1037</v>
      </c>
      <c r="K547">
        <v>268</v>
      </c>
      <c r="L547" t="str">
        <f>Hyperlink("http://www.seavest.co.za/inv/fpdf16/inv-preview.php?Id=43255","Click for Invoice PDF")</f>
        <v>Click for Invoice PDF</v>
      </c>
      <c r="M547"/>
    </row>
    <row r="548" spans="1:215">
      <c r="A548" t="s">
        <v>1039</v>
      </c>
      <c r="B548"/>
      <c r="C548" t="s">
        <v>67</v>
      </c>
      <c r="D548" t="s">
        <v>1040</v>
      </c>
      <c r="E548" t="s">
        <v>73</v>
      </c>
      <c r="F548">
        <v>23611.49</v>
      </c>
      <c r="G548">
        <v>3541.72</v>
      </c>
      <c r="H548">
        <v>27153.21</v>
      </c>
      <c r="I548">
        <v>20411</v>
      </c>
      <c r="J548" t="s">
        <v>1041</v>
      </c>
      <c r="K548">
        <v>684</v>
      </c>
      <c r="L548" t="str">
        <f>Hyperlink("http://www.seavest.co.za/inv/fpdf16/inv-preview.php?Id=39904","Click for Invoice PDF")</f>
        <v>Click for Invoice PDF</v>
      </c>
      <c r="M548"/>
    </row>
    <row r="549" spans="1:215">
      <c r="A549" t="s">
        <v>1042</v>
      </c>
      <c r="B549"/>
      <c r="C549" t="s">
        <v>67</v>
      </c>
      <c r="D549" t="s">
        <v>202</v>
      </c>
      <c r="E549" t="s">
        <v>259</v>
      </c>
      <c r="F549">
        <v>2296</v>
      </c>
      <c r="G549">
        <v>344.4</v>
      </c>
      <c r="H549">
        <v>2640.4</v>
      </c>
      <c r="I549">
        <v>21038</v>
      </c>
      <c r="J549" t="s">
        <v>1041</v>
      </c>
      <c r="K549">
        <v>537</v>
      </c>
      <c r="L549" t="str">
        <f>Hyperlink("http://www.seavest.co.za/inv/fpdf16/inv-preview.php?Id=40715","Click for Invoice PDF")</f>
        <v>Click for Invoice PDF</v>
      </c>
      <c r="M549"/>
    </row>
    <row r="550" spans="1:215">
      <c r="A550" t="s">
        <v>1043</v>
      </c>
      <c r="B550"/>
      <c r="C550" t="s">
        <v>67</v>
      </c>
      <c r="D550" t="s">
        <v>329</v>
      </c>
      <c r="E550" t="s">
        <v>73</v>
      </c>
      <c r="F550">
        <v>3435</v>
      </c>
      <c r="G550">
        <v>515.25</v>
      </c>
      <c r="H550">
        <v>3950.25</v>
      </c>
      <c r="I550">
        <v>21254</v>
      </c>
      <c r="J550" t="s">
        <v>1041</v>
      </c>
      <c r="K550">
        <v>517</v>
      </c>
      <c r="L550" t="str">
        <f>Hyperlink("http://www.seavest.co.za/inv/fpdf16/inv-preview.php?Id=40917","Click for Invoice PDF")</f>
        <v>Click for Invoice PDF</v>
      </c>
      <c r="M550"/>
    </row>
    <row r="551" spans="1:215">
      <c r="A551" t="s">
        <v>1044</v>
      </c>
      <c r="B551"/>
      <c r="C551" t="s">
        <v>14</v>
      </c>
      <c r="D551" t="s">
        <v>1045</v>
      </c>
      <c r="E551" t="s">
        <v>218</v>
      </c>
      <c r="F551">
        <v>4465.6</v>
      </c>
      <c r="G551">
        <v>669.84</v>
      </c>
      <c r="H551">
        <v>5135.44</v>
      </c>
      <c r="I551">
        <v>24460</v>
      </c>
      <c r="J551" t="s">
        <v>1046</v>
      </c>
      <c r="K551">
        <v>208</v>
      </c>
      <c r="L551" t="str">
        <f>Hyperlink("http://www.seavest.co.za/inv/fpdf16/inv-preview.php?Id=43926","Click for Invoice PDF")</f>
        <v>Click for Invoice PDF</v>
      </c>
      <c r="M551"/>
    </row>
    <row r="552" spans="1:215">
      <c r="A552" t="s">
        <v>1047</v>
      </c>
      <c r="B552"/>
      <c r="C552" t="s">
        <v>67</v>
      </c>
      <c r="D552" t="s">
        <v>1048</v>
      </c>
      <c r="E552" t="s">
        <v>73</v>
      </c>
      <c r="F552">
        <v>13480.36</v>
      </c>
      <c r="G552">
        <v>2022.05</v>
      </c>
      <c r="H552">
        <v>15502.41</v>
      </c>
      <c r="I552">
        <v>24421</v>
      </c>
      <c r="J552" t="s">
        <v>1046</v>
      </c>
      <c r="K552">
        <v>208</v>
      </c>
      <c r="L552" t="str">
        <f>Hyperlink("http://www.seavest.co.za/inv/fpdf16/inv-preview.php?Id=43822","Click for Invoice PDF")</f>
        <v>Click for Invoice PDF</v>
      </c>
      <c r="M552"/>
    </row>
    <row r="553" spans="1:215">
      <c r="A553" t="s">
        <v>1049</v>
      </c>
      <c r="B553"/>
      <c r="C553" t="s">
        <v>67</v>
      </c>
      <c r="D553" t="s">
        <v>1050</v>
      </c>
      <c r="E553" t="s">
        <v>82</v>
      </c>
      <c r="F553">
        <v>2524.92</v>
      </c>
      <c r="G553">
        <v>378.74</v>
      </c>
      <c r="H553">
        <v>2903.66</v>
      </c>
      <c r="I553">
        <v>24448</v>
      </c>
      <c r="J553" t="s">
        <v>1046</v>
      </c>
      <c r="K553">
        <v>208</v>
      </c>
      <c r="L553" t="str">
        <f>Hyperlink("http://www.seavest.co.za/inv/fpdf16/inv-preview.php?Id=43869","Click for Invoice PDF")</f>
        <v>Click for Invoice PDF</v>
      </c>
      <c r="M553"/>
    </row>
    <row r="554" spans="1:215">
      <c r="A554" t="s">
        <v>1051</v>
      </c>
      <c r="B554"/>
      <c r="C554" t="s">
        <v>14</v>
      </c>
      <c r="D554" t="s">
        <v>60</v>
      </c>
      <c r="E554" t="s">
        <v>176</v>
      </c>
      <c r="F554">
        <v>7352.4</v>
      </c>
      <c r="G554">
        <v>1102.86</v>
      </c>
      <c r="H554">
        <v>8455.26</v>
      </c>
      <c r="I554">
        <v>24745</v>
      </c>
      <c r="J554" t="s">
        <v>1052</v>
      </c>
      <c r="K554">
        <v>135</v>
      </c>
      <c r="L554" t="str">
        <f>Hyperlink("http://www.seavest.co.za/inv/fpdf16/inv-preview.php?Id=44116","Click for Invoice PDF")</f>
        <v>Click for Invoice PDF</v>
      </c>
      <c r="M554"/>
    </row>
    <row r="555" spans="1:215">
      <c r="A555" t="s">
        <v>1053</v>
      </c>
      <c r="B555"/>
      <c r="C555" t="s">
        <v>67</v>
      </c>
      <c r="D555" t="s">
        <v>1054</v>
      </c>
      <c r="E555" t="s">
        <v>209</v>
      </c>
      <c r="F555">
        <v>57130.28</v>
      </c>
      <c r="G555">
        <v>8569.540000000001</v>
      </c>
      <c r="H555">
        <v>65699.82000000001</v>
      </c>
      <c r="I555">
        <v>19834</v>
      </c>
      <c r="J555" t="s">
        <v>1055</v>
      </c>
      <c r="K555">
        <v>37</v>
      </c>
      <c r="L555" t="str">
        <f>Hyperlink("http://www.seavest.co.za/inv/fpdf16/inv-preview.php?Id=39427","Click for Invoice PDF")</f>
        <v>Click for Invoice PDF</v>
      </c>
      <c r="M555"/>
    </row>
    <row r="556" spans="1:215">
      <c r="A556" t="s">
        <v>1056</v>
      </c>
      <c r="B556"/>
      <c r="C556" t="s">
        <v>67</v>
      </c>
      <c r="D556" t="s">
        <v>543</v>
      </c>
      <c r="E556" t="s">
        <v>73</v>
      </c>
      <c r="F556">
        <v>0</v>
      </c>
      <c r="G556">
        <v>0</v>
      </c>
      <c r="H556">
        <v>0</v>
      </c>
      <c r="I556">
        <v>19819</v>
      </c>
      <c r="J556" t="s">
        <v>1055</v>
      </c>
      <c r="K556">
        <v>37</v>
      </c>
      <c r="L556" t="str">
        <f>Hyperlink("http://www.seavest.co.za/inv/fpdf16/inv-preview.php?Id=39553","Click for Invoice PDF")</f>
        <v>Click for Invoice PDF</v>
      </c>
      <c r="M556"/>
    </row>
    <row r="557" spans="1:215">
      <c r="A557" t="s">
        <v>1057</v>
      </c>
      <c r="B557"/>
      <c r="C557" t="s">
        <v>67</v>
      </c>
      <c r="D557" t="s">
        <v>156</v>
      </c>
      <c r="E557" t="s">
        <v>209</v>
      </c>
      <c r="F557">
        <v>27256.05</v>
      </c>
      <c r="G557">
        <v>4088.41</v>
      </c>
      <c r="H557">
        <v>31344.46</v>
      </c>
      <c r="I557">
        <v>19812</v>
      </c>
      <c r="J557" t="s">
        <v>1055</v>
      </c>
      <c r="K557">
        <v>37</v>
      </c>
      <c r="L557" t="str">
        <f>Hyperlink("http://www.seavest.co.za/inv/fpdf16/inv-preview.php?Id=39556","Click for Invoice PDF")</f>
        <v>Click for Invoice PDF</v>
      </c>
      <c r="M557"/>
    </row>
    <row r="558" spans="1:215">
      <c r="A558" t="s">
        <v>1058</v>
      </c>
      <c r="B558"/>
      <c r="C558" t="s">
        <v>67</v>
      </c>
      <c r="D558" t="s">
        <v>631</v>
      </c>
      <c r="E558" t="s">
        <v>218</v>
      </c>
      <c r="F558">
        <v>0</v>
      </c>
      <c r="G558">
        <v>0</v>
      </c>
      <c r="H558">
        <v>0</v>
      </c>
      <c r="I558">
        <v>22661</v>
      </c>
      <c r="J558" t="s">
        <v>1059</v>
      </c>
      <c r="K558">
        <v>308</v>
      </c>
      <c r="L558" t="str">
        <f>Hyperlink("http://www.seavest.co.za/inv/fpdf16/inv-preview.php?Id=42197","Click for Invoice PDF")</f>
        <v>Click for Invoice PDF</v>
      </c>
      <c r="M558"/>
    </row>
    <row r="559" spans="1:215">
      <c r="A559" t="s">
        <v>1060</v>
      </c>
      <c r="B559"/>
      <c r="C559" t="s">
        <v>67</v>
      </c>
      <c r="D559" t="s">
        <v>993</v>
      </c>
      <c r="E559" t="s">
        <v>183</v>
      </c>
      <c r="F559">
        <v>7600.2</v>
      </c>
      <c r="G559">
        <v>1140.03</v>
      </c>
      <c r="H559">
        <v>8740.23</v>
      </c>
      <c r="I559">
        <v>22670</v>
      </c>
      <c r="J559" t="s">
        <v>1059</v>
      </c>
      <c r="K559">
        <v>340</v>
      </c>
      <c r="L559" t="str">
        <f>Hyperlink("http://www.seavest.co.za/inv/fpdf16/inv-preview.php?Id=42220","Click for Invoice PDF")</f>
        <v>Click for Invoice PDF</v>
      </c>
      <c r="M559"/>
    </row>
    <row r="560" spans="1:215">
      <c r="A560" t="s">
        <v>1061</v>
      </c>
      <c r="B560"/>
      <c r="C560" t="s">
        <v>14</v>
      </c>
      <c r="D560" t="s">
        <v>248</v>
      </c>
      <c r="E560" t="s">
        <v>176</v>
      </c>
      <c r="F560">
        <v>0</v>
      </c>
      <c r="G560">
        <v>0</v>
      </c>
      <c r="H560">
        <v>0</v>
      </c>
      <c r="I560">
        <v>24151</v>
      </c>
      <c r="J560" t="s">
        <v>1062</v>
      </c>
      <c r="K560">
        <v>236</v>
      </c>
      <c r="L560" t="str">
        <f>Hyperlink("http://www.seavest.co.za/inv/fpdf16/inv-preview.php?Id=43655","Click for Invoice PDF")</f>
        <v>Click for Invoice PDF</v>
      </c>
      <c r="M560"/>
    </row>
    <row r="561" spans="1:215">
      <c r="A561" t="s">
        <v>1063</v>
      </c>
      <c r="B561"/>
      <c r="C561" t="s">
        <v>14</v>
      </c>
      <c r="D561" t="s">
        <v>1064</v>
      </c>
      <c r="E561" t="s">
        <v>176</v>
      </c>
      <c r="F561">
        <v>4544.4</v>
      </c>
      <c r="G561">
        <v>681.66</v>
      </c>
      <c r="H561">
        <v>5226.06</v>
      </c>
      <c r="I561">
        <v>24219</v>
      </c>
      <c r="J561" t="s">
        <v>1062</v>
      </c>
      <c r="K561">
        <v>236</v>
      </c>
      <c r="L561" t="str">
        <f>Hyperlink("http://www.seavest.co.za/inv/fpdf16/inv-preview.php?Id=43641","Click for Invoice PDF")</f>
        <v>Click for Invoice PDF</v>
      </c>
      <c r="M561"/>
    </row>
    <row r="562" spans="1:215">
      <c r="A562" t="s">
        <v>1065</v>
      </c>
      <c r="B562"/>
      <c r="C562" t="s">
        <v>67</v>
      </c>
      <c r="D562" t="s">
        <v>116</v>
      </c>
      <c r="E562" t="s">
        <v>259</v>
      </c>
      <c r="F562">
        <v>9005.200000000001</v>
      </c>
      <c r="G562">
        <v>1350.78</v>
      </c>
      <c r="H562">
        <v>10355.98</v>
      </c>
      <c r="I562">
        <v>24193</v>
      </c>
      <c r="J562" t="s">
        <v>1062</v>
      </c>
      <c r="K562">
        <v>236</v>
      </c>
      <c r="L562" t="str">
        <f>Hyperlink("http://www.seavest.co.za/inv/fpdf16/inv-preview.php?Id=43690","Click for Invoice PDF")</f>
        <v>Click for Invoice PDF</v>
      </c>
      <c r="M562"/>
    </row>
    <row r="563" spans="1:215">
      <c r="A563" t="s">
        <v>1066</v>
      </c>
      <c r="B563"/>
      <c r="C563" t="s">
        <v>67</v>
      </c>
      <c r="D563" t="s">
        <v>116</v>
      </c>
      <c r="E563" t="s">
        <v>259</v>
      </c>
      <c r="F563">
        <v>8657.200000000001</v>
      </c>
      <c r="G563">
        <v>1298.58</v>
      </c>
      <c r="H563">
        <v>9955.780000000001</v>
      </c>
      <c r="I563">
        <v>24164</v>
      </c>
      <c r="J563" t="s">
        <v>1062</v>
      </c>
      <c r="K563">
        <v>231</v>
      </c>
      <c r="L563" t="str">
        <f>Hyperlink("http://www.seavest.co.za/inv/fpdf16/inv-preview.php?Id=43669","Click for Invoice PDF")</f>
        <v>Click for Invoice PDF</v>
      </c>
      <c r="M563"/>
    </row>
    <row r="564" spans="1:215">
      <c r="A564" t="s">
        <v>1067</v>
      </c>
      <c r="B564"/>
      <c r="C564" t="s">
        <v>14</v>
      </c>
      <c r="D564" t="s">
        <v>876</v>
      </c>
      <c r="E564" t="s">
        <v>485</v>
      </c>
      <c r="F564">
        <v>6260.8</v>
      </c>
      <c r="G564">
        <v>939.12</v>
      </c>
      <c r="H564">
        <v>7199.92</v>
      </c>
      <c r="I564">
        <v>20942</v>
      </c>
      <c r="J564" t="s">
        <v>1068</v>
      </c>
      <c r="K564">
        <v>632</v>
      </c>
      <c r="L564" t="str">
        <f>Hyperlink("http://www.seavest.co.za/inv/fpdf16/inv-preview.php?Id=40622","Click for Invoice PDF")</f>
        <v>Click for Invoice PDF</v>
      </c>
      <c r="M564"/>
    </row>
    <row r="565" spans="1:215">
      <c r="A565" t="s">
        <v>1069</v>
      </c>
      <c r="B565"/>
      <c r="C565" t="s">
        <v>14</v>
      </c>
      <c r="D565" t="s">
        <v>1070</v>
      </c>
      <c r="E565" t="s">
        <v>485</v>
      </c>
      <c r="F565">
        <v>11120</v>
      </c>
      <c r="G565">
        <v>1668</v>
      </c>
      <c r="H565">
        <v>12788</v>
      </c>
      <c r="I565">
        <v>20891</v>
      </c>
      <c r="J565" t="s">
        <v>1068</v>
      </c>
      <c r="K565">
        <v>632</v>
      </c>
      <c r="L565" t="str">
        <f>Hyperlink("http://www.seavest.co.za/inv/fpdf16/inv-preview.php?Id=40627","Click for Invoice PDF")</f>
        <v>Click for Invoice PDF</v>
      </c>
      <c r="M565"/>
    </row>
    <row r="566" spans="1:215">
      <c r="A566" t="s">
        <v>1071</v>
      </c>
      <c r="B566"/>
      <c r="C566" t="s">
        <v>14</v>
      </c>
      <c r="D566" t="s">
        <v>21</v>
      </c>
      <c r="E566" t="s">
        <v>110</v>
      </c>
      <c r="F566">
        <v>2632.8</v>
      </c>
      <c r="G566">
        <v>394.92</v>
      </c>
      <c r="H566">
        <v>3027.72</v>
      </c>
      <c r="I566">
        <v>20932</v>
      </c>
      <c r="J566" t="s">
        <v>1068</v>
      </c>
      <c r="K566">
        <v>601</v>
      </c>
      <c r="L566" t="str">
        <f>Hyperlink("http://www.seavest.co.za/inv/fpdf16/inv-preview.php?Id=40657","Click for Invoice PDF")</f>
        <v>Click for Invoice PDF</v>
      </c>
      <c r="M566"/>
    </row>
    <row r="567" spans="1:215">
      <c r="A567" t="s">
        <v>1072</v>
      </c>
      <c r="B567"/>
      <c r="C567" t="s">
        <v>14</v>
      </c>
      <c r="D567" t="s">
        <v>15</v>
      </c>
      <c r="E567" t="s">
        <v>176</v>
      </c>
      <c r="F567">
        <v>3852.55</v>
      </c>
      <c r="G567">
        <v>577.88</v>
      </c>
      <c r="H567">
        <v>4430.43</v>
      </c>
      <c r="I567">
        <v>23952</v>
      </c>
      <c r="J567" t="s">
        <v>1073</v>
      </c>
      <c r="K567">
        <v>260</v>
      </c>
      <c r="L567" t="str">
        <f>Hyperlink("http://www.seavest.co.za/inv/fpdf16/inv-preview.php?Id=43495","Click for Invoice PDF")</f>
        <v>Click for Invoice PDF</v>
      </c>
      <c r="M567"/>
    </row>
    <row r="568" spans="1:215">
      <c r="A568" t="s">
        <v>1074</v>
      </c>
      <c r="B568"/>
      <c r="C568" t="s">
        <v>67</v>
      </c>
      <c r="D568" t="s">
        <v>70</v>
      </c>
      <c r="E568" t="s">
        <v>183</v>
      </c>
      <c r="F568">
        <v>8705.48</v>
      </c>
      <c r="G568">
        <v>1305.82</v>
      </c>
      <c r="H568">
        <v>10011.3</v>
      </c>
      <c r="I568">
        <v>25343</v>
      </c>
      <c r="J568" t="s">
        <v>1075</v>
      </c>
      <c r="K568">
        <v>83</v>
      </c>
      <c r="L568" t="str">
        <f>Hyperlink("http://www.seavest.co.za/inv/fpdf16/inv-preview.php?Id=44648","Click for Invoice PDF")</f>
        <v>Click for Invoice PDF</v>
      </c>
      <c r="M568"/>
    </row>
    <row r="569" spans="1:215">
      <c r="A569" t="s">
        <v>1076</v>
      </c>
      <c r="B569"/>
      <c r="C569" t="s">
        <v>67</v>
      </c>
      <c r="D569" t="s">
        <v>95</v>
      </c>
      <c r="E569" t="s">
        <v>259</v>
      </c>
      <c r="F569">
        <v>6906.16</v>
      </c>
      <c r="G569">
        <v>1035.92</v>
      </c>
      <c r="H569">
        <v>7942.08</v>
      </c>
      <c r="I569">
        <v>25322</v>
      </c>
      <c r="J569" t="s">
        <v>1075</v>
      </c>
      <c r="K569">
        <v>70</v>
      </c>
      <c r="L569" t="str">
        <f>Hyperlink("http://www.seavest.co.za/inv/fpdf16/inv-preview.php?Id=44633","Click for Invoice PDF")</f>
        <v>Click for Invoice PDF</v>
      </c>
      <c r="M569"/>
    </row>
    <row r="570" spans="1:215">
      <c r="A570" t="s">
        <v>1077</v>
      </c>
      <c r="B570"/>
      <c r="C570" t="s">
        <v>67</v>
      </c>
      <c r="D570" t="s">
        <v>72</v>
      </c>
      <c r="E570"/>
      <c r="F570">
        <v>9999999.99</v>
      </c>
      <c r="G570">
        <v>1487.66</v>
      </c>
      <c r="H570">
        <v>12113.78</v>
      </c>
      <c r="I570">
        <v>25347</v>
      </c>
      <c r="J570" t="s">
        <v>1075</v>
      </c>
      <c r="K570">
        <v>3</v>
      </c>
      <c r="L570" t="str">
        <f>Hyperlink("http://www.seavest.co.za/inv/fpdf16/inv-preview.php?Id=44652","Click for Invoice PDF")</f>
        <v>Click for Invoice PDF</v>
      </c>
      <c r="M570"/>
    </row>
    <row r="571" spans="1:215">
      <c r="A571" t="s">
        <v>1078</v>
      </c>
      <c r="B571"/>
      <c r="C571" t="s">
        <v>67</v>
      </c>
      <c r="D571" t="s">
        <v>70</v>
      </c>
      <c r="E571" t="s">
        <v>183</v>
      </c>
      <c r="F571">
        <v>3328.6</v>
      </c>
      <c r="G571">
        <v>499.29</v>
      </c>
      <c r="H571">
        <v>3827.89</v>
      </c>
      <c r="I571">
        <v>25342</v>
      </c>
      <c r="J571" t="s">
        <v>1075</v>
      </c>
      <c r="K571">
        <v>83</v>
      </c>
      <c r="L571" t="str">
        <f>Hyperlink("http://www.seavest.co.za/inv/fpdf16/inv-preview.php?Id=44646","Click for Invoice PDF")</f>
        <v>Click for Invoice PDF</v>
      </c>
      <c r="M571"/>
    </row>
    <row r="572" spans="1:215">
      <c r="A572" t="s">
        <v>1079</v>
      </c>
      <c r="B572"/>
      <c r="C572" t="s">
        <v>67</v>
      </c>
      <c r="D572" t="s">
        <v>72</v>
      </c>
      <c r="E572" t="s">
        <v>73</v>
      </c>
      <c r="F572">
        <v>5825.8</v>
      </c>
      <c r="G572">
        <v>873.87</v>
      </c>
      <c r="H572">
        <v>6699.67</v>
      </c>
      <c r="I572">
        <v>25332</v>
      </c>
      <c r="J572" t="s">
        <v>1075</v>
      </c>
      <c r="K572">
        <v>83</v>
      </c>
      <c r="L572" t="str">
        <f>Hyperlink("http://www.seavest.co.za/inv/fpdf16/inv-preview.php?Id=44635","Click for Invoice PDF")</f>
        <v>Click for Invoice PDF</v>
      </c>
      <c r="M572"/>
    </row>
    <row r="573" spans="1:215">
      <c r="A573" t="s">
        <v>1080</v>
      </c>
      <c r="B573"/>
      <c r="C573" t="s">
        <v>14</v>
      </c>
      <c r="D573" t="s">
        <v>773</v>
      </c>
      <c r="E573" t="s">
        <v>110</v>
      </c>
      <c r="F573">
        <v>37717.25999999999</v>
      </c>
      <c r="G573">
        <v>5657.59</v>
      </c>
      <c r="H573">
        <v>43374.85</v>
      </c>
      <c r="I573">
        <v>21307</v>
      </c>
      <c r="J573" t="s">
        <v>1081</v>
      </c>
      <c r="K573">
        <v>481</v>
      </c>
      <c r="L573" t="str">
        <f>Hyperlink("http://www.seavest.co.za/inv/fpdf16/inv-preview.php?Id=40960","Click for Invoice PDF")</f>
        <v>Click for Invoice PDF</v>
      </c>
      <c r="M573"/>
    </row>
    <row r="574" spans="1:215">
      <c r="A574" t="s">
        <v>1082</v>
      </c>
      <c r="B574"/>
      <c r="C574" t="s">
        <v>67</v>
      </c>
      <c r="D574" t="s">
        <v>686</v>
      </c>
      <c r="E574" t="s">
        <v>209</v>
      </c>
      <c r="F574">
        <v>4786.2</v>
      </c>
      <c r="G574">
        <v>717.9299999999999</v>
      </c>
      <c r="H574">
        <v>5504.13</v>
      </c>
      <c r="I574">
        <v>21902</v>
      </c>
      <c r="J574" t="s">
        <v>1081</v>
      </c>
      <c r="K574">
        <v>477</v>
      </c>
      <c r="L574" t="str">
        <f>Hyperlink("http://www.seavest.co.za/inv/fpdf16/inv-preview.php?Id=41440","Click for Invoice PDF")</f>
        <v>Click for Invoice PDF</v>
      </c>
      <c r="M574"/>
    </row>
    <row r="575" spans="1:215">
      <c r="A575" t="s">
        <v>1083</v>
      </c>
      <c r="B575"/>
      <c r="C575" t="s">
        <v>67</v>
      </c>
      <c r="D575" t="s">
        <v>1084</v>
      </c>
      <c r="E575" t="s">
        <v>209</v>
      </c>
      <c r="F575">
        <v>8211.799999999999</v>
      </c>
      <c r="G575">
        <v>1231.77</v>
      </c>
      <c r="H575">
        <v>9443.57</v>
      </c>
      <c r="I575">
        <v>21911</v>
      </c>
      <c r="J575" t="s">
        <v>1081</v>
      </c>
      <c r="K575">
        <v>473</v>
      </c>
      <c r="L575" t="str">
        <f>Hyperlink("http://www.seavest.co.za/inv/fpdf16/inv-preview.php?Id=41492","Click for Invoice PDF")</f>
        <v>Click for Invoice PDF</v>
      </c>
      <c r="M575"/>
    </row>
    <row r="576" spans="1:215">
      <c r="A576" t="s">
        <v>1085</v>
      </c>
      <c r="B576"/>
      <c r="C576" t="s">
        <v>67</v>
      </c>
      <c r="D576" t="s">
        <v>134</v>
      </c>
      <c r="E576"/>
      <c r="F576">
        <v>0</v>
      </c>
      <c r="G576">
        <v>0</v>
      </c>
      <c r="H576">
        <v>0</v>
      </c>
      <c r="I576">
        <v>19398</v>
      </c>
      <c r="J576" t="s">
        <v>1086</v>
      </c>
      <c r="K576">
        <v>37</v>
      </c>
      <c r="L576" t="str">
        <f>Hyperlink("http://www.seavest.co.za/inv/fpdf16/inv-preview.php?Id=39137","Click for Invoice PDF")</f>
        <v>Click for Invoice PDF</v>
      </c>
      <c r="M576"/>
    </row>
    <row r="577" spans="1:215">
      <c r="A577" t="s">
        <v>1087</v>
      </c>
      <c r="B577"/>
      <c r="C577" t="s">
        <v>14</v>
      </c>
      <c r="D577" t="s">
        <v>189</v>
      </c>
      <c r="E577" t="s">
        <v>176</v>
      </c>
      <c r="F577">
        <v>22265.78</v>
      </c>
      <c r="G577">
        <v>3339.87</v>
      </c>
      <c r="H577">
        <v>25605.65</v>
      </c>
      <c r="I577">
        <v>23881</v>
      </c>
      <c r="J577" t="s">
        <v>1088</v>
      </c>
      <c r="K577">
        <v>40</v>
      </c>
      <c r="L577" t="str">
        <f>Hyperlink("http://www.seavest.co.za/inv/fpdf16/inv-preview.php?Id=43380","Click for Invoice PDF")</f>
        <v>Click for Invoice PDF</v>
      </c>
      <c r="M577"/>
    </row>
    <row r="578" spans="1:215">
      <c r="A578" t="s">
        <v>1089</v>
      </c>
      <c r="B578"/>
      <c r="C578" t="s">
        <v>14</v>
      </c>
      <c r="D578" t="s">
        <v>776</v>
      </c>
      <c r="E578" t="s">
        <v>176</v>
      </c>
      <c r="F578">
        <v>13433.4</v>
      </c>
      <c r="G578">
        <v>2015.01</v>
      </c>
      <c r="H578">
        <v>15448.41</v>
      </c>
      <c r="I578">
        <v>24248</v>
      </c>
      <c r="J578" t="s">
        <v>1088</v>
      </c>
      <c r="K578">
        <v>208</v>
      </c>
      <c r="L578" t="str">
        <f>Hyperlink("http://www.seavest.co.za/inv/fpdf16/inv-preview.php?Id=43714","Click for Invoice PDF")</f>
        <v>Click for Invoice PDF</v>
      </c>
      <c r="M578"/>
    </row>
    <row r="579" spans="1:215">
      <c r="A579" t="s">
        <v>1090</v>
      </c>
      <c r="B579"/>
      <c r="C579" t="s">
        <v>67</v>
      </c>
      <c r="D579" t="s">
        <v>750</v>
      </c>
      <c r="E579" t="s">
        <v>82</v>
      </c>
      <c r="F579">
        <v>6668.86</v>
      </c>
      <c r="G579">
        <v>1000.33</v>
      </c>
      <c r="H579">
        <v>7669.19</v>
      </c>
      <c r="I579">
        <v>24128</v>
      </c>
      <c r="J579" t="s">
        <v>1088</v>
      </c>
      <c r="K579">
        <v>208</v>
      </c>
      <c r="L579" t="str">
        <f>Hyperlink("http://www.seavest.co.za/inv/fpdf16/inv-preview.php?Id=43632","Click for Invoice PDF")</f>
        <v>Click for Invoice PDF</v>
      </c>
      <c r="M579"/>
    </row>
    <row r="580" spans="1:215">
      <c r="A580" t="s">
        <v>1091</v>
      </c>
      <c r="B580"/>
      <c r="C580" t="s">
        <v>67</v>
      </c>
      <c r="D580" t="s">
        <v>75</v>
      </c>
      <c r="E580" t="s">
        <v>209</v>
      </c>
      <c r="F580">
        <v>13852.8</v>
      </c>
      <c r="G580">
        <v>2077.92</v>
      </c>
      <c r="H580">
        <v>15930.72</v>
      </c>
      <c r="I580">
        <v>24209</v>
      </c>
      <c r="J580" t="s">
        <v>1088</v>
      </c>
      <c r="K580">
        <v>208</v>
      </c>
      <c r="L580" t="str">
        <f>Hyperlink("http://www.seavest.co.za/inv/fpdf16/inv-preview.php?Id=43706","Click for Invoice PDF")</f>
        <v>Click for Invoice PDF</v>
      </c>
      <c r="M580"/>
    </row>
    <row r="581" spans="1:215">
      <c r="A581" t="s">
        <v>1092</v>
      </c>
      <c r="B581"/>
      <c r="C581" t="s">
        <v>67</v>
      </c>
      <c r="D581" t="s">
        <v>1093</v>
      </c>
      <c r="E581" t="s">
        <v>176</v>
      </c>
      <c r="F581">
        <v>29019.08</v>
      </c>
      <c r="G581">
        <v>4352.86</v>
      </c>
      <c r="H581">
        <v>33371.94</v>
      </c>
      <c r="I581">
        <v>24369</v>
      </c>
      <c r="J581" t="s">
        <v>1088</v>
      </c>
      <c r="K581">
        <v>196</v>
      </c>
      <c r="L581" t="str">
        <f>Hyperlink("http://www.seavest.co.za/inv/fpdf16/inv-preview.php?Id=43760","Click for Invoice PDF")</f>
        <v>Click for Invoice PDF</v>
      </c>
      <c r="M581"/>
    </row>
    <row r="582" spans="1:215">
      <c r="A582" t="s">
        <v>1094</v>
      </c>
      <c r="B582"/>
      <c r="C582" t="s">
        <v>67</v>
      </c>
      <c r="D582" t="s">
        <v>324</v>
      </c>
      <c r="E582" t="s">
        <v>73</v>
      </c>
      <c r="F582">
        <v>8828.4</v>
      </c>
      <c r="G582">
        <v>1324.26</v>
      </c>
      <c r="H582">
        <v>10152.66</v>
      </c>
      <c r="I582">
        <v>24410</v>
      </c>
      <c r="J582" t="s">
        <v>1088</v>
      </c>
      <c r="K582">
        <v>208</v>
      </c>
      <c r="L582" t="str">
        <f>Hyperlink("http://www.seavest.co.za/inv/fpdf16/inv-preview.php?Id=43867","Click for Invoice PDF")</f>
        <v>Click for Invoice PDF</v>
      </c>
      <c r="M582"/>
    </row>
    <row r="583" spans="1:215">
      <c r="A583" t="s">
        <v>1095</v>
      </c>
      <c r="B583"/>
      <c r="C583" t="s">
        <v>67</v>
      </c>
      <c r="D583" t="s">
        <v>1096</v>
      </c>
      <c r="E583" t="s">
        <v>176</v>
      </c>
      <c r="F583">
        <v>6670.4</v>
      </c>
      <c r="G583">
        <v>933.86</v>
      </c>
      <c r="H583">
        <v>7604.26</v>
      </c>
      <c r="I583">
        <v>24469</v>
      </c>
      <c r="J583" t="s">
        <v>1088</v>
      </c>
      <c r="K583">
        <v>5</v>
      </c>
      <c r="L583" t="str">
        <f>Hyperlink("http://www.seavest.co.za/inv/fpdf16/inv-preview.php?Id=43903","Click for Invoice PDF")</f>
        <v>Click for Invoice PDF</v>
      </c>
      <c r="M583"/>
    </row>
    <row r="584" spans="1:215">
      <c r="A584" t="s">
        <v>1097</v>
      </c>
      <c r="B584"/>
      <c r="C584" t="s">
        <v>14</v>
      </c>
      <c r="D584" t="s">
        <v>265</v>
      </c>
      <c r="E584" t="s">
        <v>176</v>
      </c>
      <c r="F584">
        <v>9999999.99</v>
      </c>
      <c r="G584">
        <v>2072.15</v>
      </c>
      <c r="H584">
        <v>15886.49</v>
      </c>
      <c r="I584">
        <v>21773</v>
      </c>
      <c r="J584" t="s">
        <v>1098</v>
      </c>
      <c r="K584">
        <v>477</v>
      </c>
      <c r="L584" t="str">
        <f>Hyperlink("http://www.seavest.co.za/inv/fpdf16/inv-preview.php?Id=41354","Click for Invoice PDF")</f>
        <v>Click for Invoice PDF</v>
      </c>
      <c r="M584"/>
    </row>
    <row r="585" spans="1:215">
      <c r="A585" t="s">
        <v>1099</v>
      </c>
      <c r="B585"/>
      <c r="C585" t="s">
        <v>67</v>
      </c>
      <c r="D585" t="s">
        <v>1100</v>
      </c>
      <c r="E585" t="s">
        <v>218</v>
      </c>
      <c r="F585">
        <v>6710</v>
      </c>
      <c r="G585">
        <v>1006.5</v>
      </c>
      <c r="H585">
        <v>7716.5</v>
      </c>
      <c r="I585">
        <v>24978</v>
      </c>
      <c r="J585" t="s">
        <v>1101</v>
      </c>
      <c r="K585">
        <v>146</v>
      </c>
      <c r="L585" t="str">
        <f>Hyperlink("http://www.seavest.co.za/inv/fpdf16/inv-preview.php?Id=44323","Click for Invoice PDF")</f>
        <v>Click for Invoice PDF</v>
      </c>
      <c r="M585"/>
    </row>
    <row r="586" spans="1:215">
      <c r="A586" t="s">
        <v>1102</v>
      </c>
      <c r="B586"/>
      <c r="C586" t="s">
        <v>67</v>
      </c>
      <c r="D586" t="s">
        <v>1103</v>
      </c>
      <c r="E586" t="s">
        <v>259</v>
      </c>
      <c r="F586">
        <v>9849.08</v>
      </c>
      <c r="G586">
        <v>1477.36</v>
      </c>
      <c r="H586">
        <v>11326.44</v>
      </c>
      <c r="I586">
        <v>24946</v>
      </c>
      <c r="J586" t="s">
        <v>1101</v>
      </c>
      <c r="K586">
        <v>126</v>
      </c>
      <c r="L586" t="str">
        <f>Hyperlink("http://www.seavest.co.za/inv/fpdf16/inv-preview.php?Id=44290","Click for Invoice PDF")</f>
        <v>Click for Invoice PDF</v>
      </c>
      <c r="M586"/>
    </row>
    <row r="587" spans="1:215">
      <c r="A587" t="s">
        <v>1104</v>
      </c>
      <c r="B587"/>
      <c r="C587" t="s">
        <v>14</v>
      </c>
      <c r="D587" t="s">
        <v>191</v>
      </c>
      <c r="E587" t="s">
        <v>176</v>
      </c>
      <c r="F587">
        <v>15464.1</v>
      </c>
      <c r="G587">
        <v>2319.62</v>
      </c>
      <c r="H587">
        <v>17783.72</v>
      </c>
      <c r="I587">
        <v>22889</v>
      </c>
      <c r="J587" t="s">
        <v>1105</v>
      </c>
      <c r="K587">
        <v>328</v>
      </c>
      <c r="L587" t="str">
        <f>Hyperlink("http://www.seavest.co.za/inv/fpdf16/inv-preview.php?Id=42264","Click for Invoice PDF")</f>
        <v>Click for Invoice PDF</v>
      </c>
      <c r="M587"/>
    </row>
    <row r="588" spans="1:215">
      <c r="A588" t="s">
        <v>1106</v>
      </c>
      <c r="B588"/>
      <c r="C588" t="s">
        <v>67</v>
      </c>
      <c r="D588" t="s">
        <v>140</v>
      </c>
      <c r="E588" t="s">
        <v>183</v>
      </c>
      <c r="F588">
        <v>0</v>
      </c>
      <c r="G588">
        <v>0</v>
      </c>
      <c r="H588">
        <v>0</v>
      </c>
      <c r="I588">
        <v>23493</v>
      </c>
      <c r="J588" t="s">
        <v>1105</v>
      </c>
      <c r="K588">
        <v>307</v>
      </c>
      <c r="L588" t="str">
        <f>Hyperlink("http://www.seavest.co.za/inv/fpdf16/inv-preview.php?Id=42944","Click for Invoice PDF")</f>
        <v>Click for Invoice PDF</v>
      </c>
      <c r="M588"/>
    </row>
    <row r="589" spans="1:215">
      <c r="A589" t="s">
        <v>1107</v>
      </c>
      <c r="B589"/>
      <c r="C589" t="s">
        <v>67</v>
      </c>
      <c r="D589" t="s">
        <v>114</v>
      </c>
      <c r="E589" t="s">
        <v>209</v>
      </c>
      <c r="F589">
        <v>7148.45</v>
      </c>
      <c r="G589">
        <v>1072.27</v>
      </c>
      <c r="H589">
        <v>8220.719999999999</v>
      </c>
      <c r="I589">
        <v>23473</v>
      </c>
      <c r="J589" t="s">
        <v>1105</v>
      </c>
      <c r="K589">
        <v>240</v>
      </c>
      <c r="L589" t="str">
        <f>Hyperlink("http://www.seavest.co.za/inv/fpdf16/inv-preview.php?Id=43098","Click for Invoice PDF")</f>
        <v>Click for Invoice PDF</v>
      </c>
      <c r="M589"/>
    </row>
    <row r="590" spans="1:215">
      <c r="A590" t="s">
        <v>1108</v>
      </c>
      <c r="B590"/>
      <c r="C590" t="s">
        <v>67</v>
      </c>
      <c r="D590" t="s">
        <v>165</v>
      </c>
      <c r="E590" t="s">
        <v>196</v>
      </c>
      <c r="F590">
        <v>7202.04</v>
      </c>
      <c r="G590">
        <v>1080.31</v>
      </c>
      <c r="H590">
        <v>8282.35</v>
      </c>
      <c r="I590">
        <v>23286</v>
      </c>
      <c r="J590" t="s">
        <v>1109</v>
      </c>
      <c r="K590">
        <v>357</v>
      </c>
      <c r="L590" t="str">
        <f>Hyperlink("http://www.seavest.co.za/inv/fpdf16/inv-preview.php?Id=42788","Click for Invoice PDF")</f>
        <v>Click for Invoice PDF</v>
      </c>
      <c r="M590"/>
    </row>
    <row r="591" spans="1:215">
      <c r="A591" t="s">
        <v>1110</v>
      </c>
      <c r="B591"/>
      <c r="C591" t="s">
        <v>67</v>
      </c>
      <c r="D591" t="s">
        <v>915</v>
      </c>
      <c r="E591" t="s">
        <v>73</v>
      </c>
      <c r="F591">
        <v>8191.6</v>
      </c>
      <c r="G591">
        <v>1228.74</v>
      </c>
      <c r="H591">
        <v>9420.34</v>
      </c>
      <c r="I591">
        <v>20315</v>
      </c>
      <c r="J591" t="s">
        <v>1111</v>
      </c>
      <c r="K591">
        <v>596</v>
      </c>
      <c r="L591" t="str">
        <f>Hyperlink("http://www.seavest.co.za/inv/fpdf16/inv-preview.php?Id=40051","Click for Invoice PDF")</f>
        <v>Click for Invoice PDF</v>
      </c>
      <c r="M591"/>
    </row>
    <row r="592" spans="1:215">
      <c r="A592" t="s">
        <v>1112</v>
      </c>
      <c r="B592"/>
      <c r="C592" t="s">
        <v>14</v>
      </c>
      <c r="D592" t="s">
        <v>1113</v>
      </c>
      <c r="E592" t="s">
        <v>176</v>
      </c>
      <c r="F592">
        <v>7848.15</v>
      </c>
      <c r="G592">
        <v>1177.22</v>
      </c>
      <c r="H592">
        <v>9025.370000000001</v>
      </c>
      <c r="I592">
        <v>23984</v>
      </c>
      <c r="J592" t="s">
        <v>1114</v>
      </c>
      <c r="K592">
        <v>257</v>
      </c>
      <c r="L592" t="str">
        <f>Hyperlink("http://www.seavest.co.za/inv/fpdf16/inv-preview.php?Id=43182","Click for Invoice PDF")</f>
        <v>Click for Invoice PDF</v>
      </c>
      <c r="M592"/>
    </row>
    <row r="593" spans="1:215">
      <c r="A593" t="s">
        <v>1115</v>
      </c>
      <c r="B593"/>
      <c r="C593" t="s">
        <v>67</v>
      </c>
      <c r="D593" t="s">
        <v>72</v>
      </c>
      <c r="E593"/>
      <c r="F593">
        <v>9999999.99</v>
      </c>
      <c r="G593">
        <v>877.59</v>
      </c>
      <c r="H593">
        <v>7146.11</v>
      </c>
      <c r="I593">
        <v>25921</v>
      </c>
      <c r="J593" t="s">
        <v>1116</v>
      </c>
      <c r="K593">
        <v>3</v>
      </c>
      <c r="L593" t="str">
        <f>Hyperlink("http://www.seavest.co.za/inv/fpdf16/inv-preview.php?Id=44659","Click for Invoice PDF")</f>
        <v>Click for Invoice PDF</v>
      </c>
      <c r="M593"/>
    </row>
    <row r="594" spans="1:215">
      <c r="A594" t="s">
        <v>1117</v>
      </c>
      <c r="B594"/>
      <c r="C594" t="s">
        <v>14</v>
      </c>
      <c r="D594" t="s">
        <v>741</v>
      </c>
      <c r="E594" t="s">
        <v>176</v>
      </c>
      <c r="F594">
        <v>0</v>
      </c>
      <c r="G594">
        <v>0</v>
      </c>
      <c r="H594">
        <v>0</v>
      </c>
      <c r="I594">
        <v>24973</v>
      </c>
      <c r="J594" t="s">
        <v>1118</v>
      </c>
      <c r="K594">
        <v>139</v>
      </c>
      <c r="L594" t="str">
        <f>Hyperlink("http://www.seavest.co.za/inv/fpdf16/inv-preview.php?Id=44154","Click for Invoice PDF")</f>
        <v>Click for Invoice PDF</v>
      </c>
      <c r="M594"/>
    </row>
    <row r="595" spans="1:215">
      <c r="A595" t="s">
        <v>1119</v>
      </c>
      <c r="B595"/>
      <c r="C595" t="s">
        <v>67</v>
      </c>
      <c r="D595" t="s">
        <v>399</v>
      </c>
      <c r="E595" t="s">
        <v>73</v>
      </c>
      <c r="F595">
        <v>5582.4</v>
      </c>
      <c r="G595">
        <v>837.36</v>
      </c>
      <c r="H595">
        <v>6419.76</v>
      </c>
      <c r="I595">
        <v>24969</v>
      </c>
      <c r="J595" t="s">
        <v>1118</v>
      </c>
      <c r="K595">
        <v>139</v>
      </c>
      <c r="L595" t="str">
        <f>Hyperlink("http://www.seavest.co.za/inv/fpdf16/inv-preview.php?Id=44328","Click for Invoice PDF")</f>
        <v>Click for Invoice PDF</v>
      </c>
      <c r="M595"/>
    </row>
    <row r="596" spans="1:215">
      <c r="A596" t="s">
        <v>1120</v>
      </c>
      <c r="B596"/>
      <c r="C596" t="s">
        <v>67</v>
      </c>
      <c r="D596" t="s">
        <v>1121</v>
      </c>
      <c r="E596" t="s">
        <v>218</v>
      </c>
      <c r="F596">
        <v>8226.139999999999</v>
      </c>
      <c r="G596">
        <v>1233.92</v>
      </c>
      <c r="H596">
        <v>9460.059999999999</v>
      </c>
      <c r="I596">
        <v>24970</v>
      </c>
      <c r="J596" t="s">
        <v>1118</v>
      </c>
      <c r="K596">
        <v>139</v>
      </c>
      <c r="L596" t="str">
        <f>Hyperlink("http://www.seavest.co.za/inv/fpdf16/inv-preview.php?Id=44329","Click for Invoice PDF")</f>
        <v>Click for Invoice PDF</v>
      </c>
      <c r="M596"/>
    </row>
    <row r="597" spans="1:215">
      <c r="A597" t="s">
        <v>1122</v>
      </c>
      <c r="B597"/>
      <c r="C597" t="s">
        <v>67</v>
      </c>
      <c r="D597" t="s">
        <v>72</v>
      </c>
      <c r="E597" t="s">
        <v>73</v>
      </c>
      <c r="F597">
        <v>7690.35</v>
      </c>
      <c r="G597">
        <v>1153.55</v>
      </c>
      <c r="H597">
        <v>8843.9</v>
      </c>
      <c r="I597">
        <v>23570</v>
      </c>
      <c r="J597" t="s">
        <v>1123</v>
      </c>
      <c r="K597">
        <v>319</v>
      </c>
      <c r="L597" t="str">
        <f>Hyperlink("http://www.seavest.co.za/inv/fpdf16/inv-preview.php?Id=43007","Click for Invoice PDF")</f>
        <v>Click for Invoice PDF</v>
      </c>
      <c r="M597"/>
    </row>
    <row r="598" spans="1:215">
      <c r="A598" t="s">
        <v>1124</v>
      </c>
      <c r="B598"/>
      <c r="C598" t="s">
        <v>67</v>
      </c>
      <c r="D598" t="s">
        <v>665</v>
      </c>
      <c r="E598" t="s">
        <v>73</v>
      </c>
      <c r="F598">
        <v>3667.28</v>
      </c>
      <c r="G598">
        <v>513.42</v>
      </c>
      <c r="H598">
        <v>4180.7</v>
      </c>
      <c r="I598">
        <v>25780</v>
      </c>
      <c r="J598" t="s">
        <v>1125</v>
      </c>
      <c r="K598">
        <v>1</v>
      </c>
      <c r="L598" t="str">
        <f>Hyperlink("http://www.seavest.co.za/inv/fpdf16/inv-preview.php?Id=45021","Click for Invoice PDF")</f>
        <v>Click for Invoice PDF</v>
      </c>
      <c r="M598"/>
    </row>
    <row r="599" spans="1:215">
      <c r="A599" t="s">
        <v>1126</v>
      </c>
      <c r="B599"/>
      <c r="C599" t="s">
        <v>67</v>
      </c>
      <c r="D599" t="s">
        <v>1127</v>
      </c>
      <c r="E599" t="s">
        <v>73</v>
      </c>
      <c r="F599">
        <v>11125.95</v>
      </c>
      <c r="G599">
        <v>1668.89</v>
      </c>
      <c r="H599">
        <v>11125.95</v>
      </c>
      <c r="I599">
        <v>25763</v>
      </c>
      <c r="J599" t="s">
        <v>1125</v>
      </c>
      <c r="K599">
        <v>2</v>
      </c>
      <c r="L599" t="str">
        <f>Hyperlink("http://www.seavest.co.za/inv/fpdf16/inv-preview.php?Id=45016","Click for Invoice PDF")</f>
        <v>Click for Invoice PDF</v>
      </c>
      <c r="M599"/>
    </row>
    <row r="600" spans="1:215">
      <c r="A600" t="s">
        <v>1128</v>
      </c>
      <c r="B600"/>
      <c r="C600" t="s">
        <v>67</v>
      </c>
      <c r="D600" t="s">
        <v>1127</v>
      </c>
      <c r="E600" t="s">
        <v>73</v>
      </c>
      <c r="F600">
        <v>9999999.99</v>
      </c>
      <c r="G600">
        <v>737.52</v>
      </c>
      <c r="H600">
        <v>5654.29</v>
      </c>
      <c r="I600">
        <v>25758</v>
      </c>
      <c r="J600" t="s">
        <v>1125</v>
      </c>
      <c r="K600">
        <v>8</v>
      </c>
      <c r="L600" t="str">
        <f>Hyperlink("http://www.seavest.co.za/inv/fpdf16/inv-preview.php?Id=45012","Click for Invoice PDF")</f>
        <v>Click for Invoice PDF</v>
      </c>
      <c r="M600"/>
    </row>
    <row r="601" spans="1:215">
      <c r="A601" t="s">
        <v>1129</v>
      </c>
      <c r="B601"/>
      <c r="C601" t="s">
        <v>67</v>
      </c>
      <c r="D601" t="s">
        <v>883</v>
      </c>
      <c r="E601" t="s">
        <v>183</v>
      </c>
      <c r="F601">
        <v>1740</v>
      </c>
      <c r="G601">
        <v>261</v>
      </c>
      <c r="H601">
        <v>2001</v>
      </c>
      <c r="I601">
        <v>19944</v>
      </c>
      <c r="J601" t="s">
        <v>1130</v>
      </c>
      <c r="K601">
        <v>62</v>
      </c>
      <c r="L601" t="str">
        <f>Hyperlink("http://www.seavest.co.za/inv/fpdf16/inv-preview.php?Id=39614","Click for Invoice PDF")</f>
        <v>Click for Invoice PDF</v>
      </c>
      <c r="M601"/>
    </row>
    <row r="602" spans="1:215">
      <c r="A602" t="s">
        <v>1131</v>
      </c>
      <c r="B602"/>
      <c r="C602" t="s">
        <v>67</v>
      </c>
      <c r="D602" t="s">
        <v>104</v>
      </c>
      <c r="E602" t="s">
        <v>183</v>
      </c>
      <c r="F602">
        <v>3948.8</v>
      </c>
      <c r="G602">
        <v>592.3200000000001</v>
      </c>
      <c r="H602">
        <v>4541.12</v>
      </c>
      <c r="I602">
        <v>19926</v>
      </c>
      <c r="J602" t="s">
        <v>1130</v>
      </c>
      <c r="K602">
        <v>37</v>
      </c>
      <c r="L602" t="str">
        <f>Hyperlink("http://www.seavest.co.za/inv/fpdf16/inv-preview.php?Id=39649","Click for Invoice PDF")</f>
        <v>Click for Invoice PDF</v>
      </c>
      <c r="M602"/>
    </row>
    <row r="603" spans="1:215">
      <c r="A603" t="s">
        <v>1132</v>
      </c>
      <c r="B603"/>
      <c r="C603" t="s">
        <v>67</v>
      </c>
      <c r="D603" t="s">
        <v>631</v>
      </c>
      <c r="E603" t="s">
        <v>183</v>
      </c>
      <c r="F603">
        <v>4041.3</v>
      </c>
      <c r="G603">
        <v>606.2</v>
      </c>
      <c r="H603">
        <v>4647.5</v>
      </c>
      <c r="I603">
        <v>21109</v>
      </c>
      <c r="J603" t="s">
        <v>1133</v>
      </c>
      <c r="K603">
        <v>599</v>
      </c>
      <c r="L603" t="str">
        <f>Hyperlink("http://www.seavest.co.za/inv/fpdf16/inv-preview.php?Id=40815","Click for Invoice PDF")</f>
        <v>Click for Invoice PDF</v>
      </c>
      <c r="M603"/>
    </row>
    <row r="604" spans="1:215">
      <c r="A604" t="s">
        <v>1134</v>
      </c>
      <c r="B604"/>
      <c r="C604" t="s">
        <v>67</v>
      </c>
      <c r="D604" t="s">
        <v>151</v>
      </c>
      <c r="E604" t="s">
        <v>82</v>
      </c>
      <c r="F604">
        <v>7786.72</v>
      </c>
      <c r="G604">
        <v>1168.01</v>
      </c>
      <c r="H604">
        <v>8954.73</v>
      </c>
      <c r="I604">
        <v>23987</v>
      </c>
      <c r="J604" t="s">
        <v>1135</v>
      </c>
      <c r="K604">
        <v>264</v>
      </c>
      <c r="L604" t="str">
        <f>Hyperlink("http://www.seavest.co.za/inv/fpdf16/inv-preview.php?Id=43520","Click for Invoice PDF")</f>
        <v>Click for Invoice PDF</v>
      </c>
      <c r="M604"/>
    </row>
    <row r="605" spans="1:215">
      <c r="A605" t="s">
        <v>1136</v>
      </c>
      <c r="B605"/>
      <c r="C605" t="s">
        <v>67</v>
      </c>
      <c r="D605" t="s">
        <v>122</v>
      </c>
      <c r="E605" t="s">
        <v>183</v>
      </c>
      <c r="F605">
        <v>9903.700000000001</v>
      </c>
      <c r="G605">
        <v>1485.56</v>
      </c>
      <c r="H605">
        <v>11389.26</v>
      </c>
      <c r="I605">
        <v>23794</v>
      </c>
      <c r="J605" t="s">
        <v>1135</v>
      </c>
      <c r="K605">
        <v>246</v>
      </c>
      <c r="L605" t="str">
        <f>Hyperlink("http://www.seavest.co.za/inv/fpdf16/inv-preview.php?Id=42941","Click for Invoice PDF")</f>
        <v>Click for Invoice PDF</v>
      </c>
      <c r="M605"/>
    </row>
    <row r="606" spans="1:215">
      <c r="A606" t="s">
        <v>1137</v>
      </c>
      <c r="B606"/>
      <c r="C606" t="s">
        <v>67</v>
      </c>
      <c r="D606" t="s">
        <v>1138</v>
      </c>
      <c r="E606" t="s">
        <v>209</v>
      </c>
      <c r="F606">
        <v>9291.52</v>
      </c>
      <c r="G606">
        <v>1393.73</v>
      </c>
      <c r="H606">
        <v>10685.25</v>
      </c>
      <c r="I606">
        <v>23986</v>
      </c>
      <c r="J606" t="s">
        <v>1135</v>
      </c>
      <c r="K606">
        <v>264</v>
      </c>
      <c r="L606" t="str">
        <f>Hyperlink("http://www.seavest.co.za/inv/fpdf16/inv-preview.php?Id=43516","Click for Invoice PDF")</f>
        <v>Click for Invoice PDF</v>
      </c>
      <c r="M606"/>
    </row>
    <row r="607" spans="1:215">
      <c r="A607" t="s">
        <v>1139</v>
      </c>
      <c r="B607"/>
      <c r="C607" t="s">
        <v>67</v>
      </c>
      <c r="D607" t="s">
        <v>750</v>
      </c>
      <c r="E607" t="s">
        <v>82</v>
      </c>
      <c r="F607">
        <v>4328.05</v>
      </c>
      <c r="G607">
        <v>649.21</v>
      </c>
      <c r="H607">
        <v>4977.26</v>
      </c>
      <c r="I607">
        <v>23988</v>
      </c>
      <c r="J607" t="s">
        <v>1135</v>
      </c>
      <c r="K607">
        <v>264</v>
      </c>
      <c r="L607" t="str">
        <f>Hyperlink("http://www.seavest.co.za/inv/fpdf16/inv-preview.php?Id=43527","Click for Invoice PDF")</f>
        <v>Click for Invoice PDF</v>
      </c>
      <c r="M607"/>
    </row>
    <row r="608" spans="1:215">
      <c r="A608" t="s">
        <v>1140</v>
      </c>
      <c r="B608"/>
      <c r="C608" t="s">
        <v>14</v>
      </c>
      <c r="D608" t="s">
        <v>60</v>
      </c>
      <c r="E608" t="s">
        <v>176</v>
      </c>
      <c r="F608">
        <v>10672.44</v>
      </c>
      <c r="G608">
        <v>1600.87</v>
      </c>
      <c r="H608">
        <v>12273.31</v>
      </c>
      <c r="I608">
        <v>25357</v>
      </c>
      <c r="J608" t="s">
        <v>1141</v>
      </c>
      <c r="K608">
        <v>83</v>
      </c>
      <c r="L608" t="str">
        <f>Hyperlink("http://www.seavest.co.za/inv/fpdf16/inv-preview.php?Id=44660","Click for Invoice PDF")</f>
        <v>Click for Invoice PDF</v>
      </c>
      <c r="M608"/>
    </row>
    <row r="609" spans="1:215">
      <c r="A609" t="s">
        <v>1142</v>
      </c>
      <c r="B609"/>
      <c r="C609" t="s">
        <v>67</v>
      </c>
      <c r="D609" t="s">
        <v>1096</v>
      </c>
      <c r="E609" t="s">
        <v>73</v>
      </c>
      <c r="F609">
        <v>6744.2</v>
      </c>
      <c r="G609">
        <v>1011.63</v>
      </c>
      <c r="H609">
        <v>7755.83</v>
      </c>
      <c r="I609">
        <v>25359</v>
      </c>
      <c r="J609" t="s">
        <v>1141</v>
      </c>
      <c r="K609">
        <v>79</v>
      </c>
      <c r="L609" t="str">
        <f>Hyperlink("http://www.seavest.co.za/inv/fpdf16/inv-preview.php?Id=44656","Click for Invoice PDF")</f>
        <v>Click for Invoice PDF</v>
      </c>
      <c r="M609"/>
    </row>
    <row r="610" spans="1:215">
      <c r="A610" t="s">
        <v>1143</v>
      </c>
      <c r="B610"/>
      <c r="C610" t="s">
        <v>67</v>
      </c>
      <c r="D610" t="s">
        <v>1096</v>
      </c>
      <c r="E610" t="s">
        <v>73</v>
      </c>
      <c r="F610">
        <v>11507</v>
      </c>
      <c r="G610">
        <v>1726.05</v>
      </c>
      <c r="H610">
        <v>13233.05</v>
      </c>
      <c r="I610">
        <v>22064</v>
      </c>
      <c r="J610" t="s">
        <v>1144</v>
      </c>
      <c r="K610">
        <v>479</v>
      </c>
      <c r="L610" t="str">
        <f>Hyperlink("http://www.seavest.co.za/inv/fpdf16/inv-preview.php?Id=41620","Click for Invoice PDF")</f>
        <v>Click for Invoice PDF</v>
      </c>
      <c r="M610"/>
    </row>
    <row r="611" spans="1:215">
      <c r="A611" t="s">
        <v>1145</v>
      </c>
      <c r="B611"/>
      <c r="C611" t="s">
        <v>67</v>
      </c>
      <c r="D611" t="s">
        <v>1096</v>
      </c>
      <c r="E611" t="s">
        <v>73</v>
      </c>
      <c r="F611">
        <v>8922.959999999999</v>
      </c>
      <c r="G611">
        <v>1338.44</v>
      </c>
      <c r="H611">
        <v>10261.4</v>
      </c>
      <c r="I611">
        <v>22057</v>
      </c>
      <c r="J611" t="s">
        <v>1144</v>
      </c>
      <c r="K611">
        <v>479</v>
      </c>
      <c r="L611" t="str">
        <f>Hyperlink("http://www.seavest.co.za/inv/fpdf16/inv-preview.php?Id=41627","Click for Invoice PDF")</f>
        <v>Click for Invoice PDF</v>
      </c>
      <c r="M611"/>
    </row>
    <row r="612" spans="1:215">
      <c r="A612" t="s">
        <v>1146</v>
      </c>
      <c r="B612"/>
      <c r="C612" t="s">
        <v>14</v>
      </c>
      <c r="D612" t="s">
        <v>52</v>
      </c>
      <c r="E612" t="s">
        <v>176</v>
      </c>
      <c r="F612">
        <v>6915.4</v>
      </c>
      <c r="G612">
        <v>1037.31</v>
      </c>
      <c r="H612">
        <v>7952.71</v>
      </c>
      <c r="I612">
        <v>24960</v>
      </c>
      <c r="J612" t="s">
        <v>1147</v>
      </c>
      <c r="K612">
        <v>135</v>
      </c>
      <c r="L612" t="str">
        <f>Hyperlink("http://www.seavest.co.za/inv/fpdf16/inv-preview.php?Id=44273","Click for Invoice PDF")</f>
        <v>Click for Invoice PDF</v>
      </c>
      <c r="M612"/>
    </row>
    <row r="613" spans="1:215">
      <c r="A613" t="s">
        <v>1148</v>
      </c>
      <c r="B613" t="s">
        <v>1149</v>
      </c>
      <c r="C613" t="s">
        <v>14</v>
      </c>
      <c r="D613" t="s">
        <v>307</v>
      </c>
      <c r="E613" t="s">
        <v>485</v>
      </c>
      <c r="F613">
        <v>0</v>
      </c>
      <c r="G613">
        <v>0</v>
      </c>
      <c r="H613">
        <v>0</v>
      </c>
      <c r="I613">
        <v>20648</v>
      </c>
      <c r="J613" t="s">
        <v>1150</v>
      </c>
      <c r="K613">
        <v>309</v>
      </c>
      <c r="L613" t="str">
        <f>Hyperlink("http://www.seavest.co.za/inv/fpdf16/inv-preview.php?Id=40330","Click for Invoice PDF")</f>
        <v>Click for Invoice PDF</v>
      </c>
      <c r="M613"/>
    </row>
    <row r="614" spans="1:215">
      <c r="A614" t="s">
        <v>1151</v>
      </c>
      <c r="B614"/>
      <c r="C614" t="s">
        <v>67</v>
      </c>
      <c r="D614" t="s">
        <v>1152</v>
      </c>
      <c r="E614" t="s">
        <v>294</v>
      </c>
      <c r="F614">
        <v>1261.16</v>
      </c>
      <c r="G614">
        <v>189.17</v>
      </c>
      <c r="H614">
        <v>1450.33</v>
      </c>
      <c r="I614">
        <v>20281</v>
      </c>
      <c r="J614" t="s">
        <v>1153</v>
      </c>
      <c r="K614">
        <v>21</v>
      </c>
      <c r="L614" t="str">
        <f>Hyperlink("http://www.seavest.co.za/inv/fpdf16/inv-preview.php?Id=40008","Click for Invoice PDF")</f>
        <v>Click for Invoice PDF</v>
      </c>
      <c r="M614"/>
    </row>
    <row r="615" spans="1:215">
      <c r="A615" t="s">
        <v>1154</v>
      </c>
      <c r="B615"/>
      <c r="C615" t="s">
        <v>67</v>
      </c>
      <c r="D615" t="s">
        <v>1127</v>
      </c>
      <c r="E615" t="s">
        <v>73</v>
      </c>
      <c r="F615">
        <v>9999999.99</v>
      </c>
      <c r="G615">
        <v>429.42</v>
      </c>
      <c r="H615">
        <v>3292.24</v>
      </c>
      <c r="I615">
        <v>25903</v>
      </c>
      <c r="J615" t="s">
        <v>1155</v>
      </c>
      <c r="K615">
        <v>6</v>
      </c>
      <c r="L615" t="str">
        <f>Hyperlink("http://www.seavest.co.za/inv/fpdf16/inv-preview.php?Id=45013","Click for Invoice PDF")</f>
        <v>Click for Invoice PDF</v>
      </c>
      <c r="M615"/>
    </row>
    <row r="616" spans="1:215">
      <c r="A616" t="s">
        <v>1156</v>
      </c>
      <c r="B616"/>
      <c r="C616" t="s">
        <v>67</v>
      </c>
      <c r="D616" t="s">
        <v>665</v>
      </c>
      <c r="E616" t="s">
        <v>73</v>
      </c>
      <c r="F616">
        <v>8187.02</v>
      </c>
      <c r="G616">
        <v>1228.05</v>
      </c>
      <c r="H616">
        <v>9415.07</v>
      </c>
      <c r="I616">
        <v>25728</v>
      </c>
      <c r="J616" t="s">
        <v>1155</v>
      </c>
      <c r="K616">
        <v>14</v>
      </c>
      <c r="L616" t="str">
        <f>Hyperlink("http://www.seavest.co.za/inv/fpdf16/inv-preview.php?Id=44994","Click for Invoice PDF")</f>
        <v>Click for Invoice PDF</v>
      </c>
      <c r="M616"/>
    </row>
    <row r="617" spans="1:215">
      <c r="A617" t="s">
        <v>1157</v>
      </c>
      <c r="B617"/>
      <c r="C617" t="s">
        <v>67</v>
      </c>
      <c r="D617" t="s">
        <v>1158</v>
      </c>
      <c r="E617" t="s">
        <v>218</v>
      </c>
      <c r="F617">
        <v>2921.64</v>
      </c>
      <c r="G617">
        <v>438.25</v>
      </c>
      <c r="H617">
        <v>3359.89</v>
      </c>
      <c r="I617">
        <v>25795</v>
      </c>
      <c r="J617" t="s">
        <v>1155</v>
      </c>
      <c r="K617">
        <v>6</v>
      </c>
      <c r="L617" t="str">
        <f>Hyperlink("http://www.seavest.co.za/inv/fpdf16/inv-preview.php?Id=45030","Click for Invoice PDF")</f>
        <v>Click for Invoice PDF</v>
      </c>
      <c r="M617"/>
    </row>
    <row r="618" spans="1:215">
      <c r="A618" t="s">
        <v>1159</v>
      </c>
      <c r="B618"/>
      <c r="C618" t="s">
        <v>67</v>
      </c>
      <c r="D618" t="s">
        <v>140</v>
      </c>
      <c r="E618" t="s">
        <v>82</v>
      </c>
      <c r="F618">
        <v>964</v>
      </c>
      <c r="G618">
        <v>144.6</v>
      </c>
      <c r="H618">
        <v>1108.6</v>
      </c>
      <c r="I618">
        <v>23921</v>
      </c>
      <c r="J618" t="s">
        <v>1160</v>
      </c>
      <c r="K618">
        <v>216</v>
      </c>
      <c r="L618" t="str">
        <f>Hyperlink("http://www.seavest.co.za/inv/fpdf16/inv-preview.php?Id=43471","Click for Invoice PDF")</f>
        <v>Click for Invoice PDF</v>
      </c>
      <c r="M618"/>
    </row>
    <row r="619" spans="1:215">
      <c r="A619" t="s">
        <v>1161</v>
      </c>
      <c r="B619"/>
      <c r="C619" t="s">
        <v>67</v>
      </c>
      <c r="D619" t="s">
        <v>883</v>
      </c>
      <c r="E619" t="s">
        <v>82</v>
      </c>
      <c r="F619">
        <v>10461.9</v>
      </c>
      <c r="G619">
        <v>1569.29</v>
      </c>
      <c r="H619">
        <v>12031.19</v>
      </c>
      <c r="I619">
        <v>24072</v>
      </c>
      <c r="J619" t="s">
        <v>1160</v>
      </c>
      <c r="K619">
        <v>229</v>
      </c>
      <c r="L619" t="str">
        <f>Hyperlink("http://www.seavest.co.za/inv/fpdf16/inv-preview.php?Id=43607","Click for Invoice PDF")</f>
        <v>Click for Invoice PDF</v>
      </c>
      <c r="M619"/>
    </row>
    <row r="620" spans="1:215">
      <c r="A620" t="s">
        <v>1162</v>
      </c>
      <c r="B620"/>
      <c r="C620" t="s">
        <v>67</v>
      </c>
      <c r="D620" t="s">
        <v>95</v>
      </c>
      <c r="E620" t="s">
        <v>259</v>
      </c>
      <c r="F620">
        <v>9743.719999999999</v>
      </c>
      <c r="G620">
        <v>1461.56</v>
      </c>
      <c r="H620">
        <v>11205.28</v>
      </c>
      <c r="I620">
        <v>24229</v>
      </c>
      <c r="J620" t="s">
        <v>1160</v>
      </c>
      <c r="K620">
        <v>230</v>
      </c>
      <c r="L620" t="str">
        <f>Hyperlink("http://www.seavest.co.za/inv/fpdf16/inv-preview.php?Id=43667","Click for Invoice PDF")</f>
        <v>Click for Invoice PDF</v>
      </c>
      <c r="M620"/>
    </row>
    <row r="621" spans="1:215">
      <c r="A621" t="s">
        <v>1163</v>
      </c>
      <c r="B621"/>
      <c r="C621" t="s">
        <v>67</v>
      </c>
      <c r="D621" t="s">
        <v>559</v>
      </c>
      <c r="E621" t="s">
        <v>183</v>
      </c>
      <c r="F621">
        <v>9136.02</v>
      </c>
      <c r="G621">
        <v>1370.4</v>
      </c>
      <c r="H621">
        <v>10506.42</v>
      </c>
      <c r="I621">
        <v>23997</v>
      </c>
      <c r="J621" t="s">
        <v>1164</v>
      </c>
      <c r="K621">
        <v>259</v>
      </c>
      <c r="L621" t="str">
        <f>Hyperlink("http://www.seavest.co.za/inv/fpdf16/inv-preview.php?Id=42858","Click for Invoice PDF")</f>
        <v>Click for Invoice PDF</v>
      </c>
      <c r="M621"/>
    </row>
    <row r="622" spans="1:215">
      <c r="A622" t="s">
        <v>1165</v>
      </c>
      <c r="B622"/>
      <c r="C622" t="s">
        <v>67</v>
      </c>
      <c r="D622" t="s">
        <v>622</v>
      </c>
      <c r="E622" t="s">
        <v>73</v>
      </c>
      <c r="F622">
        <v>4403.58</v>
      </c>
      <c r="G622">
        <v>616.5</v>
      </c>
      <c r="H622">
        <v>5020.08</v>
      </c>
      <c r="I622">
        <v>25364</v>
      </c>
      <c r="J622" t="s">
        <v>1166</v>
      </c>
      <c r="K622">
        <v>1</v>
      </c>
      <c r="L622" t="str">
        <f>Hyperlink("http://www.seavest.co.za/inv/fpdf16/inv-preview.php?Id=44632","Click for Invoice PDF")</f>
        <v>Click for Invoice PDF</v>
      </c>
      <c r="M622"/>
    </row>
    <row r="623" spans="1:215">
      <c r="A623" t="s">
        <v>1167</v>
      </c>
      <c r="B623"/>
      <c r="C623" t="s">
        <v>67</v>
      </c>
      <c r="D623" t="s">
        <v>722</v>
      </c>
      <c r="E623" t="s">
        <v>176</v>
      </c>
      <c r="F623">
        <v>17819.24</v>
      </c>
      <c r="G623">
        <v>2672.89</v>
      </c>
      <c r="H623">
        <v>20492.13</v>
      </c>
      <c r="I623">
        <v>25230</v>
      </c>
      <c r="J623" t="s">
        <v>1166</v>
      </c>
      <c r="K623">
        <v>79</v>
      </c>
      <c r="L623" t="str">
        <f>Hyperlink("http://www.seavest.co.za/inv/fpdf16/inv-preview.php?Id=44029","Click for Invoice PDF")</f>
        <v>Click for Invoice PDF</v>
      </c>
      <c r="M623"/>
    </row>
    <row r="624" spans="1:215">
      <c r="A624" t="s">
        <v>1168</v>
      </c>
      <c r="B624"/>
      <c r="C624" t="s">
        <v>14</v>
      </c>
      <c r="D624" t="s">
        <v>1169</v>
      </c>
      <c r="E624" t="s">
        <v>176</v>
      </c>
      <c r="F624">
        <v>8766.799999999999</v>
      </c>
      <c r="G624">
        <v>1315.02</v>
      </c>
      <c r="H624">
        <v>10081.82</v>
      </c>
      <c r="I624">
        <v>25366</v>
      </c>
      <c r="J624" t="s">
        <v>1166</v>
      </c>
      <c r="K624">
        <v>83</v>
      </c>
      <c r="L624" t="str">
        <f>Hyperlink("http://www.seavest.co.za/inv/fpdf16/inv-preview.php?Id=44666","Click for Invoice PDF")</f>
        <v>Click for Invoice PDF</v>
      </c>
      <c r="M624"/>
    </row>
    <row r="625" spans="1:215">
      <c r="A625" t="s">
        <v>1170</v>
      </c>
      <c r="B625"/>
      <c r="C625" t="s">
        <v>67</v>
      </c>
      <c r="D625" t="s">
        <v>800</v>
      </c>
      <c r="E625" t="s">
        <v>209</v>
      </c>
      <c r="F625">
        <v>42626.4</v>
      </c>
      <c r="G625">
        <v>6393.96</v>
      </c>
      <c r="H625">
        <v>49020.36</v>
      </c>
      <c r="I625">
        <v>21793</v>
      </c>
      <c r="J625" t="s">
        <v>1171</v>
      </c>
      <c r="K625">
        <v>477</v>
      </c>
      <c r="L625" t="str">
        <f>Hyperlink("http://www.seavest.co.za/inv/fpdf16/inv-preview.php?Id=41381","Click for Invoice PDF")</f>
        <v>Click for Invoice PDF</v>
      </c>
      <c r="M625"/>
    </row>
    <row r="626" spans="1:215">
      <c r="A626" t="s">
        <v>1172</v>
      </c>
      <c r="B626"/>
      <c r="C626" t="s">
        <v>67</v>
      </c>
      <c r="D626" t="s">
        <v>1173</v>
      </c>
      <c r="E626" t="s">
        <v>209</v>
      </c>
      <c r="F626">
        <v>42418.15</v>
      </c>
      <c r="G626">
        <v>6362.72</v>
      </c>
      <c r="H626">
        <v>48780.87</v>
      </c>
      <c r="I626">
        <v>20260</v>
      </c>
      <c r="J626" t="s">
        <v>1174</v>
      </c>
      <c r="K626">
        <v>587</v>
      </c>
      <c r="L626" t="str">
        <f>Hyperlink("http://www.seavest.co.za/inv/fpdf16/inv-preview.php?Id=39951","Click for Invoice PDF")</f>
        <v>Click for Invoice PDF</v>
      </c>
      <c r="M626"/>
    </row>
    <row r="627" spans="1:215">
      <c r="A627" t="s">
        <v>1175</v>
      </c>
      <c r="B627"/>
      <c r="C627" t="s">
        <v>67</v>
      </c>
      <c r="D627" t="s">
        <v>127</v>
      </c>
      <c r="E627" t="s">
        <v>196</v>
      </c>
      <c r="F627">
        <v>8770.360000000001</v>
      </c>
      <c r="G627">
        <v>1315.55</v>
      </c>
      <c r="H627">
        <v>10085.91</v>
      </c>
      <c r="I627">
        <v>25802</v>
      </c>
      <c r="J627" t="s">
        <v>1176</v>
      </c>
      <c r="K627">
        <v>6</v>
      </c>
      <c r="L627" t="str">
        <f>Hyperlink("http://www.seavest.co.za/inv/fpdf16/inv-preview.php?Id=45036","Click for Invoice PDF")</f>
        <v>Click for Invoice PDF</v>
      </c>
      <c r="M627"/>
    </row>
    <row r="628" spans="1:215">
      <c r="A628" t="s">
        <v>1177</v>
      </c>
      <c r="B628"/>
      <c r="C628" t="s">
        <v>67</v>
      </c>
      <c r="D628" t="s">
        <v>130</v>
      </c>
      <c r="E628" t="s">
        <v>73</v>
      </c>
      <c r="F628">
        <v>5467.08</v>
      </c>
      <c r="G628">
        <v>820.0599999999999</v>
      </c>
      <c r="H628">
        <v>6287.14</v>
      </c>
      <c r="I628">
        <v>25575</v>
      </c>
      <c r="J628" t="s">
        <v>1178</v>
      </c>
      <c r="K628">
        <v>20</v>
      </c>
      <c r="L628" t="str">
        <f>Hyperlink("http://www.seavest.co.za/inv/fpdf16/inv-preview.php?Id=44881","Click for Invoice PDF")</f>
        <v>Click for Invoice PDF</v>
      </c>
      <c r="M628"/>
    </row>
    <row r="629" spans="1:215">
      <c r="A629" t="s">
        <v>1179</v>
      </c>
      <c r="B629"/>
      <c r="C629" t="s">
        <v>67</v>
      </c>
      <c r="D629" t="s">
        <v>77</v>
      </c>
      <c r="E629" t="s">
        <v>82</v>
      </c>
      <c r="F629">
        <v>14771.88</v>
      </c>
      <c r="G629">
        <v>2215.78</v>
      </c>
      <c r="H629">
        <v>16987.66</v>
      </c>
      <c r="I629">
        <v>25598</v>
      </c>
      <c r="J629" t="s">
        <v>1178</v>
      </c>
      <c r="K629">
        <v>20</v>
      </c>
      <c r="L629" t="str">
        <f>Hyperlink("http://www.seavest.co.za/inv/fpdf16/inv-preview.php?Id=44888","Click for Invoice PDF")</f>
        <v>Click for Invoice PDF</v>
      </c>
      <c r="M629"/>
    </row>
    <row r="630" spans="1:215">
      <c r="A630" t="s">
        <v>1180</v>
      </c>
      <c r="B630"/>
      <c r="C630" t="s">
        <v>67</v>
      </c>
      <c r="D630" t="s">
        <v>221</v>
      </c>
      <c r="E630" t="s">
        <v>73</v>
      </c>
      <c r="F630">
        <v>9658.719999999999</v>
      </c>
      <c r="G630">
        <v>0</v>
      </c>
      <c r="H630">
        <v>9658.719999999999</v>
      </c>
      <c r="I630">
        <v>0</v>
      </c>
      <c r="J630" t="s">
        <v>1178</v>
      </c>
      <c r="K630">
        <v>20</v>
      </c>
      <c r="L630" t="str">
        <f>Hyperlink("http://www.seavest.co.za/inv/fpdf16/inv-preview.php?Id=44827","Click for Invoice PDF")</f>
        <v>Click for Invoice PDF</v>
      </c>
      <c r="M630"/>
    </row>
    <row r="631" spans="1:215">
      <c r="A631" t="s">
        <v>1181</v>
      </c>
      <c r="B631"/>
      <c r="C631" t="s">
        <v>67</v>
      </c>
      <c r="D631" t="s">
        <v>95</v>
      </c>
      <c r="E631" t="s">
        <v>259</v>
      </c>
      <c r="F631">
        <v>6367.9</v>
      </c>
      <c r="G631">
        <v>955.1900000000001</v>
      </c>
      <c r="H631">
        <v>7323.09</v>
      </c>
      <c r="I631">
        <v>25603</v>
      </c>
      <c r="J631" t="s">
        <v>1178</v>
      </c>
      <c r="K631">
        <v>20</v>
      </c>
      <c r="L631" t="str">
        <f>Hyperlink("http://www.seavest.co.za/inv/fpdf16/inv-preview.php?Id=44740","Click for Invoice PDF")</f>
        <v>Click for Invoice PDF</v>
      </c>
      <c r="M631"/>
    </row>
    <row r="632" spans="1:215">
      <c r="A632" t="s">
        <v>1182</v>
      </c>
      <c r="B632"/>
      <c r="C632" t="s">
        <v>67</v>
      </c>
      <c r="D632" t="s">
        <v>72</v>
      </c>
      <c r="E632" t="s">
        <v>73</v>
      </c>
      <c r="F632">
        <v>3495</v>
      </c>
      <c r="G632">
        <v>524.25</v>
      </c>
      <c r="H632">
        <v>4019.25</v>
      </c>
      <c r="I632">
        <v>25373</v>
      </c>
      <c r="J632" t="s">
        <v>1183</v>
      </c>
      <c r="K632">
        <v>1</v>
      </c>
      <c r="L632" t="str">
        <f>Hyperlink("http://www.seavest.co.za/inv/fpdf16/inv-preview.php?Id=44644","Click for Invoice PDF")</f>
        <v>Click for Invoice PDF</v>
      </c>
      <c r="M632"/>
    </row>
    <row r="633" spans="1:215">
      <c r="A633" t="s">
        <v>1184</v>
      </c>
      <c r="B633"/>
      <c r="C633" t="s">
        <v>14</v>
      </c>
      <c r="D633" t="s">
        <v>30</v>
      </c>
      <c r="E633" t="s">
        <v>176</v>
      </c>
      <c r="F633">
        <v>7512.96</v>
      </c>
      <c r="G633">
        <v>1126.94</v>
      </c>
      <c r="H633">
        <v>8639.9</v>
      </c>
      <c r="I633">
        <v>25382</v>
      </c>
      <c r="J633" t="s">
        <v>1183</v>
      </c>
      <c r="K633">
        <v>76</v>
      </c>
      <c r="L633" t="str">
        <f>Hyperlink("http://www.seavest.co.za/inv/fpdf16/inv-preview.php?Id=44678","Click for Invoice PDF")</f>
        <v>Click for Invoice PDF</v>
      </c>
      <c r="M633"/>
    </row>
    <row r="634" spans="1:215">
      <c r="A634" t="s">
        <v>1185</v>
      </c>
      <c r="B634"/>
      <c r="C634" t="s">
        <v>67</v>
      </c>
      <c r="D634" t="s">
        <v>622</v>
      </c>
      <c r="E634" t="s">
        <v>73</v>
      </c>
      <c r="F634">
        <v>94745.52</v>
      </c>
      <c r="G634">
        <v>14211.83</v>
      </c>
      <c r="H634">
        <v>108957.35</v>
      </c>
      <c r="I634">
        <v>21489</v>
      </c>
      <c r="J634" t="s">
        <v>1186</v>
      </c>
      <c r="K634">
        <v>477</v>
      </c>
      <c r="L634" t="str">
        <f>Hyperlink("http://www.seavest.co.za/inv/fpdf16/inv-preview.php?Id=40796","Click for Invoice PDF")</f>
        <v>Click for Invoice PDF</v>
      </c>
      <c r="M634"/>
    </row>
    <row r="635" spans="1:215">
      <c r="A635" t="s">
        <v>1187</v>
      </c>
      <c r="B635" t="s">
        <v>1188</v>
      </c>
      <c r="C635" t="s">
        <v>67</v>
      </c>
      <c r="D635" t="s">
        <v>1189</v>
      </c>
      <c r="E635" t="s">
        <v>196</v>
      </c>
      <c r="F635">
        <v>7618.17</v>
      </c>
      <c r="G635">
        <v>1142.73</v>
      </c>
      <c r="H635">
        <v>8760.9</v>
      </c>
      <c r="I635">
        <v>22123</v>
      </c>
      <c r="J635" t="s">
        <v>1186</v>
      </c>
      <c r="K635">
        <v>456</v>
      </c>
      <c r="L635" t="str">
        <f>Hyperlink("http://www.seavest.co.za/inv/fpdf16/inv-preview.php?Id=41661","Click for Invoice PDF")</f>
        <v>Click for Invoice PDF</v>
      </c>
      <c r="M635"/>
    </row>
    <row r="636" spans="1:215">
      <c r="A636" t="s">
        <v>1190</v>
      </c>
      <c r="B636"/>
      <c r="C636" t="s">
        <v>67</v>
      </c>
      <c r="D636" t="s">
        <v>70</v>
      </c>
      <c r="E636" t="s">
        <v>209</v>
      </c>
      <c r="F636">
        <v>7747.2</v>
      </c>
      <c r="G636">
        <v>1162.08</v>
      </c>
      <c r="H636">
        <v>8909.280000000001</v>
      </c>
      <c r="I636">
        <v>24507</v>
      </c>
      <c r="J636" t="s">
        <v>1191</v>
      </c>
      <c r="K636">
        <v>203</v>
      </c>
      <c r="L636" t="str">
        <f>Hyperlink("http://www.seavest.co.za/inv/fpdf16/inv-preview.php?Id=43955","Click for Invoice PDF")</f>
        <v>Click for Invoice PDF</v>
      </c>
      <c r="M636"/>
    </row>
    <row r="637" spans="1:215">
      <c r="A637" t="s">
        <v>1192</v>
      </c>
      <c r="B637"/>
      <c r="C637" t="s">
        <v>67</v>
      </c>
      <c r="D637" t="s">
        <v>217</v>
      </c>
      <c r="E637" t="s">
        <v>218</v>
      </c>
      <c r="F637">
        <v>7297.6</v>
      </c>
      <c r="G637">
        <v>1094.64</v>
      </c>
      <c r="H637">
        <v>8392.24</v>
      </c>
      <c r="I637">
        <v>0</v>
      </c>
      <c r="J637" t="s">
        <v>1191</v>
      </c>
      <c r="K637">
        <v>204</v>
      </c>
      <c r="L637" t="str">
        <f>Hyperlink("http://www.seavest.co.za/inv/fpdf16/inv-preview.php?Id=43929","Click for Invoice PDF")</f>
        <v>Click for Invoice PDF</v>
      </c>
      <c r="M637"/>
    </row>
    <row r="638" spans="1:215">
      <c r="A638" t="s">
        <v>1193</v>
      </c>
      <c r="B638"/>
      <c r="C638" t="s">
        <v>67</v>
      </c>
      <c r="D638" t="s">
        <v>362</v>
      </c>
      <c r="E638" t="s">
        <v>176</v>
      </c>
      <c r="F638">
        <v>2379.36</v>
      </c>
      <c r="G638">
        <v>356.9</v>
      </c>
      <c r="H638">
        <v>2736.26</v>
      </c>
      <c r="I638">
        <v>24479</v>
      </c>
      <c r="J638" t="s">
        <v>1191</v>
      </c>
      <c r="K638">
        <v>204</v>
      </c>
      <c r="L638" t="str">
        <f>Hyperlink("http://www.seavest.co.za/inv/fpdf16/inv-preview.php?Id=43789","Click for Invoice PDF")</f>
        <v>Click for Invoice PDF</v>
      </c>
      <c r="M638"/>
    </row>
    <row r="639" spans="1:215">
      <c r="A639" t="s">
        <v>1194</v>
      </c>
      <c r="B639"/>
      <c r="C639" t="s">
        <v>67</v>
      </c>
      <c r="D639" t="s">
        <v>91</v>
      </c>
      <c r="E639" t="s">
        <v>218</v>
      </c>
      <c r="F639">
        <v>9999999.99</v>
      </c>
      <c r="G639">
        <v>353.85</v>
      </c>
      <c r="H639">
        <v>2712.85</v>
      </c>
      <c r="I639">
        <v>24494</v>
      </c>
      <c r="J639" t="s">
        <v>1191</v>
      </c>
      <c r="K639">
        <v>204</v>
      </c>
      <c r="L639" t="str">
        <f>Hyperlink("http://www.seavest.co.za/inv/fpdf16/inv-preview.php?Id=43956","Click for Invoice PDF")</f>
        <v>Click for Invoice PDF</v>
      </c>
      <c r="M639"/>
    </row>
    <row r="640" spans="1:215">
      <c r="A640" t="s">
        <v>1195</v>
      </c>
      <c r="B640"/>
      <c r="C640" t="s">
        <v>14</v>
      </c>
      <c r="D640" t="s">
        <v>191</v>
      </c>
      <c r="E640" t="s">
        <v>176</v>
      </c>
      <c r="F640">
        <v>19795.14</v>
      </c>
      <c r="G640">
        <v>2969.27</v>
      </c>
      <c r="H640">
        <v>22764.41</v>
      </c>
      <c r="I640">
        <v>23308</v>
      </c>
      <c r="J640" t="s">
        <v>1196</v>
      </c>
      <c r="K640">
        <v>260</v>
      </c>
      <c r="L640" t="str">
        <f>Hyperlink("http://www.seavest.co.za/inv/fpdf16/inv-preview.php?Id=42907","Click for Invoice PDF")</f>
        <v>Click for Invoice PDF</v>
      </c>
      <c r="M640"/>
    </row>
    <row r="641" spans="1:215">
      <c r="A641" t="s">
        <v>1197</v>
      </c>
      <c r="B641"/>
      <c r="C641" t="s">
        <v>67</v>
      </c>
      <c r="D641" t="s">
        <v>151</v>
      </c>
      <c r="E641" t="s">
        <v>183</v>
      </c>
      <c r="F641">
        <v>5769</v>
      </c>
      <c r="G641">
        <v>865.35</v>
      </c>
      <c r="H641">
        <v>6634.35</v>
      </c>
      <c r="I641">
        <v>23309</v>
      </c>
      <c r="J641" t="s">
        <v>1196</v>
      </c>
      <c r="K641">
        <v>329</v>
      </c>
      <c r="L641" t="str">
        <f>Hyperlink("http://www.seavest.co.za/inv/fpdf16/inv-preview.php?Id=42911","Click for Invoice PDF")</f>
        <v>Click for Invoice PDF</v>
      </c>
      <c r="M641"/>
    </row>
    <row r="642" spans="1:215">
      <c r="A642" t="s">
        <v>1198</v>
      </c>
      <c r="B642"/>
      <c r="C642" t="s">
        <v>67</v>
      </c>
      <c r="D642" t="s">
        <v>365</v>
      </c>
      <c r="E642" t="s">
        <v>82</v>
      </c>
      <c r="F642">
        <v>6393.86</v>
      </c>
      <c r="G642">
        <v>959.08</v>
      </c>
      <c r="H642">
        <v>7352.94</v>
      </c>
      <c r="I642">
        <v>25805</v>
      </c>
      <c r="J642" t="s">
        <v>1199</v>
      </c>
      <c r="K642">
        <v>6</v>
      </c>
      <c r="L642" t="str">
        <f>Hyperlink("http://www.seavest.co.za/inv/fpdf16/inv-preview.php?Id=45034","Click for Invoice PDF")</f>
        <v>Click for Invoice PDF</v>
      </c>
      <c r="M642"/>
    </row>
    <row r="643" spans="1:215">
      <c r="A643" t="s">
        <v>1200</v>
      </c>
      <c r="B643"/>
      <c r="C643" t="s">
        <v>67</v>
      </c>
      <c r="D643" t="s">
        <v>1201</v>
      </c>
      <c r="E643" t="s">
        <v>259</v>
      </c>
      <c r="F643">
        <v>4049.74</v>
      </c>
      <c r="G643">
        <v>607.46</v>
      </c>
      <c r="H643">
        <v>4657.2</v>
      </c>
      <c r="I643">
        <v>25817</v>
      </c>
      <c r="J643" t="s">
        <v>1199</v>
      </c>
      <c r="K643">
        <v>14</v>
      </c>
      <c r="L643" t="str">
        <f>Hyperlink("http://www.seavest.co.za/inv/fpdf16/inv-preview.php?Id=45049","Click for Invoice PDF")</f>
        <v>Click for Invoice PDF</v>
      </c>
      <c r="M643"/>
    </row>
    <row r="644" spans="1:215">
      <c r="A644" t="s">
        <v>1202</v>
      </c>
      <c r="B644"/>
      <c r="C644" t="s">
        <v>67</v>
      </c>
      <c r="D644" t="s">
        <v>1203</v>
      </c>
      <c r="E644" t="s">
        <v>73</v>
      </c>
      <c r="F644">
        <v>8409.1</v>
      </c>
      <c r="G644">
        <v>1261.37</v>
      </c>
      <c r="H644">
        <v>9670.469999999999</v>
      </c>
      <c r="I644">
        <v>21476</v>
      </c>
      <c r="J644" t="s">
        <v>1204</v>
      </c>
      <c r="K644">
        <v>532</v>
      </c>
      <c r="L644" t="str">
        <f>Hyperlink("http://www.seavest.co.za/inv/fpdf16/inv-preview.php?Id=40776","Click for Invoice PDF")</f>
        <v>Click for Invoice PDF</v>
      </c>
      <c r="M644"/>
    </row>
    <row r="645" spans="1:215">
      <c r="A645" t="s">
        <v>1205</v>
      </c>
      <c r="B645"/>
      <c r="C645" t="s">
        <v>67</v>
      </c>
      <c r="D645" t="s">
        <v>114</v>
      </c>
      <c r="E645" t="s">
        <v>259</v>
      </c>
      <c r="F645">
        <v>15506.29</v>
      </c>
      <c r="G645">
        <v>2325.94</v>
      </c>
      <c r="H645">
        <v>17832.23</v>
      </c>
      <c r="I645">
        <v>25450</v>
      </c>
      <c r="J645" t="s">
        <v>1206</v>
      </c>
      <c r="K645">
        <v>20</v>
      </c>
      <c r="L645" t="str">
        <f>Hyperlink("http://www.seavest.co.za/inv/fpdf16/inv-preview.php?Id=44757","Click for Invoice PDF")</f>
        <v>Click for Invoice PDF</v>
      </c>
      <c r="M645"/>
    </row>
    <row r="646" spans="1:215">
      <c r="A646" t="s">
        <v>1207</v>
      </c>
      <c r="B646"/>
      <c r="C646" t="s">
        <v>67</v>
      </c>
      <c r="D646" t="s">
        <v>341</v>
      </c>
      <c r="E646" t="s">
        <v>196</v>
      </c>
      <c r="F646">
        <v>12694.36</v>
      </c>
      <c r="G646">
        <v>0</v>
      </c>
      <c r="H646">
        <v>12694.36</v>
      </c>
      <c r="I646">
        <v>0</v>
      </c>
      <c r="J646" t="s">
        <v>1206</v>
      </c>
      <c r="K646">
        <v>20</v>
      </c>
      <c r="L646" t="str">
        <f>Hyperlink("http://www.seavest.co.za/inv/fpdf16/inv-preview.php?Id=44861","Click for Invoice PDF")</f>
        <v>Click for Invoice PDF</v>
      </c>
      <c r="M646"/>
    </row>
    <row r="647" spans="1:215">
      <c r="A647" t="s">
        <v>1208</v>
      </c>
      <c r="B647"/>
      <c r="C647" t="s">
        <v>67</v>
      </c>
      <c r="D647" t="s">
        <v>1209</v>
      </c>
      <c r="E647"/>
      <c r="F647">
        <v>8697.280000000001</v>
      </c>
      <c r="G647">
        <v>1217.62</v>
      </c>
      <c r="H647">
        <v>9914.9</v>
      </c>
      <c r="I647">
        <v>25605</v>
      </c>
      <c r="J647" t="s">
        <v>1206</v>
      </c>
      <c r="K647">
        <v>3</v>
      </c>
      <c r="L647" t="str">
        <f>Hyperlink("http://www.seavest.co.za/inv/fpdf16/inv-preview.php?Id=44898","Click for Invoice PDF")</f>
        <v>Click for Invoice PDF</v>
      </c>
      <c r="M647"/>
    </row>
    <row r="648" spans="1:215">
      <c r="A648" t="s">
        <v>1210</v>
      </c>
      <c r="B648"/>
      <c r="C648" t="s">
        <v>67</v>
      </c>
      <c r="D648" t="s">
        <v>1211</v>
      </c>
      <c r="E648" t="s">
        <v>183</v>
      </c>
      <c r="F648">
        <v>7872.92</v>
      </c>
      <c r="G648">
        <v>1180.94</v>
      </c>
      <c r="H648">
        <v>9053.860000000001</v>
      </c>
      <c r="I648">
        <v>22425</v>
      </c>
      <c r="J648" t="s">
        <v>1212</v>
      </c>
      <c r="K648">
        <v>404</v>
      </c>
      <c r="L648" t="str">
        <f>Hyperlink("http://www.seavest.co.za/inv/fpdf16/inv-preview.php?Id=41935","Click for Invoice PDF")</f>
        <v>Click for Invoice PDF</v>
      </c>
      <c r="M648"/>
    </row>
    <row r="649" spans="1:215">
      <c r="A649" t="s">
        <v>1213</v>
      </c>
      <c r="B649"/>
      <c r="C649" t="s">
        <v>67</v>
      </c>
      <c r="D649" t="s">
        <v>1214</v>
      </c>
      <c r="E649" t="s">
        <v>259</v>
      </c>
      <c r="F649">
        <v>2809.6</v>
      </c>
      <c r="G649">
        <v>421.44</v>
      </c>
      <c r="H649">
        <v>3231.04</v>
      </c>
      <c r="I649">
        <v>19640</v>
      </c>
      <c r="J649" t="s">
        <v>1215</v>
      </c>
      <c r="K649">
        <v>37</v>
      </c>
      <c r="L649" t="str">
        <f>Hyperlink("http://www.seavest.co.za/inv/fpdf16/inv-preview.php?Id=39375","Click for Invoice PDF")</f>
        <v>Click for Invoice PDF</v>
      </c>
      <c r="M649"/>
    </row>
    <row r="650" spans="1:215">
      <c r="A650" t="s">
        <v>1216</v>
      </c>
      <c r="B650"/>
      <c r="C650" t="s">
        <v>67</v>
      </c>
      <c r="D650" t="s">
        <v>449</v>
      </c>
      <c r="E650" t="s">
        <v>183</v>
      </c>
      <c r="F650">
        <v>8174.2</v>
      </c>
      <c r="G650">
        <v>1144.39</v>
      </c>
      <c r="H650">
        <v>9318.59</v>
      </c>
      <c r="I650">
        <v>22109</v>
      </c>
      <c r="J650" t="s">
        <v>1217</v>
      </c>
      <c r="K650">
        <v>21</v>
      </c>
      <c r="L650" t="str">
        <f>Hyperlink("http://www.seavest.co.za/inv/fpdf16/inv-preview.php?Id=41689","Click for Invoice PDF")</f>
        <v>Click for Invoice PDF</v>
      </c>
      <c r="M650"/>
    </row>
    <row r="651" spans="1:215">
      <c r="A651" t="s">
        <v>1218</v>
      </c>
      <c r="B651"/>
      <c r="C651" t="s">
        <v>67</v>
      </c>
      <c r="D651" t="s">
        <v>449</v>
      </c>
      <c r="E651" t="s">
        <v>183</v>
      </c>
      <c r="F651">
        <v>8530.200000000001</v>
      </c>
      <c r="G651">
        <v>1194.23</v>
      </c>
      <c r="H651">
        <v>9724.43</v>
      </c>
      <c r="I651">
        <v>22110</v>
      </c>
      <c r="J651" t="s">
        <v>1217</v>
      </c>
      <c r="K651">
        <v>21</v>
      </c>
      <c r="L651" t="str">
        <f>Hyperlink("http://www.seavest.co.za/inv/fpdf16/inv-preview.php?Id=41690","Click for Invoice PDF")</f>
        <v>Click for Invoice PDF</v>
      </c>
      <c r="M651"/>
    </row>
    <row r="652" spans="1:215">
      <c r="A652" t="s">
        <v>1219</v>
      </c>
      <c r="B652"/>
      <c r="C652" t="s">
        <v>67</v>
      </c>
      <c r="D652" t="s">
        <v>449</v>
      </c>
      <c r="E652" t="s">
        <v>183</v>
      </c>
      <c r="F652">
        <v>13424.6</v>
      </c>
      <c r="G652">
        <v>2013.69</v>
      </c>
      <c r="H652">
        <v>15438.29</v>
      </c>
      <c r="I652">
        <v>22111</v>
      </c>
      <c r="J652" t="s">
        <v>1217</v>
      </c>
      <c r="K652">
        <v>474</v>
      </c>
      <c r="L652" t="str">
        <f>Hyperlink("http://www.seavest.co.za/inv/fpdf16/inv-preview.php?Id=41691","Click for Invoice PDF")</f>
        <v>Click for Invoice PDF</v>
      </c>
      <c r="M652"/>
    </row>
    <row r="653" spans="1:215">
      <c r="A653" t="s">
        <v>1220</v>
      </c>
      <c r="B653" t="s">
        <v>1221</v>
      </c>
      <c r="C653" t="s">
        <v>67</v>
      </c>
      <c r="D653" t="s">
        <v>1222</v>
      </c>
      <c r="E653" t="s">
        <v>183</v>
      </c>
      <c r="F653">
        <v>0</v>
      </c>
      <c r="G653">
        <v>0</v>
      </c>
      <c r="H653">
        <v>0</v>
      </c>
      <c r="I653">
        <v>21436</v>
      </c>
      <c r="J653" t="s">
        <v>1223</v>
      </c>
      <c r="K653">
        <v>308</v>
      </c>
      <c r="L653" t="str">
        <f>Hyperlink("http://www.seavest.co.za/inv/fpdf16/inv-preview.php?Id=40997","Click for Invoice PDF")</f>
        <v>Click for Invoice PDF</v>
      </c>
      <c r="M653"/>
    </row>
    <row r="654" spans="1:215">
      <c r="A654" t="s">
        <v>1224</v>
      </c>
      <c r="B654"/>
      <c r="C654" t="s">
        <v>14</v>
      </c>
      <c r="D654" t="s">
        <v>28</v>
      </c>
      <c r="E654" t="s">
        <v>176</v>
      </c>
      <c r="F654">
        <v>11390.1</v>
      </c>
      <c r="G654">
        <v>1708.52</v>
      </c>
      <c r="H654">
        <v>13098.62</v>
      </c>
      <c r="I654">
        <v>24253</v>
      </c>
      <c r="J654" t="s">
        <v>1225</v>
      </c>
      <c r="K654">
        <v>197</v>
      </c>
      <c r="L654" t="str">
        <f>Hyperlink("http://www.seavest.co.za/inv/fpdf16/inv-preview.php?Id=43725","Click for Invoice PDF")</f>
        <v>Click for Invoice PDF</v>
      </c>
      <c r="M654"/>
    </row>
    <row r="655" spans="1:215">
      <c r="A655" t="s">
        <v>1226</v>
      </c>
      <c r="B655"/>
      <c r="C655" t="s">
        <v>14</v>
      </c>
      <c r="D655" t="s">
        <v>52</v>
      </c>
      <c r="E655" t="s">
        <v>176</v>
      </c>
      <c r="F655">
        <v>0</v>
      </c>
      <c r="G655">
        <v>0</v>
      </c>
      <c r="H655">
        <v>0</v>
      </c>
      <c r="I655">
        <v>24500</v>
      </c>
      <c r="J655" t="s">
        <v>1225</v>
      </c>
      <c r="K655">
        <v>197</v>
      </c>
      <c r="L655" t="str">
        <f>Hyperlink("http://www.seavest.co.za/inv/fpdf16/inv-preview.php?Id=43758","Click for Invoice PDF")</f>
        <v>Click for Invoice PDF</v>
      </c>
      <c r="M655"/>
    </row>
    <row r="656" spans="1:215">
      <c r="A656" t="s">
        <v>1227</v>
      </c>
      <c r="B656"/>
      <c r="C656" t="s">
        <v>14</v>
      </c>
      <c r="D656" t="s">
        <v>1070</v>
      </c>
      <c r="E656" t="s">
        <v>176</v>
      </c>
      <c r="F656">
        <v>0</v>
      </c>
      <c r="G656">
        <v>0</v>
      </c>
      <c r="H656">
        <v>0</v>
      </c>
      <c r="I656">
        <v>24501</v>
      </c>
      <c r="J656" t="s">
        <v>1225</v>
      </c>
      <c r="K656">
        <v>197</v>
      </c>
      <c r="L656" t="str">
        <f>Hyperlink("http://www.seavest.co.za/inv/fpdf16/inv-preview.php?Id=43779","Click for Invoice PDF")</f>
        <v>Click for Invoice PDF</v>
      </c>
      <c r="M656"/>
    </row>
    <row r="657" spans="1:215">
      <c r="A657" t="s">
        <v>1228</v>
      </c>
      <c r="B657"/>
      <c r="C657" t="s">
        <v>14</v>
      </c>
      <c r="D657" t="s">
        <v>231</v>
      </c>
      <c r="E657" t="s">
        <v>176</v>
      </c>
      <c r="F657">
        <v>5264.56</v>
      </c>
      <c r="G657">
        <v>789.6799999999999</v>
      </c>
      <c r="H657">
        <v>6054.24</v>
      </c>
      <c r="I657">
        <v>24502</v>
      </c>
      <c r="J657" t="s">
        <v>1225</v>
      </c>
      <c r="K657">
        <v>197</v>
      </c>
      <c r="L657" t="str">
        <f>Hyperlink("http://www.seavest.co.za/inv/fpdf16/inv-preview.php?Id=43950","Click for Invoice PDF")</f>
        <v>Click for Invoice PDF</v>
      </c>
      <c r="M657"/>
    </row>
    <row r="658" spans="1:215">
      <c r="A658" t="s">
        <v>1229</v>
      </c>
      <c r="B658"/>
      <c r="C658" t="s">
        <v>67</v>
      </c>
      <c r="D658" t="s">
        <v>1230</v>
      </c>
      <c r="E658" t="s">
        <v>196</v>
      </c>
      <c r="F658">
        <v>4762.32</v>
      </c>
      <c r="G658">
        <v>714.35</v>
      </c>
      <c r="H658">
        <v>5476.67</v>
      </c>
      <c r="I658">
        <v>24489</v>
      </c>
      <c r="J658" t="s">
        <v>1225</v>
      </c>
      <c r="K658">
        <v>203</v>
      </c>
      <c r="L658" t="str">
        <f>Hyperlink("http://www.seavest.co.za/inv/fpdf16/inv-preview.php?Id=43927","Click for Invoice PDF")</f>
        <v>Click for Invoice PDF</v>
      </c>
      <c r="M658"/>
    </row>
    <row r="659" spans="1:215">
      <c r="A659" t="s">
        <v>1231</v>
      </c>
      <c r="B659"/>
      <c r="C659" t="s">
        <v>14</v>
      </c>
      <c r="D659" t="s">
        <v>58</v>
      </c>
      <c r="E659" t="s">
        <v>176</v>
      </c>
      <c r="F659">
        <v>5303.02</v>
      </c>
      <c r="G659">
        <v>795.45</v>
      </c>
      <c r="H659">
        <v>6098.47</v>
      </c>
      <c r="I659">
        <v>24911</v>
      </c>
      <c r="J659" t="s">
        <v>1232</v>
      </c>
      <c r="K659">
        <v>132</v>
      </c>
      <c r="L659" t="str">
        <f>Hyperlink("http://www.seavest.co.za/inv/fpdf16/inv-preview.php?Id=44267","Click for Invoice PDF")</f>
        <v>Click for Invoice PDF</v>
      </c>
      <c r="M659"/>
    </row>
    <row r="660" spans="1:215">
      <c r="A660" t="s">
        <v>1233</v>
      </c>
      <c r="B660"/>
      <c r="C660" t="s">
        <v>14</v>
      </c>
      <c r="D660" t="s">
        <v>619</v>
      </c>
      <c r="E660" t="s">
        <v>176</v>
      </c>
      <c r="F660">
        <v>8198</v>
      </c>
      <c r="G660">
        <v>1229.7</v>
      </c>
      <c r="H660">
        <v>9427.700000000001</v>
      </c>
      <c r="I660">
        <v>24997</v>
      </c>
      <c r="J660" t="s">
        <v>1232</v>
      </c>
      <c r="K660">
        <v>135</v>
      </c>
      <c r="L660" t="str">
        <f>Hyperlink("http://www.seavest.co.za/inv/fpdf16/inv-preview.php?Id=44337","Click for Invoice PDF")</f>
        <v>Click for Invoice PDF</v>
      </c>
      <c r="M660"/>
    </row>
    <row r="661" spans="1:215">
      <c r="A661" t="s">
        <v>1234</v>
      </c>
      <c r="B661"/>
      <c r="C661" t="s">
        <v>67</v>
      </c>
      <c r="D661" t="s">
        <v>136</v>
      </c>
      <c r="E661" t="s">
        <v>82</v>
      </c>
      <c r="F661">
        <v>4546.72</v>
      </c>
      <c r="G661">
        <v>682.01</v>
      </c>
      <c r="H661">
        <v>5228.73</v>
      </c>
      <c r="I661">
        <v>24993</v>
      </c>
      <c r="J661" t="s">
        <v>1232</v>
      </c>
      <c r="K661">
        <v>135</v>
      </c>
      <c r="L661" t="str">
        <f>Hyperlink("http://www.seavest.co.za/inv/fpdf16/inv-preview.php?Id=44298","Click for Invoice PDF")</f>
        <v>Click for Invoice PDF</v>
      </c>
      <c r="M661"/>
    </row>
    <row r="662" spans="1:215">
      <c r="A662" t="s">
        <v>1235</v>
      </c>
      <c r="B662"/>
      <c r="C662" t="s">
        <v>67</v>
      </c>
      <c r="D662" t="s">
        <v>127</v>
      </c>
      <c r="E662" t="s">
        <v>196</v>
      </c>
      <c r="F662">
        <v>2580.66</v>
      </c>
      <c r="G662">
        <v>387.1</v>
      </c>
      <c r="H662">
        <v>2967.76</v>
      </c>
      <c r="I662">
        <v>24994</v>
      </c>
      <c r="J662" t="s">
        <v>1232</v>
      </c>
      <c r="K662">
        <v>135</v>
      </c>
      <c r="L662" t="str">
        <f>Hyperlink("http://www.seavest.co.za/inv/fpdf16/inv-preview.php?Id=44299","Click for Invoice PDF")</f>
        <v>Click for Invoice PDF</v>
      </c>
      <c r="M662"/>
    </row>
    <row r="663" spans="1:215">
      <c r="A663" t="s">
        <v>1236</v>
      </c>
      <c r="B663"/>
      <c r="C663" t="s">
        <v>67</v>
      </c>
      <c r="D663" t="s">
        <v>262</v>
      </c>
      <c r="E663" t="s">
        <v>176</v>
      </c>
      <c r="F663">
        <v>13826</v>
      </c>
      <c r="G663">
        <v>2073.9</v>
      </c>
      <c r="H663">
        <v>15899.9</v>
      </c>
      <c r="I663">
        <v>25012</v>
      </c>
      <c r="J663" t="s">
        <v>1232</v>
      </c>
      <c r="K663">
        <v>135</v>
      </c>
      <c r="L663" t="str">
        <f>Hyperlink("http://www.seavest.co.za/inv/fpdf16/inv-preview.php?Id=44342","Click for Invoice PDF")</f>
        <v>Click for Invoice PDF</v>
      </c>
      <c r="M663"/>
    </row>
    <row r="664" spans="1:215">
      <c r="A664" t="s">
        <v>1237</v>
      </c>
      <c r="B664"/>
      <c r="C664" t="s">
        <v>67</v>
      </c>
      <c r="D664" t="s">
        <v>1023</v>
      </c>
      <c r="E664" t="s">
        <v>73</v>
      </c>
      <c r="F664">
        <v>4772.6</v>
      </c>
      <c r="G664">
        <v>715.89</v>
      </c>
      <c r="H664">
        <v>5488.49</v>
      </c>
      <c r="I664">
        <v>24999</v>
      </c>
      <c r="J664" t="s">
        <v>1232</v>
      </c>
      <c r="K664">
        <v>135</v>
      </c>
      <c r="L664" t="str">
        <f>Hyperlink("http://www.seavest.co.za/inv/fpdf16/inv-preview.php?Id=44343","Click for Invoice PDF")</f>
        <v>Click for Invoice PDF</v>
      </c>
      <c r="M664"/>
    </row>
    <row r="665" spans="1:215">
      <c r="A665" t="s">
        <v>1238</v>
      </c>
      <c r="B665"/>
      <c r="C665" t="s">
        <v>67</v>
      </c>
      <c r="D665" t="s">
        <v>1239</v>
      </c>
      <c r="E665" t="s">
        <v>196</v>
      </c>
      <c r="F665">
        <v>0</v>
      </c>
      <c r="G665">
        <v>0</v>
      </c>
      <c r="H665">
        <v>0</v>
      </c>
      <c r="I665">
        <v>23521</v>
      </c>
      <c r="J665" t="s">
        <v>1240</v>
      </c>
      <c r="K665">
        <v>319</v>
      </c>
      <c r="L665" t="str">
        <f>Hyperlink("http://www.seavest.co.za/inv/fpdf16/inv-preview.php?Id=42671","Click for Invoice PDF")</f>
        <v>Click for Invoice PDF</v>
      </c>
      <c r="M665"/>
    </row>
    <row r="666" spans="1:215">
      <c r="A666" t="s">
        <v>1241</v>
      </c>
      <c r="B666"/>
      <c r="C666" t="s">
        <v>67</v>
      </c>
      <c r="D666" t="s">
        <v>114</v>
      </c>
      <c r="E666" t="s">
        <v>209</v>
      </c>
      <c r="F666">
        <v>0</v>
      </c>
      <c r="G666">
        <v>0</v>
      </c>
      <c r="H666">
        <v>0</v>
      </c>
      <c r="I666">
        <v>23513</v>
      </c>
      <c r="J666" t="s">
        <v>1240</v>
      </c>
      <c r="K666">
        <v>319</v>
      </c>
      <c r="L666" t="str">
        <f>Hyperlink("http://www.seavest.co.za/inv/fpdf16/inv-preview.php?Id=43097","Click for Invoice PDF")</f>
        <v>Click for Invoice PDF</v>
      </c>
      <c r="M666"/>
    </row>
    <row r="667" spans="1:215">
      <c r="A667" t="s">
        <v>1242</v>
      </c>
      <c r="B667"/>
      <c r="C667" t="s">
        <v>67</v>
      </c>
      <c r="D667" t="s">
        <v>114</v>
      </c>
      <c r="E667" t="s">
        <v>209</v>
      </c>
      <c r="F667">
        <v>0</v>
      </c>
      <c r="G667">
        <v>0</v>
      </c>
      <c r="H667">
        <v>0</v>
      </c>
      <c r="I667">
        <v>23512</v>
      </c>
      <c r="J667" t="s">
        <v>1240</v>
      </c>
      <c r="K667">
        <v>319</v>
      </c>
      <c r="L667" t="str">
        <f>Hyperlink("http://www.seavest.co.za/inv/fpdf16/inv-preview.php?Id=43118","Click for Invoice PDF")</f>
        <v>Click for Invoice PDF</v>
      </c>
      <c r="M667"/>
    </row>
    <row r="668" spans="1:215">
      <c r="A668" t="s">
        <v>1243</v>
      </c>
      <c r="B668"/>
      <c r="C668" t="s">
        <v>67</v>
      </c>
      <c r="D668" t="s">
        <v>1084</v>
      </c>
      <c r="E668" t="s">
        <v>209</v>
      </c>
      <c r="F668">
        <v>1400</v>
      </c>
      <c r="G668">
        <v>210</v>
      </c>
      <c r="H668">
        <v>1610</v>
      </c>
      <c r="I668">
        <v>20031</v>
      </c>
      <c r="J668" t="s">
        <v>1244</v>
      </c>
      <c r="K668">
        <v>62</v>
      </c>
      <c r="L668" t="str">
        <f>Hyperlink("http://www.seavest.co.za/inv/fpdf16/inv-preview.php?Id=39771","Click for Invoice PDF")</f>
        <v>Click for Invoice PDF</v>
      </c>
      <c r="M668"/>
    </row>
    <row r="669" spans="1:215">
      <c r="A669" t="s">
        <v>1245</v>
      </c>
      <c r="B669"/>
      <c r="C669" t="s">
        <v>67</v>
      </c>
      <c r="D669" t="s">
        <v>75</v>
      </c>
      <c r="E669" t="s">
        <v>209</v>
      </c>
      <c r="F669">
        <v>4753</v>
      </c>
      <c r="G669">
        <v>712.95</v>
      </c>
      <c r="H669">
        <v>5465.95</v>
      </c>
      <c r="I669">
        <v>20083</v>
      </c>
      <c r="J669" t="s">
        <v>1244</v>
      </c>
      <c r="K669">
        <v>37</v>
      </c>
      <c r="L669" t="str">
        <f>Hyperlink("http://www.seavest.co.za/inv/fpdf16/inv-preview.php?Id=39799","Click for Invoice PDF")</f>
        <v>Click for Invoice PDF</v>
      </c>
      <c r="M669"/>
    </row>
    <row r="670" spans="1:215">
      <c r="A670" t="s">
        <v>1246</v>
      </c>
      <c r="B670"/>
      <c r="C670" t="s">
        <v>67</v>
      </c>
      <c r="D670" t="s">
        <v>1247</v>
      </c>
      <c r="E670" t="s">
        <v>238</v>
      </c>
      <c r="F670">
        <v>4958.6</v>
      </c>
      <c r="G670">
        <v>743.79</v>
      </c>
      <c r="H670">
        <v>5702.39</v>
      </c>
      <c r="I670">
        <v>20079</v>
      </c>
      <c r="J670" t="s">
        <v>1244</v>
      </c>
      <c r="K670">
        <v>34</v>
      </c>
      <c r="L670" t="str">
        <f>Hyperlink("http://www.seavest.co.za/inv/fpdf16/inv-preview.php?Id=39844","Click for Invoice PDF")</f>
        <v>Click for Invoice PDF</v>
      </c>
      <c r="M670"/>
    </row>
    <row r="671" spans="1:215">
      <c r="A671" t="s">
        <v>1248</v>
      </c>
      <c r="B671"/>
      <c r="C671" t="s">
        <v>67</v>
      </c>
      <c r="D671" t="s">
        <v>72</v>
      </c>
      <c r="E671" t="s">
        <v>73</v>
      </c>
      <c r="F671">
        <v>5314</v>
      </c>
      <c r="G671">
        <v>797.1</v>
      </c>
      <c r="H671">
        <v>6111.1</v>
      </c>
      <c r="I671">
        <v>23062</v>
      </c>
      <c r="J671" t="s">
        <v>1249</v>
      </c>
      <c r="K671">
        <v>308</v>
      </c>
      <c r="L671" t="str">
        <f>Hyperlink("http://www.seavest.co.za/inv/fpdf16/inv-preview.php?Id=42620","Click for Invoice PDF")</f>
        <v>Click for Invoice PDF</v>
      </c>
      <c r="M671"/>
    </row>
    <row r="672" spans="1:215">
      <c r="A672" t="s">
        <v>1250</v>
      </c>
      <c r="B672"/>
      <c r="C672" t="s">
        <v>67</v>
      </c>
      <c r="D672" t="s">
        <v>1251</v>
      </c>
      <c r="E672" t="s">
        <v>209</v>
      </c>
      <c r="F672">
        <v>278325.37</v>
      </c>
      <c r="G672">
        <v>41748.81</v>
      </c>
      <c r="H672">
        <v>320074.18</v>
      </c>
      <c r="I672">
        <v>22127</v>
      </c>
      <c r="J672" t="s">
        <v>1252</v>
      </c>
      <c r="K672">
        <v>414</v>
      </c>
      <c r="L672" t="str">
        <f>Hyperlink("http://www.seavest.co.za/inv/fpdf16/inv-preview.php?Id=41630","Click for Invoice PDF")</f>
        <v>Click for Invoice PDF</v>
      </c>
      <c r="M672"/>
    </row>
    <row r="673" spans="1:215">
      <c r="A673" t="s">
        <v>1253</v>
      </c>
      <c r="B673"/>
      <c r="C673" t="s">
        <v>14</v>
      </c>
      <c r="D673" t="s">
        <v>41</v>
      </c>
      <c r="E673" t="s">
        <v>176</v>
      </c>
      <c r="F673">
        <v>11798.68</v>
      </c>
      <c r="G673">
        <v>1769.8</v>
      </c>
      <c r="H673">
        <v>13568.48</v>
      </c>
      <c r="I673">
        <v>24014</v>
      </c>
      <c r="J673" t="s">
        <v>1254</v>
      </c>
      <c r="K673">
        <v>260</v>
      </c>
      <c r="L673" t="str">
        <f>Hyperlink("http://www.seavest.co.za/inv/fpdf16/inv-preview.php?Id=43507","Click for Invoice PDF")</f>
        <v>Click for Invoice PDF</v>
      </c>
      <c r="M673"/>
    </row>
    <row r="674" spans="1:215">
      <c r="A674" t="s">
        <v>1255</v>
      </c>
      <c r="B674"/>
      <c r="C674" t="s">
        <v>14</v>
      </c>
      <c r="D674" t="s">
        <v>47</v>
      </c>
      <c r="E674" t="s">
        <v>176</v>
      </c>
      <c r="F674">
        <v>4139.9</v>
      </c>
      <c r="G674">
        <v>620.99</v>
      </c>
      <c r="H674">
        <v>4760.89</v>
      </c>
      <c r="I674">
        <v>24015</v>
      </c>
      <c r="J674" t="s">
        <v>1254</v>
      </c>
      <c r="K674">
        <v>258</v>
      </c>
      <c r="L674" t="str">
        <f>Hyperlink("http://www.seavest.co.za/inv/fpdf16/inv-preview.php?Id=43540","Click for Invoice PDF")</f>
        <v>Click for Invoice PDF</v>
      </c>
      <c r="M674"/>
    </row>
    <row r="675" spans="1:215">
      <c r="A675" t="s">
        <v>1256</v>
      </c>
      <c r="B675" t="s">
        <v>1257</v>
      </c>
      <c r="C675" t="s">
        <v>67</v>
      </c>
      <c r="D675" t="s">
        <v>95</v>
      </c>
      <c r="E675" t="s">
        <v>183</v>
      </c>
      <c r="F675">
        <v>28513.7</v>
      </c>
      <c r="G675">
        <v>4277.06</v>
      </c>
      <c r="H675">
        <v>32790.76</v>
      </c>
      <c r="I675">
        <v>22415</v>
      </c>
      <c r="J675" t="s">
        <v>1258</v>
      </c>
      <c r="K675">
        <v>272</v>
      </c>
      <c r="L675" t="str">
        <f>Hyperlink("http://www.seavest.co.za/inv/fpdf16/inv-preview.php?Id=41977","Click for Invoice PDF")</f>
        <v>Click for Invoice PDF</v>
      </c>
      <c r="M675"/>
    </row>
    <row r="676" spans="1:215">
      <c r="A676" t="s">
        <v>1259</v>
      </c>
      <c r="B676" t="s">
        <v>1260</v>
      </c>
      <c r="C676" t="s">
        <v>67</v>
      </c>
      <c r="D676" t="s">
        <v>217</v>
      </c>
      <c r="E676" t="s">
        <v>218</v>
      </c>
      <c r="F676">
        <v>7070.7</v>
      </c>
      <c r="G676">
        <v>1060.61</v>
      </c>
      <c r="H676">
        <v>8131.31</v>
      </c>
      <c r="I676">
        <v>21889</v>
      </c>
      <c r="J676" t="s">
        <v>1261</v>
      </c>
      <c r="K676">
        <v>405</v>
      </c>
      <c r="L676" t="str">
        <f>Hyperlink("http://www.seavest.co.za/inv/fpdf16/inv-preview.php?Id=41461","Click for Invoice PDF")</f>
        <v>Click for Invoice PDF</v>
      </c>
      <c r="M676"/>
    </row>
    <row r="677" spans="1:215">
      <c r="A677" t="s">
        <v>1262</v>
      </c>
      <c r="B677"/>
      <c r="C677" t="s">
        <v>14</v>
      </c>
      <c r="D677" t="s">
        <v>45</v>
      </c>
      <c r="E677" t="s">
        <v>176</v>
      </c>
      <c r="F677">
        <v>1853.32</v>
      </c>
      <c r="G677">
        <v>278</v>
      </c>
      <c r="H677">
        <v>2131.32</v>
      </c>
      <c r="I677">
        <v>25003</v>
      </c>
      <c r="J677" t="s">
        <v>1263</v>
      </c>
      <c r="K677">
        <v>135</v>
      </c>
      <c r="L677" t="str">
        <f>Hyperlink("http://www.seavest.co.za/inv/fpdf16/inv-preview.php?Id=44359","Click for Invoice PDF")</f>
        <v>Click for Invoice PDF</v>
      </c>
      <c r="M677"/>
    </row>
    <row r="678" spans="1:215">
      <c r="A678" t="s">
        <v>1264</v>
      </c>
      <c r="B678"/>
      <c r="C678" t="s">
        <v>67</v>
      </c>
      <c r="D678" t="s">
        <v>95</v>
      </c>
      <c r="E678" t="s">
        <v>259</v>
      </c>
      <c r="F678">
        <v>13361.2</v>
      </c>
      <c r="G678">
        <v>2004.18</v>
      </c>
      <c r="H678">
        <v>15365.38</v>
      </c>
      <c r="I678">
        <v>24980</v>
      </c>
      <c r="J678" t="s">
        <v>1263</v>
      </c>
      <c r="K678">
        <v>132</v>
      </c>
      <c r="L678" t="str">
        <f>Hyperlink("http://www.seavest.co.za/inv/fpdf16/inv-preview.php?Id=44339","Click for Invoice PDF")</f>
        <v>Click for Invoice PDF</v>
      </c>
      <c r="M678"/>
    </row>
    <row r="679" spans="1:215">
      <c r="A679" t="s">
        <v>1265</v>
      </c>
      <c r="B679"/>
      <c r="C679" t="s">
        <v>67</v>
      </c>
      <c r="D679" t="s">
        <v>148</v>
      </c>
      <c r="E679" t="s">
        <v>183</v>
      </c>
      <c r="F679">
        <v>5768.25</v>
      </c>
      <c r="G679">
        <v>865.24</v>
      </c>
      <c r="H679">
        <v>6633.49</v>
      </c>
      <c r="I679">
        <v>25008</v>
      </c>
      <c r="J679" t="s">
        <v>1263</v>
      </c>
      <c r="K679">
        <v>135</v>
      </c>
      <c r="L679" t="str">
        <f>Hyperlink("http://www.seavest.co.za/inv/fpdf16/inv-preview.php?Id=44321","Click for Invoice PDF")</f>
        <v>Click for Invoice PDF</v>
      </c>
      <c r="M67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41" r:id="rId_hyperlink_1"/>
    <hyperlink ref="L53" r:id="rId_hyperlink_2"/>
    <hyperlink ref="L92" r:id="rId_hyperlink_3"/>
    <hyperlink ref="L93" r:id="rId_hyperlink_4"/>
    <hyperlink ref="L94" r:id="rId_hyperlink_5"/>
    <hyperlink ref="L95" r:id="rId_hyperlink_6"/>
    <hyperlink ref="L96" r:id="rId_hyperlink_7"/>
    <hyperlink ref="L97" r:id="rId_hyperlink_8"/>
    <hyperlink ref="L98" r:id="rId_hyperlink_9"/>
    <hyperlink ref="L99" r:id="rId_hyperlink_10"/>
    <hyperlink ref="L100" r:id="rId_hyperlink_11"/>
    <hyperlink ref="L101" r:id="rId_hyperlink_12"/>
    <hyperlink ref="L102" r:id="rId_hyperlink_13"/>
    <hyperlink ref="L103" r:id="rId_hyperlink_14"/>
    <hyperlink ref="L104" r:id="rId_hyperlink_15"/>
    <hyperlink ref="L105" r:id="rId_hyperlink_16"/>
    <hyperlink ref="L106" r:id="rId_hyperlink_17"/>
    <hyperlink ref="L107" r:id="rId_hyperlink_18"/>
    <hyperlink ref="L108" r:id="rId_hyperlink_19"/>
    <hyperlink ref="L109" r:id="rId_hyperlink_20"/>
    <hyperlink ref="L110" r:id="rId_hyperlink_21"/>
    <hyperlink ref="L111" r:id="rId_hyperlink_22"/>
    <hyperlink ref="L112" r:id="rId_hyperlink_23"/>
    <hyperlink ref="L113" r:id="rId_hyperlink_24"/>
    <hyperlink ref="L114" r:id="rId_hyperlink_25"/>
    <hyperlink ref="L115" r:id="rId_hyperlink_26"/>
    <hyperlink ref="L116" r:id="rId_hyperlink_27"/>
    <hyperlink ref="L117" r:id="rId_hyperlink_28"/>
    <hyperlink ref="L118" r:id="rId_hyperlink_29"/>
    <hyperlink ref="L119" r:id="rId_hyperlink_30"/>
    <hyperlink ref="L120" r:id="rId_hyperlink_31"/>
    <hyperlink ref="L121" r:id="rId_hyperlink_32"/>
    <hyperlink ref="L122" r:id="rId_hyperlink_33"/>
    <hyperlink ref="L123" r:id="rId_hyperlink_34"/>
    <hyperlink ref="L124" r:id="rId_hyperlink_35"/>
    <hyperlink ref="L125" r:id="rId_hyperlink_36"/>
    <hyperlink ref="L126" r:id="rId_hyperlink_37"/>
    <hyperlink ref="L127" r:id="rId_hyperlink_38"/>
    <hyperlink ref="L128" r:id="rId_hyperlink_39"/>
    <hyperlink ref="L129" r:id="rId_hyperlink_40"/>
    <hyperlink ref="L130" r:id="rId_hyperlink_41"/>
    <hyperlink ref="L131" r:id="rId_hyperlink_42"/>
    <hyperlink ref="L132" r:id="rId_hyperlink_43"/>
    <hyperlink ref="L133" r:id="rId_hyperlink_44"/>
    <hyperlink ref="L134" r:id="rId_hyperlink_45"/>
    <hyperlink ref="L135" r:id="rId_hyperlink_46"/>
    <hyperlink ref="L136" r:id="rId_hyperlink_47"/>
    <hyperlink ref="L137" r:id="rId_hyperlink_48"/>
    <hyperlink ref="L138" r:id="rId_hyperlink_49"/>
    <hyperlink ref="L139" r:id="rId_hyperlink_50"/>
    <hyperlink ref="L140" r:id="rId_hyperlink_51"/>
    <hyperlink ref="L141" r:id="rId_hyperlink_52"/>
    <hyperlink ref="L142" r:id="rId_hyperlink_53"/>
    <hyperlink ref="L143" r:id="rId_hyperlink_54"/>
    <hyperlink ref="L144" r:id="rId_hyperlink_55"/>
    <hyperlink ref="L145" r:id="rId_hyperlink_56"/>
    <hyperlink ref="L146" r:id="rId_hyperlink_57"/>
    <hyperlink ref="L147" r:id="rId_hyperlink_58"/>
    <hyperlink ref="L148" r:id="rId_hyperlink_59"/>
    <hyperlink ref="L149" r:id="rId_hyperlink_60"/>
    <hyperlink ref="L150" r:id="rId_hyperlink_61"/>
    <hyperlink ref="L151" r:id="rId_hyperlink_62"/>
    <hyperlink ref="L152" r:id="rId_hyperlink_63"/>
    <hyperlink ref="L153" r:id="rId_hyperlink_64"/>
    <hyperlink ref="L154" r:id="rId_hyperlink_65"/>
    <hyperlink ref="L155" r:id="rId_hyperlink_66"/>
    <hyperlink ref="L156" r:id="rId_hyperlink_67"/>
    <hyperlink ref="L157" r:id="rId_hyperlink_68"/>
    <hyperlink ref="L158" r:id="rId_hyperlink_69"/>
    <hyperlink ref="L159" r:id="rId_hyperlink_70"/>
    <hyperlink ref="L160" r:id="rId_hyperlink_71"/>
    <hyperlink ref="L161" r:id="rId_hyperlink_72"/>
    <hyperlink ref="L162" r:id="rId_hyperlink_73"/>
    <hyperlink ref="L163" r:id="rId_hyperlink_74"/>
    <hyperlink ref="L164" r:id="rId_hyperlink_75"/>
    <hyperlink ref="L165" r:id="rId_hyperlink_76"/>
    <hyperlink ref="L166" r:id="rId_hyperlink_77"/>
    <hyperlink ref="L167" r:id="rId_hyperlink_78"/>
    <hyperlink ref="L168" r:id="rId_hyperlink_79"/>
    <hyperlink ref="L169" r:id="rId_hyperlink_80"/>
    <hyperlink ref="L170" r:id="rId_hyperlink_81"/>
    <hyperlink ref="L171" r:id="rId_hyperlink_82"/>
    <hyperlink ref="L172" r:id="rId_hyperlink_83"/>
    <hyperlink ref="L173" r:id="rId_hyperlink_84"/>
    <hyperlink ref="L174" r:id="rId_hyperlink_85"/>
    <hyperlink ref="L175" r:id="rId_hyperlink_86"/>
    <hyperlink ref="L176" r:id="rId_hyperlink_87"/>
    <hyperlink ref="L177" r:id="rId_hyperlink_88"/>
    <hyperlink ref="L178" r:id="rId_hyperlink_89"/>
    <hyperlink ref="L179" r:id="rId_hyperlink_90"/>
    <hyperlink ref="L180" r:id="rId_hyperlink_91"/>
    <hyperlink ref="L181" r:id="rId_hyperlink_92"/>
    <hyperlink ref="L182" r:id="rId_hyperlink_93"/>
    <hyperlink ref="L183" r:id="rId_hyperlink_94"/>
    <hyperlink ref="L184" r:id="rId_hyperlink_95"/>
    <hyperlink ref="L185" r:id="rId_hyperlink_96"/>
    <hyperlink ref="L186" r:id="rId_hyperlink_97"/>
    <hyperlink ref="L187" r:id="rId_hyperlink_98"/>
    <hyperlink ref="L188" r:id="rId_hyperlink_99"/>
    <hyperlink ref="L189" r:id="rId_hyperlink_100"/>
    <hyperlink ref="L190" r:id="rId_hyperlink_101"/>
    <hyperlink ref="L191" r:id="rId_hyperlink_102"/>
    <hyperlink ref="L192" r:id="rId_hyperlink_103"/>
    <hyperlink ref="L193" r:id="rId_hyperlink_104"/>
    <hyperlink ref="L194" r:id="rId_hyperlink_105"/>
    <hyperlink ref="L195" r:id="rId_hyperlink_106"/>
    <hyperlink ref="L196" r:id="rId_hyperlink_107"/>
    <hyperlink ref="L197" r:id="rId_hyperlink_108"/>
    <hyperlink ref="L198" r:id="rId_hyperlink_109"/>
    <hyperlink ref="L199" r:id="rId_hyperlink_110"/>
    <hyperlink ref="L200" r:id="rId_hyperlink_111"/>
    <hyperlink ref="L201" r:id="rId_hyperlink_112"/>
    <hyperlink ref="L202" r:id="rId_hyperlink_113"/>
    <hyperlink ref="L203" r:id="rId_hyperlink_114"/>
    <hyperlink ref="L204" r:id="rId_hyperlink_115"/>
    <hyperlink ref="L205" r:id="rId_hyperlink_116"/>
    <hyperlink ref="L206" r:id="rId_hyperlink_117"/>
    <hyperlink ref="L207" r:id="rId_hyperlink_118"/>
    <hyperlink ref="L208" r:id="rId_hyperlink_119"/>
    <hyperlink ref="L209" r:id="rId_hyperlink_120"/>
    <hyperlink ref="L210" r:id="rId_hyperlink_121"/>
    <hyperlink ref="L211" r:id="rId_hyperlink_122"/>
    <hyperlink ref="L212" r:id="rId_hyperlink_123"/>
    <hyperlink ref="L213" r:id="rId_hyperlink_124"/>
    <hyperlink ref="L214" r:id="rId_hyperlink_125"/>
    <hyperlink ref="L215" r:id="rId_hyperlink_126"/>
    <hyperlink ref="L216" r:id="rId_hyperlink_127"/>
    <hyperlink ref="L217" r:id="rId_hyperlink_128"/>
    <hyperlink ref="L218" r:id="rId_hyperlink_129"/>
    <hyperlink ref="L219" r:id="rId_hyperlink_130"/>
    <hyperlink ref="L220" r:id="rId_hyperlink_131"/>
    <hyperlink ref="L221" r:id="rId_hyperlink_132"/>
    <hyperlink ref="L222" r:id="rId_hyperlink_133"/>
    <hyperlink ref="L223" r:id="rId_hyperlink_134"/>
    <hyperlink ref="L224" r:id="rId_hyperlink_135"/>
    <hyperlink ref="L225" r:id="rId_hyperlink_136"/>
    <hyperlink ref="L226" r:id="rId_hyperlink_137"/>
    <hyperlink ref="L227" r:id="rId_hyperlink_138"/>
    <hyperlink ref="L228" r:id="rId_hyperlink_139"/>
    <hyperlink ref="L229" r:id="rId_hyperlink_140"/>
    <hyperlink ref="L230" r:id="rId_hyperlink_141"/>
    <hyperlink ref="L231" r:id="rId_hyperlink_142"/>
    <hyperlink ref="L232" r:id="rId_hyperlink_143"/>
    <hyperlink ref="L233" r:id="rId_hyperlink_144"/>
    <hyperlink ref="L234" r:id="rId_hyperlink_145"/>
    <hyperlink ref="L235" r:id="rId_hyperlink_146"/>
    <hyperlink ref="L236" r:id="rId_hyperlink_147"/>
    <hyperlink ref="L237" r:id="rId_hyperlink_148"/>
    <hyperlink ref="L238" r:id="rId_hyperlink_149"/>
    <hyperlink ref="L239" r:id="rId_hyperlink_150"/>
    <hyperlink ref="L240" r:id="rId_hyperlink_151"/>
    <hyperlink ref="L241" r:id="rId_hyperlink_152"/>
    <hyperlink ref="L242" r:id="rId_hyperlink_153"/>
    <hyperlink ref="L243" r:id="rId_hyperlink_154"/>
    <hyperlink ref="L244" r:id="rId_hyperlink_155"/>
    <hyperlink ref="L245" r:id="rId_hyperlink_156"/>
    <hyperlink ref="L246" r:id="rId_hyperlink_157"/>
    <hyperlink ref="L247" r:id="rId_hyperlink_158"/>
    <hyperlink ref="L248" r:id="rId_hyperlink_159"/>
    <hyperlink ref="L249" r:id="rId_hyperlink_160"/>
    <hyperlink ref="L250" r:id="rId_hyperlink_161"/>
    <hyperlink ref="L251" r:id="rId_hyperlink_162"/>
    <hyperlink ref="L252" r:id="rId_hyperlink_163"/>
    <hyperlink ref="L253" r:id="rId_hyperlink_164"/>
    <hyperlink ref="L254" r:id="rId_hyperlink_165"/>
    <hyperlink ref="L255" r:id="rId_hyperlink_166"/>
    <hyperlink ref="L256" r:id="rId_hyperlink_167"/>
    <hyperlink ref="L257" r:id="rId_hyperlink_168"/>
    <hyperlink ref="L258" r:id="rId_hyperlink_169"/>
    <hyperlink ref="L259" r:id="rId_hyperlink_170"/>
    <hyperlink ref="L260" r:id="rId_hyperlink_171"/>
    <hyperlink ref="L261" r:id="rId_hyperlink_172"/>
    <hyperlink ref="L262" r:id="rId_hyperlink_173"/>
    <hyperlink ref="L263" r:id="rId_hyperlink_174"/>
    <hyperlink ref="L264" r:id="rId_hyperlink_175"/>
    <hyperlink ref="L265" r:id="rId_hyperlink_176"/>
    <hyperlink ref="L266" r:id="rId_hyperlink_177"/>
    <hyperlink ref="L267" r:id="rId_hyperlink_178"/>
    <hyperlink ref="L268" r:id="rId_hyperlink_179"/>
    <hyperlink ref="L269" r:id="rId_hyperlink_180"/>
    <hyperlink ref="L270" r:id="rId_hyperlink_181"/>
    <hyperlink ref="L271" r:id="rId_hyperlink_182"/>
    <hyperlink ref="L272" r:id="rId_hyperlink_183"/>
    <hyperlink ref="L273" r:id="rId_hyperlink_184"/>
    <hyperlink ref="L274" r:id="rId_hyperlink_185"/>
    <hyperlink ref="L275" r:id="rId_hyperlink_186"/>
    <hyperlink ref="L276" r:id="rId_hyperlink_187"/>
    <hyperlink ref="L277" r:id="rId_hyperlink_188"/>
    <hyperlink ref="L278" r:id="rId_hyperlink_189"/>
    <hyperlink ref="L279" r:id="rId_hyperlink_190"/>
    <hyperlink ref="L280" r:id="rId_hyperlink_191"/>
    <hyperlink ref="L281" r:id="rId_hyperlink_192"/>
    <hyperlink ref="L282" r:id="rId_hyperlink_193"/>
    <hyperlink ref="L283" r:id="rId_hyperlink_194"/>
    <hyperlink ref="L284" r:id="rId_hyperlink_195"/>
    <hyperlink ref="L285" r:id="rId_hyperlink_196"/>
    <hyperlink ref="L286" r:id="rId_hyperlink_197"/>
    <hyperlink ref="L287" r:id="rId_hyperlink_198"/>
    <hyperlink ref="L288" r:id="rId_hyperlink_199"/>
    <hyperlink ref="L289" r:id="rId_hyperlink_200"/>
    <hyperlink ref="L290" r:id="rId_hyperlink_201"/>
    <hyperlink ref="L291" r:id="rId_hyperlink_202"/>
    <hyperlink ref="L292" r:id="rId_hyperlink_203"/>
    <hyperlink ref="L293" r:id="rId_hyperlink_204"/>
    <hyperlink ref="L294" r:id="rId_hyperlink_205"/>
    <hyperlink ref="L295" r:id="rId_hyperlink_206"/>
    <hyperlink ref="L296" r:id="rId_hyperlink_207"/>
    <hyperlink ref="L297" r:id="rId_hyperlink_208"/>
    <hyperlink ref="L298" r:id="rId_hyperlink_209"/>
    <hyperlink ref="L299" r:id="rId_hyperlink_210"/>
    <hyperlink ref="L300" r:id="rId_hyperlink_211"/>
    <hyperlink ref="L301" r:id="rId_hyperlink_212"/>
    <hyperlink ref="L302" r:id="rId_hyperlink_213"/>
    <hyperlink ref="L303" r:id="rId_hyperlink_214"/>
    <hyperlink ref="L304" r:id="rId_hyperlink_215"/>
    <hyperlink ref="L305" r:id="rId_hyperlink_216"/>
    <hyperlink ref="L306" r:id="rId_hyperlink_217"/>
    <hyperlink ref="L307" r:id="rId_hyperlink_218"/>
    <hyperlink ref="L308" r:id="rId_hyperlink_219"/>
    <hyperlink ref="L309" r:id="rId_hyperlink_220"/>
    <hyperlink ref="L310" r:id="rId_hyperlink_221"/>
    <hyperlink ref="L311" r:id="rId_hyperlink_222"/>
    <hyperlink ref="L312" r:id="rId_hyperlink_223"/>
    <hyperlink ref="L313" r:id="rId_hyperlink_224"/>
    <hyperlink ref="L314" r:id="rId_hyperlink_225"/>
    <hyperlink ref="L315" r:id="rId_hyperlink_226"/>
    <hyperlink ref="L316" r:id="rId_hyperlink_227"/>
    <hyperlink ref="L317" r:id="rId_hyperlink_228"/>
    <hyperlink ref="L318" r:id="rId_hyperlink_229"/>
    <hyperlink ref="L319" r:id="rId_hyperlink_230"/>
    <hyperlink ref="L320" r:id="rId_hyperlink_231"/>
    <hyperlink ref="L321" r:id="rId_hyperlink_232"/>
    <hyperlink ref="L322" r:id="rId_hyperlink_233"/>
    <hyperlink ref="L323" r:id="rId_hyperlink_234"/>
    <hyperlink ref="L324" r:id="rId_hyperlink_235"/>
    <hyperlink ref="L325" r:id="rId_hyperlink_236"/>
    <hyperlink ref="L326" r:id="rId_hyperlink_237"/>
    <hyperlink ref="L327" r:id="rId_hyperlink_238"/>
    <hyperlink ref="L328" r:id="rId_hyperlink_239"/>
    <hyperlink ref="L329" r:id="rId_hyperlink_240"/>
    <hyperlink ref="L330" r:id="rId_hyperlink_241"/>
    <hyperlink ref="L331" r:id="rId_hyperlink_242"/>
    <hyperlink ref="L332" r:id="rId_hyperlink_243"/>
    <hyperlink ref="L333" r:id="rId_hyperlink_244"/>
    <hyperlink ref="L334" r:id="rId_hyperlink_245"/>
    <hyperlink ref="L335" r:id="rId_hyperlink_246"/>
    <hyperlink ref="L336" r:id="rId_hyperlink_247"/>
    <hyperlink ref="L337" r:id="rId_hyperlink_248"/>
    <hyperlink ref="L338" r:id="rId_hyperlink_249"/>
    <hyperlink ref="L339" r:id="rId_hyperlink_250"/>
    <hyperlink ref="L340" r:id="rId_hyperlink_251"/>
    <hyperlink ref="L341" r:id="rId_hyperlink_252"/>
    <hyperlink ref="L342" r:id="rId_hyperlink_253"/>
    <hyperlink ref="L343" r:id="rId_hyperlink_254"/>
    <hyperlink ref="L344" r:id="rId_hyperlink_255"/>
    <hyperlink ref="L345" r:id="rId_hyperlink_256"/>
    <hyperlink ref="L346" r:id="rId_hyperlink_257"/>
    <hyperlink ref="L347" r:id="rId_hyperlink_258"/>
    <hyperlink ref="L348" r:id="rId_hyperlink_259"/>
    <hyperlink ref="L349" r:id="rId_hyperlink_260"/>
    <hyperlink ref="L350" r:id="rId_hyperlink_261"/>
    <hyperlink ref="L351" r:id="rId_hyperlink_262"/>
    <hyperlink ref="L352" r:id="rId_hyperlink_263"/>
    <hyperlink ref="L353" r:id="rId_hyperlink_264"/>
    <hyperlink ref="L354" r:id="rId_hyperlink_265"/>
    <hyperlink ref="L355" r:id="rId_hyperlink_266"/>
    <hyperlink ref="L356" r:id="rId_hyperlink_267"/>
    <hyperlink ref="L357" r:id="rId_hyperlink_268"/>
    <hyperlink ref="L358" r:id="rId_hyperlink_269"/>
    <hyperlink ref="L359" r:id="rId_hyperlink_270"/>
    <hyperlink ref="L360" r:id="rId_hyperlink_271"/>
    <hyperlink ref="L361" r:id="rId_hyperlink_272"/>
    <hyperlink ref="L362" r:id="rId_hyperlink_273"/>
    <hyperlink ref="L363" r:id="rId_hyperlink_274"/>
    <hyperlink ref="L364" r:id="rId_hyperlink_275"/>
    <hyperlink ref="L365" r:id="rId_hyperlink_276"/>
    <hyperlink ref="L366" r:id="rId_hyperlink_277"/>
    <hyperlink ref="L367" r:id="rId_hyperlink_278"/>
    <hyperlink ref="L368" r:id="rId_hyperlink_279"/>
    <hyperlink ref="L369" r:id="rId_hyperlink_280"/>
    <hyperlink ref="L370" r:id="rId_hyperlink_281"/>
    <hyperlink ref="L371" r:id="rId_hyperlink_282"/>
    <hyperlink ref="L372" r:id="rId_hyperlink_283"/>
    <hyperlink ref="L373" r:id="rId_hyperlink_284"/>
    <hyperlink ref="L374" r:id="rId_hyperlink_285"/>
    <hyperlink ref="L375" r:id="rId_hyperlink_286"/>
    <hyperlink ref="L376" r:id="rId_hyperlink_287"/>
    <hyperlink ref="L377" r:id="rId_hyperlink_288"/>
    <hyperlink ref="L378" r:id="rId_hyperlink_289"/>
    <hyperlink ref="L379" r:id="rId_hyperlink_290"/>
    <hyperlink ref="L380" r:id="rId_hyperlink_291"/>
    <hyperlink ref="L381" r:id="rId_hyperlink_292"/>
    <hyperlink ref="L382" r:id="rId_hyperlink_293"/>
    <hyperlink ref="L383" r:id="rId_hyperlink_294"/>
    <hyperlink ref="L384" r:id="rId_hyperlink_295"/>
    <hyperlink ref="L385" r:id="rId_hyperlink_296"/>
    <hyperlink ref="L386" r:id="rId_hyperlink_297"/>
    <hyperlink ref="L387" r:id="rId_hyperlink_298"/>
    <hyperlink ref="L388" r:id="rId_hyperlink_299"/>
    <hyperlink ref="L389" r:id="rId_hyperlink_300"/>
    <hyperlink ref="L390" r:id="rId_hyperlink_301"/>
    <hyperlink ref="L391" r:id="rId_hyperlink_302"/>
    <hyperlink ref="L392" r:id="rId_hyperlink_303"/>
    <hyperlink ref="L393" r:id="rId_hyperlink_304"/>
    <hyperlink ref="L394" r:id="rId_hyperlink_305"/>
    <hyperlink ref="L395" r:id="rId_hyperlink_306"/>
    <hyperlink ref="L396" r:id="rId_hyperlink_307"/>
    <hyperlink ref="L397" r:id="rId_hyperlink_308"/>
    <hyperlink ref="L398" r:id="rId_hyperlink_309"/>
    <hyperlink ref="L399" r:id="rId_hyperlink_310"/>
    <hyperlink ref="L400" r:id="rId_hyperlink_311"/>
    <hyperlink ref="L401" r:id="rId_hyperlink_312"/>
    <hyperlink ref="L402" r:id="rId_hyperlink_313"/>
    <hyperlink ref="L403" r:id="rId_hyperlink_314"/>
    <hyperlink ref="L404" r:id="rId_hyperlink_315"/>
    <hyperlink ref="L405" r:id="rId_hyperlink_316"/>
    <hyperlink ref="L406" r:id="rId_hyperlink_317"/>
    <hyperlink ref="L407" r:id="rId_hyperlink_318"/>
    <hyperlink ref="L408" r:id="rId_hyperlink_319"/>
    <hyperlink ref="L409" r:id="rId_hyperlink_320"/>
    <hyperlink ref="L410" r:id="rId_hyperlink_321"/>
    <hyperlink ref="L411" r:id="rId_hyperlink_322"/>
    <hyperlink ref="L412" r:id="rId_hyperlink_323"/>
    <hyperlink ref="L413" r:id="rId_hyperlink_324"/>
    <hyperlink ref="L414" r:id="rId_hyperlink_325"/>
    <hyperlink ref="L415" r:id="rId_hyperlink_326"/>
    <hyperlink ref="L416" r:id="rId_hyperlink_327"/>
    <hyperlink ref="L417" r:id="rId_hyperlink_328"/>
    <hyperlink ref="L418" r:id="rId_hyperlink_329"/>
    <hyperlink ref="L419" r:id="rId_hyperlink_330"/>
    <hyperlink ref="L420" r:id="rId_hyperlink_331"/>
    <hyperlink ref="L421" r:id="rId_hyperlink_332"/>
    <hyperlink ref="L422" r:id="rId_hyperlink_333"/>
    <hyperlink ref="L423" r:id="rId_hyperlink_334"/>
    <hyperlink ref="L424" r:id="rId_hyperlink_335"/>
    <hyperlink ref="L425" r:id="rId_hyperlink_336"/>
    <hyperlink ref="L426" r:id="rId_hyperlink_337"/>
    <hyperlink ref="L427" r:id="rId_hyperlink_338"/>
    <hyperlink ref="L428" r:id="rId_hyperlink_339"/>
    <hyperlink ref="L429" r:id="rId_hyperlink_340"/>
    <hyperlink ref="L430" r:id="rId_hyperlink_341"/>
    <hyperlink ref="L431" r:id="rId_hyperlink_342"/>
    <hyperlink ref="L432" r:id="rId_hyperlink_343"/>
    <hyperlink ref="L433" r:id="rId_hyperlink_344"/>
    <hyperlink ref="L434" r:id="rId_hyperlink_345"/>
    <hyperlink ref="L435" r:id="rId_hyperlink_346"/>
    <hyperlink ref="L436" r:id="rId_hyperlink_347"/>
    <hyperlink ref="L437" r:id="rId_hyperlink_348"/>
    <hyperlink ref="L438" r:id="rId_hyperlink_349"/>
    <hyperlink ref="L439" r:id="rId_hyperlink_350"/>
    <hyperlink ref="L440" r:id="rId_hyperlink_351"/>
    <hyperlink ref="L441" r:id="rId_hyperlink_352"/>
    <hyperlink ref="L442" r:id="rId_hyperlink_353"/>
    <hyperlink ref="L443" r:id="rId_hyperlink_354"/>
    <hyperlink ref="L444" r:id="rId_hyperlink_355"/>
    <hyperlink ref="L445" r:id="rId_hyperlink_356"/>
    <hyperlink ref="L446" r:id="rId_hyperlink_357"/>
    <hyperlink ref="L447" r:id="rId_hyperlink_358"/>
    <hyperlink ref="L448" r:id="rId_hyperlink_359"/>
    <hyperlink ref="L449" r:id="rId_hyperlink_360"/>
    <hyperlink ref="L450" r:id="rId_hyperlink_361"/>
    <hyperlink ref="L451" r:id="rId_hyperlink_362"/>
    <hyperlink ref="L452" r:id="rId_hyperlink_363"/>
    <hyperlink ref="L453" r:id="rId_hyperlink_364"/>
    <hyperlink ref="L454" r:id="rId_hyperlink_365"/>
    <hyperlink ref="L455" r:id="rId_hyperlink_366"/>
    <hyperlink ref="L456" r:id="rId_hyperlink_367"/>
    <hyperlink ref="L457" r:id="rId_hyperlink_368"/>
    <hyperlink ref="L458" r:id="rId_hyperlink_369"/>
    <hyperlink ref="L459" r:id="rId_hyperlink_370"/>
    <hyperlink ref="L460" r:id="rId_hyperlink_371"/>
    <hyperlink ref="L461" r:id="rId_hyperlink_372"/>
    <hyperlink ref="L462" r:id="rId_hyperlink_373"/>
    <hyperlink ref="L463" r:id="rId_hyperlink_374"/>
    <hyperlink ref="L464" r:id="rId_hyperlink_375"/>
    <hyperlink ref="L465" r:id="rId_hyperlink_376"/>
    <hyperlink ref="L466" r:id="rId_hyperlink_377"/>
    <hyperlink ref="L467" r:id="rId_hyperlink_378"/>
    <hyperlink ref="L468" r:id="rId_hyperlink_379"/>
    <hyperlink ref="L469" r:id="rId_hyperlink_380"/>
    <hyperlink ref="L470" r:id="rId_hyperlink_381"/>
    <hyperlink ref="L471" r:id="rId_hyperlink_382"/>
    <hyperlink ref="L472" r:id="rId_hyperlink_383"/>
    <hyperlink ref="L473" r:id="rId_hyperlink_384"/>
    <hyperlink ref="L474" r:id="rId_hyperlink_385"/>
    <hyperlink ref="L475" r:id="rId_hyperlink_386"/>
    <hyperlink ref="L476" r:id="rId_hyperlink_387"/>
    <hyperlink ref="L477" r:id="rId_hyperlink_388"/>
    <hyperlink ref="L478" r:id="rId_hyperlink_389"/>
    <hyperlink ref="L479" r:id="rId_hyperlink_390"/>
    <hyperlink ref="L480" r:id="rId_hyperlink_391"/>
    <hyperlink ref="L481" r:id="rId_hyperlink_392"/>
    <hyperlink ref="L482" r:id="rId_hyperlink_393"/>
    <hyperlink ref="L483" r:id="rId_hyperlink_394"/>
    <hyperlink ref="L484" r:id="rId_hyperlink_395"/>
    <hyperlink ref="L485" r:id="rId_hyperlink_396"/>
    <hyperlink ref="L486" r:id="rId_hyperlink_397"/>
    <hyperlink ref="L487" r:id="rId_hyperlink_398"/>
    <hyperlink ref="L488" r:id="rId_hyperlink_399"/>
    <hyperlink ref="L489" r:id="rId_hyperlink_400"/>
    <hyperlink ref="L490" r:id="rId_hyperlink_401"/>
    <hyperlink ref="L491" r:id="rId_hyperlink_402"/>
    <hyperlink ref="L492" r:id="rId_hyperlink_403"/>
    <hyperlink ref="L493" r:id="rId_hyperlink_404"/>
    <hyperlink ref="L494" r:id="rId_hyperlink_405"/>
    <hyperlink ref="L495" r:id="rId_hyperlink_406"/>
    <hyperlink ref="L496" r:id="rId_hyperlink_407"/>
    <hyperlink ref="L497" r:id="rId_hyperlink_408"/>
    <hyperlink ref="L498" r:id="rId_hyperlink_409"/>
    <hyperlink ref="L499" r:id="rId_hyperlink_410"/>
    <hyperlink ref="L500" r:id="rId_hyperlink_411"/>
    <hyperlink ref="L501" r:id="rId_hyperlink_412"/>
    <hyperlink ref="L502" r:id="rId_hyperlink_413"/>
    <hyperlink ref="L503" r:id="rId_hyperlink_414"/>
    <hyperlink ref="L504" r:id="rId_hyperlink_415"/>
    <hyperlink ref="L505" r:id="rId_hyperlink_416"/>
    <hyperlink ref="L506" r:id="rId_hyperlink_417"/>
    <hyperlink ref="L507" r:id="rId_hyperlink_418"/>
    <hyperlink ref="L508" r:id="rId_hyperlink_419"/>
    <hyperlink ref="L509" r:id="rId_hyperlink_420"/>
    <hyperlink ref="L510" r:id="rId_hyperlink_421"/>
    <hyperlink ref="L511" r:id="rId_hyperlink_422"/>
    <hyperlink ref="L512" r:id="rId_hyperlink_423"/>
    <hyperlink ref="L513" r:id="rId_hyperlink_424"/>
    <hyperlink ref="L514" r:id="rId_hyperlink_425"/>
    <hyperlink ref="L515" r:id="rId_hyperlink_426"/>
    <hyperlink ref="L516" r:id="rId_hyperlink_427"/>
    <hyperlink ref="L517" r:id="rId_hyperlink_428"/>
    <hyperlink ref="L518" r:id="rId_hyperlink_429"/>
    <hyperlink ref="L519" r:id="rId_hyperlink_430"/>
    <hyperlink ref="L520" r:id="rId_hyperlink_431"/>
    <hyperlink ref="L521" r:id="rId_hyperlink_432"/>
    <hyperlink ref="L522" r:id="rId_hyperlink_433"/>
    <hyperlink ref="L523" r:id="rId_hyperlink_434"/>
    <hyperlink ref="L524" r:id="rId_hyperlink_435"/>
    <hyperlink ref="L525" r:id="rId_hyperlink_436"/>
    <hyperlink ref="L526" r:id="rId_hyperlink_437"/>
    <hyperlink ref="L527" r:id="rId_hyperlink_438"/>
    <hyperlink ref="L528" r:id="rId_hyperlink_439"/>
    <hyperlink ref="L529" r:id="rId_hyperlink_440"/>
    <hyperlink ref="L530" r:id="rId_hyperlink_441"/>
    <hyperlink ref="L531" r:id="rId_hyperlink_442"/>
    <hyperlink ref="L532" r:id="rId_hyperlink_443"/>
    <hyperlink ref="L533" r:id="rId_hyperlink_444"/>
    <hyperlink ref="L534" r:id="rId_hyperlink_445"/>
    <hyperlink ref="L535" r:id="rId_hyperlink_446"/>
    <hyperlink ref="L536" r:id="rId_hyperlink_447"/>
    <hyperlink ref="L537" r:id="rId_hyperlink_448"/>
    <hyperlink ref="L538" r:id="rId_hyperlink_449"/>
    <hyperlink ref="L539" r:id="rId_hyperlink_450"/>
    <hyperlink ref="L540" r:id="rId_hyperlink_451"/>
    <hyperlink ref="L541" r:id="rId_hyperlink_452"/>
    <hyperlink ref="L542" r:id="rId_hyperlink_453"/>
    <hyperlink ref="L543" r:id="rId_hyperlink_454"/>
    <hyperlink ref="L544" r:id="rId_hyperlink_455"/>
    <hyperlink ref="L545" r:id="rId_hyperlink_456"/>
    <hyperlink ref="L546" r:id="rId_hyperlink_457"/>
    <hyperlink ref="L547" r:id="rId_hyperlink_458"/>
    <hyperlink ref="L548" r:id="rId_hyperlink_459"/>
    <hyperlink ref="L549" r:id="rId_hyperlink_460"/>
    <hyperlink ref="L550" r:id="rId_hyperlink_461"/>
    <hyperlink ref="L551" r:id="rId_hyperlink_462"/>
    <hyperlink ref="L552" r:id="rId_hyperlink_463"/>
    <hyperlink ref="L553" r:id="rId_hyperlink_464"/>
    <hyperlink ref="L554" r:id="rId_hyperlink_465"/>
    <hyperlink ref="L555" r:id="rId_hyperlink_466"/>
    <hyperlink ref="L556" r:id="rId_hyperlink_467"/>
    <hyperlink ref="L557" r:id="rId_hyperlink_468"/>
    <hyperlink ref="L558" r:id="rId_hyperlink_469"/>
    <hyperlink ref="L559" r:id="rId_hyperlink_470"/>
    <hyperlink ref="L560" r:id="rId_hyperlink_471"/>
    <hyperlink ref="L561" r:id="rId_hyperlink_472"/>
    <hyperlink ref="L562" r:id="rId_hyperlink_473"/>
    <hyperlink ref="L563" r:id="rId_hyperlink_474"/>
    <hyperlink ref="L564" r:id="rId_hyperlink_475"/>
    <hyperlink ref="L565" r:id="rId_hyperlink_476"/>
    <hyperlink ref="L566" r:id="rId_hyperlink_477"/>
    <hyperlink ref="L567" r:id="rId_hyperlink_478"/>
    <hyperlink ref="L568" r:id="rId_hyperlink_479"/>
    <hyperlink ref="L569" r:id="rId_hyperlink_480"/>
    <hyperlink ref="L570" r:id="rId_hyperlink_481"/>
    <hyperlink ref="L571" r:id="rId_hyperlink_482"/>
    <hyperlink ref="L572" r:id="rId_hyperlink_483"/>
    <hyperlink ref="L573" r:id="rId_hyperlink_484"/>
    <hyperlink ref="L574" r:id="rId_hyperlink_485"/>
    <hyperlink ref="L575" r:id="rId_hyperlink_486"/>
    <hyperlink ref="L576" r:id="rId_hyperlink_487"/>
    <hyperlink ref="L577" r:id="rId_hyperlink_488"/>
    <hyperlink ref="L578" r:id="rId_hyperlink_489"/>
    <hyperlink ref="L579" r:id="rId_hyperlink_490"/>
    <hyperlink ref="L580" r:id="rId_hyperlink_491"/>
    <hyperlink ref="L581" r:id="rId_hyperlink_492"/>
    <hyperlink ref="L582" r:id="rId_hyperlink_493"/>
    <hyperlink ref="L583" r:id="rId_hyperlink_494"/>
    <hyperlink ref="L584" r:id="rId_hyperlink_495"/>
    <hyperlink ref="L585" r:id="rId_hyperlink_496"/>
    <hyperlink ref="L586" r:id="rId_hyperlink_497"/>
    <hyperlink ref="L587" r:id="rId_hyperlink_498"/>
    <hyperlink ref="L588" r:id="rId_hyperlink_499"/>
    <hyperlink ref="L589" r:id="rId_hyperlink_500"/>
    <hyperlink ref="L590" r:id="rId_hyperlink_501"/>
    <hyperlink ref="L591" r:id="rId_hyperlink_502"/>
    <hyperlink ref="L592" r:id="rId_hyperlink_503"/>
    <hyperlink ref="L593" r:id="rId_hyperlink_504"/>
    <hyperlink ref="L594" r:id="rId_hyperlink_505"/>
    <hyperlink ref="L595" r:id="rId_hyperlink_506"/>
    <hyperlink ref="L596" r:id="rId_hyperlink_507"/>
    <hyperlink ref="L597" r:id="rId_hyperlink_508"/>
    <hyperlink ref="L598" r:id="rId_hyperlink_509"/>
    <hyperlink ref="L599" r:id="rId_hyperlink_510"/>
    <hyperlink ref="L600" r:id="rId_hyperlink_511"/>
    <hyperlink ref="L601" r:id="rId_hyperlink_512"/>
    <hyperlink ref="L602" r:id="rId_hyperlink_513"/>
    <hyperlink ref="L603" r:id="rId_hyperlink_514"/>
    <hyperlink ref="L604" r:id="rId_hyperlink_515"/>
    <hyperlink ref="L605" r:id="rId_hyperlink_516"/>
    <hyperlink ref="L606" r:id="rId_hyperlink_517"/>
    <hyperlink ref="L607" r:id="rId_hyperlink_518"/>
    <hyperlink ref="L608" r:id="rId_hyperlink_519"/>
    <hyperlink ref="L609" r:id="rId_hyperlink_520"/>
    <hyperlink ref="L610" r:id="rId_hyperlink_521"/>
    <hyperlink ref="L611" r:id="rId_hyperlink_522"/>
    <hyperlink ref="L612" r:id="rId_hyperlink_523"/>
    <hyperlink ref="L613" r:id="rId_hyperlink_524"/>
    <hyperlink ref="L614" r:id="rId_hyperlink_525"/>
    <hyperlink ref="L615" r:id="rId_hyperlink_526"/>
    <hyperlink ref="L616" r:id="rId_hyperlink_527"/>
    <hyperlink ref="L617" r:id="rId_hyperlink_528"/>
    <hyperlink ref="L618" r:id="rId_hyperlink_529"/>
    <hyperlink ref="L619" r:id="rId_hyperlink_530"/>
    <hyperlink ref="L620" r:id="rId_hyperlink_531"/>
    <hyperlink ref="L621" r:id="rId_hyperlink_532"/>
    <hyperlink ref="L622" r:id="rId_hyperlink_533"/>
    <hyperlink ref="L623" r:id="rId_hyperlink_534"/>
    <hyperlink ref="L624" r:id="rId_hyperlink_535"/>
    <hyperlink ref="L625" r:id="rId_hyperlink_536"/>
    <hyperlink ref="L626" r:id="rId_hyperlink_537"/>
    <hyperlink ref="L627" r:id="rId_hyperlink_538"/>
    <hyperlink ref="L628" r:id="rId_hyperlink_539"/>
    <hyperlink ref="L629" r:id="rId_hyperlink_540"/>
    <hyperlink ref="L630" r:id="rId_hyperlink_541"/>
    <hyperlink ref="L631" r:id="rId_hyperlink_542"/>
    <hyperlink ref="L632" r:id="rId_hyperlink_543"/>
    <hyperlink ref="L633" r:id="rId_hyperlink_544"/>
    <hyperlink ref="L634" r:id="rId_hyperlink_545"/>
    <hyperlink ref="L635" r:id="rId_hyperlink_546"/>
    <hyperlink ref="L636" r:id="rId_hyperlink_547"/>
    <hyperlink ref="L637" r:id="rId_hyperlink_548"/>
    <hyperlink ref="L638" r:id="rId_hyperlink_549"/>
    <hyperlink ref="L639" r:id="rId_hyperlink_550"/>
    <hyperlink ref="L640" r:id="rId_hyperlink_551"/>
    <hyperlink ref="L641" r:id="rId_hyperlink_552"/>
    <hyperlink ref="L642" r:id="rId_hyperlink_553"/>
    <hyperlink ref="L643" r:id="rId_hyperlink_554"/>
    <hyperlink ref="L644" r:id="rId_hyperlink_555"/>
    <hyperlink ref="L645" r:id="rId_hyperlink_556"/>
    <hyperlink ref="L646" r:id="rId_hyperlink_557"/>
    <hyperlink ref="L647" r:id="rId_hyperlink_558"/>
    <hyperlink ref="L648" r:id="rId_hyperlink_559"/>
    <hyperlink ref="L649" r:id="rId_hyperlink_560"/>
    <hyperlink ref="L650" r:id="rId_hyperlink_561"/>
    <hyperlink ref="L651" r:id="rId_hyperlink_562"/>
    <hyperlink ref="L652" r:id="rId_hyperlink_563"/>
    <hyperlink ref="L653" r:id="rId_hyperlink_564"/>
    <hyperlink ref="L654" r:id="rId_hyperlink_565"/>
    <hyperlink ref="L655" r:id="rId_hyperlink_566"/>
    <hyperlink ref="L656" r:id="rId_hyperlink_567"/>
    <hyperlink ref="L657" r:id="rId_hyperlink_568"/>
    <hyperlink ref="L658" r:id="rId_hyperlink_569"/>
    <hyperlink ref="L659" r:id="rId_hyperlink_570"/>
    <hyperlink ref="L660" r:id="rId_hyperlink_571"/>
    <hyperlink ref="L661" r:id="rId_hyperlink_572"/>
    <hyperlink ref="L662" r:id="rId_hyperlink_573"/>
    <hyperlink ref="L663" r:id="rId_hyperlink_574"/>
    <hyperlink ref="L664" r:id="rId_hyperlink_575"/>
    <hyperlink ref="L665" r:id="rId_hyperlink_576"/>
    <hyperlink ref="L666" r:id="rId_hyperlink_577"/>
    <hyperlink ref="L667" r:id="rId_hyperlink_578"/>
    <hyperlink ref="L668" r:id="rId_hyperlink_579"/>
    <hyperlink ref="L669" r:id="rId_hyperlink_580"/>
    <hyperlink ref="L670" r:id="rId_hyperlink_581"/>
    <hyperlink ref="L671" r:id="rId_hyperlink_582"/>
    <hyperlink ref="L672" r:id="rId_hyperlink_583"/>
    <hyperlink ref="L673" r:id="rId_hyperlink_584"/>
    <hyperlink ref="L674" r:id="rId_hyperlink_585"/>
    <hyperlink ref="L675" r:id="rId_hyperlink_586"/>
    <hyperlink ref="L676" r:id="rId_hyperlink_587"/>
    <hyperlink ref="L677" r:id="rId_hyperlink_588"/>
    <hyperlink ref="L678" r:id="rId_hyperlink_589"/>
    <hyperlink ref="L679" r:id="rId_hyperlink_59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2022-10-18T17:36:46+02:00</dcterms:created>
  <dcterms:modified xsi:type="dcterms:W3CDTF">2022-10-18T17:36:46+02:00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